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out_fixed_empty_weight/weighted_sum_of_takeoff_weight/liftcruise/"/>
    </mc:Choice>
  </mc:AlternateContent>
  <xr:revisionPtr revIDLastSave="0" documentId="13_ncr:1_{EE223E4F-327B-4640-AA08-0AE7F7794281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12" r:id="rId2"/>
    <sheet name="uniform_400" sheetId="19" r:id="rId3"/>
    <sheet name="uniform_550" sheetId="20" r:id="rId4"/>
    <sheet name="uniform_700" sheetId="21" r:id="rId5"/>
    <sheet name="linear_250" sheetId="22" r:id="rId6"/>
    <sheet name="linear_400" sheetId="23" r:id="rId7"/>
    <sheet name="linear_550" sheetId="24" r:id="rId8"/>
    <sheet name="linear_700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6" l="1"/>
  <c r="E14" i="26"/>
  <c r="E13" i="26"/>
  <c r="E10" i="26"/>
  <c r="E9" i="26"/>
  <c r="E8" i="26"/>
  <c r="E12" i="26"/>
  <c r="E7" i="26"/>
  <c r="E4" i="26" l="1"/>
  <c r="F4" i="26"/>
  <c r="C56" i="25"/>
  <c r="C55" i="25"/>
  <c r="C51" i="25"/>
  <c r="C50" i="25"/>
  <c r="AN44" i="25"/>
  <c r="AM44" i="25"/>
  <c r="AN43" i="25"/>
  <c r="AM43" i="25"/>
  <c r="AN42" i="25"/>
  <c r="AM42" i="25"/>
  <c r="AN41" i="25"/>
  <c r="AM41" i="25"/>
  <c r="C41" i="25"/>
  <c r="K21" i="25" s="1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AN33" i="25"/>
  <c r="AM33" i="25"/>
  <c r="AN32" i="25"/>
  <c r="AM32" i="25"/>
  <c r="G32" i="25"/>
  <c r="AN31" i="25"/>
  <c r="AM31" i="25"/>
  <c r="AN30" i="25"/>
  <c r="AM30" i="25"/>
  <c r="AN29" i="25"/>
  <c r="AM29" i="25"/>
  <c r="K29" i="25"/>
  <c r="G29" i="25"/>
  <c r="G27" i="25" s="1"/>
  <c r="AN28" i="25"/>
  <c r="AM28" i="25"/>
  <c r="K28" i="25"/>
  <c r="AN27" i="25"/>
  <c r="AM27" i="25"/>
  <c r="K27" i="25"/>
  <c r="AN26" i="25"/>
  <c r="AM26" i="25"/>
  <c r="K26" i="25"/>
  <c r="G26" i="25"/>
  <c r="AN25" i="25"/>
  <c r="AM25" i="25"/>
  <c r="G25" i="25"/>
  <c r="AN24" i="25"/>
  <c r="AM24" i="25"/>
  <c r="K24" i="25"/>
  <c r="G24" i="25"/>
  <c r="AN23" i="25"/>
  <c r="AM23" i="25"/>
  <c r="K23" i="25"/>
  <c r="G23" i="25"/>
  <c r="C23" i="25"/>
  <c r="AN22" i="25"/>
  <c r="AM22" i="25"/>
  <c r="K22" i="25"/>
  <c r="AN21" i="25"/>
  <c r="AM21" i="25"/>
  <c r="O21" i="25"/>
  <c r="G14" i="25" s="1"/>
  <c r="G15" i="25" s="1"/>
  <c r="AN20" i="25"/>
  <c r="AM20" i="25"/>
  <c r="K20" i="25"/>
  <c r="AN19" i="25"/>
  <c r="AM19" i="25"/>
  <c r="O19" i="25"/>
  <c r="AN18" i="25"/>
  <c r="AM18" i="25"/>
  <c r="AN17" i="25"/>
  <c r="AM17" i="25"/>
  <c r="C17" i="25"/>
  <c r="AN16" i="25"/>
  <c r="AM16" i="25"/>
  <c r="C16" i="25"/>
  <c r="AN15" i="25"/>
  <c r="AM15" i="25"/>
  <c r="AN14" i="25"/>
  <c r="AM14" i="25"/>
  <c r="K14" i="25"/>
  <c r="AN13" i="25"/>
  <c r="AM13" i="25"/>
  <c r="AN12" i="25"/>
  <c r="AM12" i="25"/>
  <c r="AN11" i="25"/>
  <c r="AM11" i="25"/>
  <c r="O11" i="25"/>
  <c r="C11" i="25"/>
  <c r="C30" i="25" s="1"/>
  <c r="AN10" i="25"/>
  <c r="AM10" i="25"/>
  <c r="AN9" i="25"/>
  <c r="AM9" i="25"/>
  <c r="O9" i="25"/>
  <c r="C9" i="25"/>
  <c r="AN8" i="25"/>
  <c r="AM8" i="25"/>
  <c r="AN7" i="25"/>
  <c r="AM7" i="25"/>
  <c r="G7" i="25"/>
  <c r="C7" i="25"/>
  <c r="AN6" i="25"/>
  <c r="AM6" i="25"/>
  <c r="O6" i="25"/>
  <c r="AO5" i="25"/>
  <c r="AN5" i="25"/>
  <c r="AI6" i="25" s="1"/>
  <c r="AM5" i="25"/>
  <c r="AG6" i="25" s="1"/>
  <c r="AK5" i="25"/>
  <c r="G5" i="25"/>
  <c r="G6" i="25" s="1"/>
  <c r="AD4" i="25"/>
  <c r="Z4" i="25"/>
  <c r="O4" i="25"/>
  <c r="G4" i="25"/>
  <c r="G10" i="25" s="1"/>
  <c r="C56" i="24"/>
  <c r="C55" i="24"/>
  <c r="C51" i="24"/>
  <c r="C50" i="24"/>
  <c r="AN44" i="24"/>
  <c r="AM44" i="24"/>
  <c r="AN43" i="24"/>
  <c r="AM43" i="24"/>
  <c r="AN42" i="24"/>
  <c r="AM42" i="24"/>
  <c r="AN41" i="24"/>
  <c r="AM41" i="24"/>
  <c r="C41" i="24"/>
  <c r="K21" i="24" s="1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AN33" i="24"/>
  <c r="AM33" i="24"/>
  <c r="AN32" i="24"/>
  <c r="AM32" i="24"/>
  <c r="G32" i="24"/>
  <c r="AN31" i="24"/>
  <c r="AM31" i="24"/>
  <c r="AN30" i="24"/>
  <c r="AM30" i="24"/>
  <c r="AN29" i="24"/>
  <c r="AM29" i="24"/>
  <c r="K29" i="24"/>
  <c r="G29" i="24"/>
  <c r="G27" i="24" s="1"/>
  <c r="AN28" i="24"/>
  <c r="AM28" i="24"/>
  <c r="K28" i="24"/>
  <c r="AN27" i="24"/>
  <c r="AM27" i="24"/>
  <c r="K27" i="24"/>
  <c r="AN26" i="24"/>
  <c r="AM26" i="24"/>
  <c r="K26" i="24"/>
  <c r="G26" i="24"/>
  <c r="AN25" i="24"/>
  <c r="AM25" i="24"/>
  <c r="G25" i="24"/>
  <c r="AN24" i="24"/>
  <c r="AM24" i="24"/>
  <c r="K24" i="24"/>
  <c r="G24" i="24"/>
  <c r="AN23" i="24"/>
  <c r="AM23" i="24"/>
  <c r="K23" i="24"/>
  <c r="G23" i="24"/>
  <c r="C23" i="24"/>
  <c r="AN22" i="24"/>
  <c r="AM22" i="24"/>
  <c r="K22" i="24"/>
  <c r="AN21" i="24"/>
  <c r="AM21" i="24"/>
  <c r="O21" i="24"/>
  <c r="G14" i="24" s="1"/>
  <c r="G15" i="24" s="1"/>
  <c r="AN20" i="24"/>
  <c r="AM20" i="24"/>
  <c r="K20" i="24"/>
  <c r="AN19" i="24"/>
  <c r="AM19" i="24"/>
  <c r="O19" i="24"/>
  <c r="AN18" i="24"/>
  <c r="AM18" i="24"/>
  <c r="AN17" i="24"/>
  <c r="AM17" i="24"/>
  <c r="C17" i="24"/>
  <c r="AN16" i="24"/>
  <c r="AM16" i="24"/>
  <c r="C16" i="24"/>
  <c r="AN15" i="24"/>
  <c r="AM15" i="24"/>
  <c r="AN14" i="24"/>
  <c r="AM14" i="24"/>
  <c r="K14" i="24"/>
  <c r="AN13" i="24"/>
  <c r="AM13" i="24"/>
  <c r="AN12" i="24"/>
  <c r="AM12" i="24"/>
  <c r="AN11" i="24"/>
  <c r="AM11" i="24"/>
  <c r="O11" i="24"/>
  <c r="C11" i="24"/>
  <c r="C30" i="24" s="1"/>
  <c r="AN10" i="24"/>
  <c r="AM10" i="24"/>
  <c r="AN9" i="24"/>
  <c r="AM9" i="24"/>
  <c r="O9" i="24"/>
  <c r="C9" i="24"/>
  <c r="AN8" i="24"/>
  <c r="AM8" i="24"/>
  <c r="AN7" i="24"/>
  <c r="AM7" i="24"/>
  <c r="G7" i="24"/>
  <c r="C7" i="24"/>
  <c r="AN6" i="24"/>
  <c r="AM6" i="24"/>
  <c r="O6" i="24"/>
  <c r="AO5" i="24"/>
  <c r="AN5" i="24"/>
  <c r="AI6" i="24" s="1"/>
  <c r="AM5" i="24"/>
  <c r="AG6" i="24" s="1"/>
  <c r="AK5" i="24"/>
  <c r="G5" i="24"/>
  <c r="G6" i="24" s="1"/>
  <c r="AD4" i="24"/>
  <c r="Z4" i="24"/>
  <c r="O4" i="24"/>
  <c r="G4" i="24"/>
  <c r="G10" i="24" s="1"/>
  <c r="C56" i="23"/>
  <c r="C55" i="23"/>
  <c r="C51" i="23"/>
  <c r="C50" i="23"/>
  <c r="AN44" i="23"/>
  <c r="AM44" i="23"/>
  <c r="AN43" i="23"/>
  <c r="AM43" i="23"/>
  <c r="AN42" i="23"/>
  <c r="AM42" i="23"/>
  <c r="AN41" i="23"/>
  <c r="AM41" i="23"/>
  <c r="C41" i="23"/>
  <c r="K21" i="23" s="1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AN33" i="23"/>
  <c r="AM33" i="23"/>
  <c r="AN32" i="23"/>
  <c r="AM32" i="23"/>
  <c r="G32" i="23"/>
  <c r="AN31" i="23"/>
  <c r="AM31" i="23"/>
  <c r="AN30" i="23"/>
  <c r="AM30" i="23"/>
  <c r="AN29" i="23"/>
  <c r="AM29" i="23"/>
  <c r="K29" i="23"/>
  <c r="G29" i="23"/>
  <c r="G27" i="23" s="1"/>
  <c r="AN28" i="23"/>
  <c r="AM28" i="23"/>
  <c r="K28" i="23"/>
  <c r="AN27" i="23"/>
  <c r="AM27" i="23"/>
  <c r="K27" i="23"/>
  <c r="AN26" i="23"/>
  <c r="AM26" i="23"/>
  <c r="K26" i="23"/>
  <c r="G26" i="23"/>
  <c r="AN25" i="23"/>
  <c r="AM25" i="23"/>
  <c r="G25" i="23"/>
  <c r="AN24" i="23"/>
  <c r="AM24" i="23"/>
  <c r="K24" i="23"/>
  <c r="G24" i="23"/>
  <c r="AN23" i="23"/>
  <c r="AM23" i="23"/>
  <c r="K23" i="23"/>
  <c r="G23" i="23"/>
  <c r="C23" i="23"/>
  <c r="AN22" i="23"/>
  <c r="AM22" i="23"/>
  <c r="K22" i="23"/>
  <c r="AN21" i="23"/>
  <c r="AM21" i="23"/>
  <c r="O21" i="23"/>
  <c r="G14" i="23" s="1"/>
  <c r="G15" i="23" s="1"/>
  <c r="AN20" i="23"/>
  <c r="AM20" i="23"/>
  <c r="K20" i="23"/>
  <c r="AN19" i="23"/>
  <c r="AM19" i="23"/>
  <c r="O19" i="23"/>
  <c r="AN18" i="23"/>
  <c r="AM18" i="23"/>
  <c r="AN17" i="23"/>
  <c r="AM17" i="23"/>
  <c r="C17" i="23"/>
  <c r="AN16" i="23"/>
  <c r="AM16" i="23"/>
  <c r="C16" i="23"/>
  <c r="AN15" i="23"/>
  <c r="AM15" i="23"/>
  <c r="AN14" i="23"/>
  <c r="AM14" i="23"/>
  <c r="K14" i="23"/>
  <c r="AN13" i="23"/>
  <c r="AM13" i="23"/>
  <c r="AN12" i="23"/>
  <c r="AM12" i="23"/>
  <c r="AN11" i="23"/>
  <c r="AM11" i="23"/>
  <c r="O11" i="23"/>
  <c r="C11" i="23"/>
  <c r="C30" i="23" s="1"/>
  <c r="AN10" i="23"/>
  <c r="AM10" i="23"/>
  <c r="AN9" i="23"/>
  <c r="AM9" i="23"/>
  <c r="O9" i="23"/>
  <c r="C9" i="23"/>
  <c r="AN8" i="23"/>
  <c r="AM8" i="23"/>
  <c r="AN7" i="23"/>
  <c r="AM7" i="23"/>
  <c r="G7" i="23"/>
  <c r="C7" i="23"/>
  <c r="AN6" i="23"/>
  <c r="AM6" i="23"/>
  <c r="O6" i="23"/>
  <c r="AO5" i="23"/>
  <c r="AN5" i="23"/>
  <c r="AI6" i="23" s="1"/>
  <c r="AM5" i="23"/>
  <c r="AG6" i="23" s="1"/>
  <c r="AK5" i="23"/>
  <c r="G5" i="23"/>
  <c r="G6" i="23" s="1"/>
  <c r="AD4" i="23"/>
  <c r="Z4" i="23"/>
  <c r="O4" i="23"/>
  <c r="G4" i="23"/>
  <c r="G10" i="23" s="1"/>
  <c r="C56" i="22"/>
  <c r="C55" i="22"/>
  <c r="C51" i="22"/>
  <c r="C50" i="22"/>
  <c r="AN44" i="22"/>
  <c r="AM44" i="22"/>
  <c r="AN43" i="22"/>
  <c r="AM43" i="22"/>
  <c r="AN42" i="22"/>
  <c r="AM42" i="22"/>
  <c r="AN41" i="22"/>
  <c r="AM41" i="22"/>
  <c r="C41" i="22"/>
  <c r="K21" i="22" s="1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AN33" i="22"/>
  <c r="AM33" i="22"/>
  <c r="AN32" i="22"/>
  <c r="AM32" i="22"/>
  <c r="G32" i="22"/>
  <c r="AN31" i="22"/>
  <c r="AM31" i="22"/>
  <c r="AN30" i="22"/>
  <c r="AM30" i="22"/>
  <c r="AN29" i="22"/>
  <c r="AM29" i="22"/>
  <c r="K29" i="22"/>
  <c r="G29" i="22"/>
  <c r="G27" i="22" s="1"/>
  <c r="AN28" i="22"/>
  <c r="AM28" i="22"/>
  <c r="K28" i="22"/>
  <c r="AN27" i="22"/>
  <c r="AM27" i="22"/>
  <c r="K27" i="22"/>
  <c r="AN26" i="22"/>
  <c r="AM26" i="22"/>
  <c r="K26" i="22"/>
  <c r="G26" i="22"/>
  <c r="AN25" i="22"/>
  <c r="AM25" i="22"/>
  <c r="G25" i="22"/>
  <c r="AN24" i="22"/>
  <c r="AM24" i="22"/>
  <c r="K24" i="22"/>
  <c r="G24" i="22"/>
  <c r="AN23" i="22"/>
  <c r="AM23" i="22"/>
  <c r="K23" i="22"/>
  <c r="G23" i="22"/>
  <c r="C23" i="22"/>
  <c r="AN22" i="22"/>
  <c r="AM22" i="22"/>
  <c r="K22" i="22"/>
  <c r="AN21" i="22"/>
  <c r="AM21" i="22"/>
  <c r="O21" i="22"/>
  <c r="G14" i="22" s="1"/>
  <c r="G15" i="22" s="1"/>
  <c r="AN20" i="22"/>
  <c r="AM20" i="22"/>
  <c r="K20" i="22"/>
  <c r="AN19" i="22"/>
  <c r="AM19" i="22"/>
  <c r="O19" i="22"/>
  <c r="AN18" i="22"/>
  <c r="AM18" i="22"/>
  <c r="AN17" i="22"/>
  <c r="AM17" i="22"/>
  <c r="C17" i="22"/>
  <c r="AN16" i="22"/>
  <c r="AM16" i="22"/>
  <c r="C16" i="22"/>
  <c r="AN15" i="22"/>
  <c r="AM15" i="22"/>
  <c r="AN14" i="22"/>
  <c r="AM14" i="22"/>
  <c r="K14" i="22"/>
  <c r="AN13" i="22"/>
  <c r="AM13" i="22"/>
  <c r="AN12" i="22"/>
  <c r="AM12" i="22"/>
  <c r="AN11" i="22"/>
  <c r="AM11" i="22"/>
  <c r="O11" i="22"/>
  <c r="C11" i="22"/>
  <c r="C30" i="22" s="1"/>
  <c r="AN10" i="22"/>
  <c r="AM10" i="22"/>
  <c r="AN9" i="22"/>
  <c r="AM9" i="22"/>
  <c r="O9" i="22"/>
  <c r="C9" i="22"/>
  <c r="AN8" i="22"/>
  <c r="AM8" i="22"/>
  <c r="AN7" i="22"/>
  <c r="AM7" i="22"/>
  <c r="G7" i="22"/>
  <c r="C7" i="22"/>
  <c r="AN6" i="22"/>
  <c r="AM6" i="22"/>
  <c r="O6" i="22"/>
  <c r="AO5" i="22"/>
  <c r="AN5" i="22"/>
  <c r="AI6" i="22" s="1"/>
  <c r="AM5" i="22"/>
  <c r="AG6" i="22" s="1"/>
  <c r="AK5" i="22"/>
  <c r="G5" i="22"/>
  <c r="G6" i="22" s="1"/>
  <c r="AD4" i="22"/>
  <c r="Z4" i="22"/>
  <c r="O4" i="22"/>
  <c r="G4" i="22"/>
  <c r="G10" i="22" s="1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O22" i="21"/>
  <c r="K22" i="21"/>
  <c r="AN21" i="21"/>
  <c r="AM21" i="21"/>
  <c r="O21" i="2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G14" i="21"/>
  <c r="G15" i="21" s="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G14" i="19" s="1"/>
  <c r="G15" i="19" s="1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O22" i="23" l="1"/>
  <c r="O25" i="23" s="1"/>
  <c r="O22" i="22"/>
  <c r="AK6" i="19"/>
  <c r="AI7" i="19" s="1"/>
  <c r="O25" i="21"/>
  <c r="AK6" i="21"/>
  <c r="AI7" i="21" s="1"/>
  <c r="K46" i="25"/>
  <c r="AK6" i="23"/>
  <c r="AI7" i="23" s="1"/>
  <c r="AK6" i="22"/>
  <c r="AI7" i="22" s="1"/>
  <c r="AI8" i="22" s="1"/>
  <c r="K38" i="25"/>
  <c r="G28" i="25"/>
  <c r="K4" i="25"/>
  <c r="G8" i="25"/>
  <c r="G9" i="25" s="1"/>
  <c r="K25" i="25"/>
  <c r="K45" i="25" s="1"/>
  <c r="AO6" i="25"/>
  <c r="G13" i="25"/>
  <c r="K11" i="25" s="1"/>
  <c r="O22" i="25"/>
  <c r="O5" i="25"/>
  <c r="AK6" i="25"/>
  <c r="AI7" i="25" s="1"/>
  <c r="AG7" i="25"/>
  <c r="K42" i="25"/>
  <c r="K34" i="25"/>
  <c r="O12" i="25"/>
  <c r="O13" i="25" s="1"/>
  <c r="O16" i="25" s="1"/>
  <c r="K46" i="24"/>
  <c r="AG7" i="24"/>
  <c r="K38" i="24"/>
  <c r="G28" i="24"/>
  <c r="AO6" i="24"/>
  <c r="K46" i="23"/>
  <c r="G13" i="24"/>
  <c r="K11" i="24" s="1"/>
  <c r="O5" i="24"/>
  <c r="K25" i="24"/>
  <c r="K37" i="24" s="1"/>
  <c r="K4" i="24"/>
  <c r="G8" i="24"/>
  <c r="G9" i="24" s="1"/>
  <c r="AK6" i="24"/>
  <c r="AI7" i="24" s="1"/>
  <c r="O22" i="24"/>
  <c r="O25" i="24" s="1"/>
  <c r="K34" i="24"/>
  <c r="O12" i="24"/>
  <c r="O13" i="24" s="1"/>
  <c r="O16" i="24" s="1"/>
  <c r="K42" i="24"/>
  <c r="K38" i="23"/>
  <c r="G28" i="23"/>
  <c r="AO6" i="23"/>
  <c r="O5" i="23"/>
  <c r="G13" i="23"/>
  <c r="K11" i="23"/>
  <c r="K4" i="23"/>
  <c r="K25" i="23"/>
  <c r="K45" i="23" s="1"/>
  <c r="G8" i="23"/>
  <c r="G9" i="23" s="1"/>
  <c r="AG7" i="23"/>
  <c r="AK7" i="23" s="1"/>
  <c r="AG8" i="23" s="1"/>
  <c r="K42" i="23"/>
  <c r="K34" i="23"/>
  <c r="K38" i="22"/>
  <c r="AG7" i="22"/>
  <c r="G28" i="22"/>
  <c r="K46" i="22"/>
  <c r="K46" i="21"/>
  <c r="K4" i="22"/>
  <c r="G8" i="22"/>
  <c r="G9" i="22" s="1"/>
  <c r="K25" i="22"/>
  <c r="K37" i="22" s="1"/>
  <c r="O25" i="22"/>
  <c r="G13" i="22"/>
  <c r="O5" i="22"/>
  <c r="K11" i="22"/>
  <c r="AO6" i="22"/>
  <c r="K34" i="22"/>
  <c r="K42" i="22"/>
  <c r="O12" i="22"/>
  <c r="O13" i="22" s="1"/>
  <c r="O16" i="22" s="1"/>
  <c r="K38" i="21"/>
  <c r="G28" i="21"/>
  <c r="AO6" i="21"/>
  <c r="G13" i="21"/>
  <c r="O5" i="21"/>
  <c r="K25" i="21"/>
  <c r="K45" i="21" s="1"/>
  <c r="K4" i="21"/>
  <c r="G8" i="21"/>
  <c r="G9" i="21" s="1"/>
  <c r="K11" i="21"/>
  <c r="AG7" i="21"/>
  <c r="K34" i="21"/>
  <c r="K42" i="21"/>
  <c r="O25" i="20"/>
  <c r="K46" i="20"/>
  <c r="AG7" i="20"/>
  <c r="K38" i="20"/>
  <c r="AO6" i="20"/>
  <c r="G28" i="20"/>
  <c r="K38" i="19"/>
  <c r="G13" i="20"/>
  <c r="K11" i="20" s="1"/>
  <c r="O5" i="20"/>
  <c r="AK6" i="20"/>
  <c r="AI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G13" i="19"/>
  <c r="K11" i="19" s="1"/>
  <c r="O5" i="19"/>
  <c r="O22" i="19"/>
  <c r="O25" i="19" s="1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I8" i="23" l="1"/>
  <c r="AK7" i="21"/>
  <c r="AI8" i="21" s="1"/>
  <c r="AK7" i="25"/>
  <c r="AG8" i="25" s="1"/>
  <c r="AO7" i="24"/>
  <c r="K37" i="25"/>
  <c r="AK7" i="22"/>
  <c r="AG8" i="22" s="1"/>
  <c r="AK8" i="22" s="1"/>
  <c r="AI9" i="22" s="1"/>
  <c r="AI10" i="22" s="1"/>
  <c r="AO7" i="25"/>
  <c r="O25" i="25"/>
  <c r="K5" i="25"/>
  <c r="O14" i="25"/>
  <c r="O10" i="25"/>
  <c r="AK7" i="24"/>
  <c r="AG8" i="24" s="1"/>
  <c r="K45" i="24"/>
  <c r="O10" i="24"/>
  <c r="O14" i="24"/>
  <c r="K5" i="24"/>
  <c r="K37" i="23"/>
  <c r="AK8" i="23"/>
  <c r="AI9" i="23" s="1"/>
  <c r="AG9" i="23"/>
  <c r="AO8" i="23"/>
  <c r="AO7" i="23"/>
  <c r="O10" i="23"/>
  <c r="K5" i="23"/>
  <c r="O12" i="23"/>
  <c r="O13" i="23" s="1"/>
  <c r="O16" i="23" s="1"/>
  <c r="AO7" i="22"/>
  <c r="AK7" i="19"/>
  <c r="AI8" i="19" s="1"/>
  <c r="K45" i="22"/>
  <c r="AO7" i="20"/>
  <c r="AO7" i="19"/>
  <c r="O14" i="22"/>
  <c r="O10" i="22"/>
  <c r="K5" i="22"/>
  <c r="AO7" i="21"/>
  <c r="K5" i="21"/>
  <c r="AG8" i="21"/>
  <c r="AK8" i="21" s="1"/>
  <c r="AG9" i="21" s="1"/>
  <c r="K37" i="21"/>
  <c r="O10" i="21"/>
  <c r="O12" i="21"/>
  <c r="O13" i="21" s="1"/>
  <c r="O16" i="21" s="1"/>
  <c r="K45" i="20"/>
  <c r="K5" i="20"/>
  <c r="AK7" i="20"/>
  <c r="AG8" i="20" s="1"/>
  <c r="O14" i="20"/>
  <c r="O10" i="20"/>
  <c r="K45" i="19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G8" i="19" l="1"/>
  <c r="AI8" i="25"/>
  <c r="AO8" i="25" s="1"/>
  <c r="AG9" i="22"/>
  <c r="AK9" i="22" s="1"/>
  <c r="AG10" i="22" s="1"/>
  <c r="AO10" i="22" s="1"/>
  <c r="AO8" i="22"/>
  <c r="AI8" i="24"/>
  <c r="AO8" i="24" s="1"/>
  <c r="AK9" i="23"/>
  <c r="AG10" i="23" s="1"/>
  <c r="O20" i="25"/>
  <c r="O15" i="25"/>
  <c r="O28" i="25"/>
  <c r="O30" i="25" s="1"/>
  <c r="O20" i="24"/>
  <c r="O15" i="24"/>
  <c r="AK8" i="24"/>
  <c r="AI9" i="24" s="1"/>
  <c r="AO8" i="19"/>
  <c r="O14" i="23"/>
  <c r="AO9" i="23"/>
  <c r="AO9" i="22"/>
  <c r="O20" i="22"/>
  <c r="O15" i="22"/>
  <c r="AI9" i="21"/>
  <c r="AK9" i="21" s="1"/>
  <c r="AK8" i="19"/>
  <c r="AI9" i="19" s="1"/>
  <c r="O14" i="21"/>
  <c r="AO8" i="21"/>
  <c r="AG9" i="19"/>
  <c r="AI8" i="20"/>
  <c r="AK8" i="20" s="1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I10" i="23" l="1"/>
  <c r="AK10" i="23" s="1"/>
  <c r="AG11" i="23" s="1"/>
  <c r="AK8" i="25"/>
  <c r="AG9" i="25" s="1"/>
  <c r="AK9" i="19"/>
  <c r="AI9" i="25"/>
  <c r="AI10" i="25" s="1"/>
  <c r="AG9" i="24"/>
  <c r="O23" i="25"/>
  <c r="G16" i="25"/>
  <c r="K16" i="25"/>
  <c r="AK10" i="22"/>
  <c r="AO9" i="24"/>
  <c r="AK9" i="24"/>
  <c r="AG10" i="24" s="1"/>
  <c r="O23" i="24"/>
  <c r="G16" i="24"/>
  <c r="K16" i="24"/>
  <c r="O28" i="24"/>
  <c r="O30" i="24" s="1"/>
  <c r="AO9" i="21"/>
  <c r="AO10" i="23"/>
  <c r="AI11" i="23"/>
  <c r="AO11" i="23" s="1"/>
  <c r="O20" i="23"/>
  <c r="O15" i="23"/>
  <c r="AO8" i="20"/>
  <c r="G16" i="22"/>
  <c r="O23" i="22"/>
  <c r="K16" i="22"/>
  <c r="O28" i="22"/>
  <c r="O30" i="22" s="1"/>
  <c r="AG10" i="21"/>
  <c r="AI10" i="21"/>
  <c r="AI9" i="20"/>
  <c r="AI10" i="20" s="1"/>
  <c r="AG9" i="20"/>
  <c r="O20" i="21"/>
  <c r="O15" i="21"/>
  <c r="AO9" i="19"/>
  <c r="AG10" i="19"/>
  <c r="AI10" i="19"/>
  <c r="G16" i="20"/>
  <c r="O23" i="20"/>
  <c r="K16" i="20"/>
  <c r="O28" i="20"/>
  <c r="O30" i="20" s="1"/>
  <c r="G16" i="19"/>
  <c r="O23" i="19"/>
  <c r="K16" i="19"/>
  <c r="O28" i="19"/>
  <c r="O30" i="19" s="1"/>
  <c r="AO6" i="12"/>
  <c r="AK6" i="12"/>
  <c r="AG7" i="12" s="1"/>
  <c r="AG11" i="22" l="1"/>
  <c r="AI11" i="22"/>
  <c r="AO9" i="25"/>
  <c r="AK9" i="25"/>
  <c r="AG10" i="25" s="1"/>
  <c r="AK10" i="25" s="1"/>
  <c r="AG11" i="25" s="1"/>
  <c r="AI10" i="24"/>
  <c r="AO10" i="24" s="1"/>
  <c r="AO9" i="20"/>
  <c r="AO11" i="22"/>
  <c r="AK10" i="24"/>
  <c r="AG11" i="24" s="1"/>
  <c r="G19" i="25"/>
  <c r="AA4" i="25"/>
  <c r="W4" i="25"/>
  <c r="Y4" i="25"/>
  <c r="AO10" i="21"/>
  <c r="G19" i="24"/>
  <c r="W4" i="24"/>
  <c r="AA4" i="24"/>
  <c r="Y4" i="24"/>
  <c r="O23" i="23"/>
  <c r="G16" i="23"/>
  <c r="O28" i="23"/>
  <c r="O30" i="23" s="1"/>
  <c r="K16" i="23"/>
  <c r="AK11" i="23"/>
  <c r="AO10" i="19"/>
  <c r="AK9" i="20"/>
  <c r="AG10" i="20" s="1"/>
  <c r="AO10" i="20" s="1"/>
  <c r="G19" i="22"/>
  <c r="Y4" i="22"/>
  <c r="W4" i="22"/>
  <c r="AA4" i="22"/>
  <c r="AK10" i="19"/>
  <c r="AG11" i="19" s="1"/>
  <c r="AK10" i="21"/>
  <c r="G16" i="21"/>
  <c r="O23" i="21"/>
  <c r="K16" i="21"/>
  <c r="O28" i="21"/>
  <c r="O30" i="21" s="1"/>
  <c r="G19" i="20"/>
  <c r="W4" i="20"/>
  <c r="Y4" i="20"/>
  <c r="AA4" i="20"/>
  <c r="G19" i="19"/>
  <c r="Y4" i="19"/>
  <c r="W4" i="19"/>
  <c r="AA4" i="19"/>
  <c r="AI7" i="12"/>
  <c r="AO7" i="12" s="1"/>
  <c r="AI11" i="24" l="1"/>
  <c r="AK11" i="22"/>
  <c r="AO10" i="25"/>
  <c r="AI11" i="19"/>
  <c r="AK11" i="19" s="1"/>
  <c r="AI12" i="19" s="1"/>
  <c r="AI11" i="25"/>
  <c r="AO11" i="24"/>
  <c r="AB4" i="25"/>
  <c r="V5" i="25" s="1"/>
  <c r="W5" i="25" s="1"/>
  <c r="AI12" i="23"/>
  <c r="AG12" i="23"/>
  <c r="AO12" i="23" s="1"/>
  <c r="AK10" i="20"/>
  <c r="AG11" i="20" s="1"/>
  <c r="AG12" i="20" s="1"/>
  <c r="AO11" i="25"/>
  <c r="AK11" i="25"/>
  <c r="AI12" i="25" s="1"/>
  <c r="AC4" i="25"/>
  <c r="X5" i="25" s="1"/>
  <c r="AC4" i="24"/>
  <c r="X5" i="24" s="1"/>
  <c r="Y5" i="24" s="1"/>
  <c r="AB4" i="24"/>
  <c r="V5" i="24" s="1"/>
  <c r="AK11" i="24"/>
  <c r="G19" i="23"/>
  <c r="W4" i="23"/>
  <c r="AA4" i="23"/>
  <c r="Y4" i="23"/>
  <c r="AB4" i="22"/>
  <c r="V5" i="22" s="1"/>
  <c r="W5" i="22" s="1"/>
  <c r="AC4" i="22"/>
  <c r="X5" i="22" s="1"/>
  <c r="Y5" i="22" s="1"/>
  <c r="AG11" i="21"/>
  <c r="AI11" i="21"/>
  <c r="G19" i="21"/>
  <c r="Y4" i="21"/>
  <c r="W4" i="21"/>
  <c r="AA4" i="21"/>
  <c r="AI11" i="20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O11" i="19" l="1"/>
  <c r="AI12" i="22"/>
  <c r="AG12" i="22"/>
  <c r="AK12" i="22" s="1"/>
  <c r="AK12" i="23"/>
  <c r="AG13" i="23" s="1"/>
  <c r="AG12" i="25"/>
  <c r="AK12" i="25" s="1"/>
  <c r="AG13" i="25" s="1"/>
  <c r="AK11" i="20"/>
  <c r="AI12" i="20" s="1"/>
  <c r="AK12" i="20" s="1"/>
  <c r="AG13" i="20" s="1"/>
  <c r="AO11" i="21"/>
  <c r="Z5" i="24"/>
  <c r="AA5" i="24" s="1"/>
  <c r="AC5" i="24" s="1"/>
  <c r="X6" i="24" s="1"/>
  <c r="Y6" i="24" s="1"/>
  <c r="AI12" i="24"/>
  <c r="AG12" i="24"/>
  <c r="W5" i="24"/>
  <c r="AG12" i="19"/>
  <c r="AO12" i="19" s="1"/>
  <c r="AD5" i="24"/>
  <c r="AD5" i="25"/>
  <c r="Y5" i="25"/>
  <c r="Z5" i="25"/>
  <c r="AA5" i="25" s="1"/>
  <c r="AB5" i="25" s="1"/>
  <c r="V6" i="25" s="1"/>
  <c r="AO11" i="20"/>
  <c r="AB4" i="23"/>
  <c r="V5" i="23" s="1"/>
  <c r="W5" i="23" s="1"/>
  <c r="AD5" i="22"/>
  <c r="AC4" i="23"/>
  <c r="X5" i="23" s="1"/>
  <c r="Z5" i="22"/>
  <c r="AA5" i="22" s="1"/>
  <c r="AC5" i="22" s="1"/>
  <c r="X6" i="22" s="1"/>
  <c r="AK11" i="21"/>
  <c r="AI12" i="21" s="1"/>
  <c r="AB4" i="21"/>
  <c r="V5" i="21" s="1"/>
  <c r="AC4" i="21"/>
  <c r="X5" i="21" s="1"/>
  <c r="Z5" i="20"/>
  <c r="AA5" i="20" s="1"/>
  <c r="W5" i="20"/>
  <c r="AD5" i="20"/>
  <c r="Y5" i="20"/>
  <c r="Z5" i="19"/>
  <c r="AA5" i="19" s="1"/>
  <c r="AC5" i="19" s="1"/>
  <c r="X6" i="19" s="1"/>
  <c r="W5" i="19"/>
  <c r="AD5" i="19"/>
  <c r="AG8" i="12"/>
  <c r="AO8" i="12" s="1"/>
  <c r="AI13" i="23" l="1"/>
  <c r="AK13" i="23" s="1"/>
  <c r="AI14" i="23" s="1"/>
  <c r="AB5" i="24"/>
  <c r="V6" i="24" s="1"/>
  <c r="Z6" i="24" s="1"/>
  <c r="AA6" i="24" s="1"/>
  <c r="AC6" i="24" s="1"/>
  <c r="X7" i="24" s="1"/>
  <c r="Y7" i="24" s="1"/>
  <c r="AO12" i="20"/>
  <c r="AO12" i="25"/>
  <c r="AG14" i="23"/>
  <c r="AK14" i="23" s="1"/>
  <c r="AG15" i="23" s="1"/>
  <c r="AG13" i="22"/>
  <c r="AI13" i="22"/>
  <c r="AO13" i="22" s="1"/>
  <c r="AO12" i="22"/>
  <c r="AO13" i="23"/>
  <c r="AO12" i="24"/>
  <c r="AI13" i="25"/>
  <c r="AK13" i="25" s="1"/>
  <c r="AI14" i="25" s="1"/>
  <c r="AD6" i="24"/>
  <c r="AK12" i="24"/>
  <c r="AK12" i="19"/>
  <c r="AC5" i="25"/>
  <c r="X6" i="25" s="1"/>
  <c r="Z6" i="25" s="1"/>
  <c r="AA6" i="25" s="1"/>
  <c r="W6" i="25"/>
  <c r="AD5" i="23"/>
  <c r="Y5" i="23"/>
  <c r="AO14" i="23"/>
  <c r="Z5" i="23"/>
  <c r="AA5" i="23" s="1"/>
  <c r="AB5" i="23" s="1"/>
  <c r="V6" i="23" s="1"/>
  <c r="AC5" i="20"/>
  <c r="X6" i="20" s="1"/>
  <c r="Y6" i="20" s="1"/>
  <c r="Y6" i="22"/>
  <c r="AB5" i="22"/>
  <c r="V6" i="22" s="1"/>
  <c r="AI13" i="20"/>
  <c r="AO13" i="20" s="1"/>
  <c r="AG12" i="21"/>
  <c r="AO12" i="21" s="1"/>
  <c r="AD5" i="21"/>
  <c r="Y5" i="21"/>
  <c r="Z5" i="21"/>
  <c r="AA5" i="21" s="1"/>
  <c r="W5" i="21"/>
  <c r="AB5" i="19"/>
  <c r="V6" i="19" s="1"/>
  <c r="Z6" i="19" s="1"/>
  <c r="AA6" i="19" s="1"/>
  <c r="AB5" i="20"/>
  <c r="V6" i="20" s="1"/>
  <c r="Y6" i="19"/>
  <c r="AK8" i="12"/>
  <c r="AI9" i="12" s="1"/>
  <c r="W6" i="24" l="1"/>
  <c r="AB6" i="24" s="1"/>
  <c r="V7" i="24" s="1"/>
  <c r="AK13" i="22"/>
  <c r="AO13" i="25"/>
  <c r="AG14" i="25"/>
  <c r="AK14" i="25" s="1"/>
  <c r="AG15" i="25" s="1"/>
  <c r="AG13" i="24"/>
  <c r="AI13" i="24"/>
  <c r="AK13" i="24" s="1"/>
  <c r="AI15" i="23"/>
  <c r="AO15" i="23" s="1"/>
  <c r="AG13" i="19"/>
  <c r="AI13" i="19"/>
  <c r="AB6" i="25"/>
  <c r="V7" i="25" s="1"/>
  <c r="AD6" i="25"/>
  <c r="Y6" i="25"/>
  <c r="AC6" i="25" s="1"/>
  <c r="X7" i="25" s="1"/>
  <c r="AK13" i="20"/>
  <c r="AI14" i="20" s="1"/>
  <c r="AD6" i="20"/>
  <c r="AK12" i="21"/>
  <c r="AI13" i="21" s="1"/>
  <c r="W6" i="23"/>
  <c r="AC5" i="23"/>
  <c r="X6" i="23" s="1"/>
  <c r="Z6" i="22"/>
  <c r="AA6" i="22" s="1"/>
  <c r="AC6" i="22" s="1"/>
  <c r="X7" i="22" s="1"/>
  <c r="W6" i="22"/>
  <c r="AD6" i="22"/>
  <c r="AB5" i="21"/>
  <c r="V6" i="21" s="1"/>
  <c r="W6" i="21" s="1"/>
  <c r="AD6" i="19"/>
  <c r="W6" i="19"/>
  <c r="AB6" i="19" s="1"/>
  <c r="V7" i="19" s="1"/>
  <c r="AC5" i="21"/>
  <c r="X6" i="21" s="1"/>
  <c r="Z6" i="20"/>
  <c r="AA6" i="20" s="1"/>
  <c r="AC6" i="20" s="1"/>
  <c r="X7" i="20" s="1"/>
  <c r="W6" i="20"/>
  <c r="AG14" i="20"/>
  <c r="AC6" i="19"/>
  <c r="X7" i="19" s="1"/>
  <c r="AG9" i="12"/>
  <c r="AO9" i="12" s="1"/>
  <c r="AD7" i="24" l="1"/>
  <c r="Z7" i="24"/>
  <c r="AA7" i="24" s="1"/>
  <c r="AC7" i="24" s="1"/>
  <c r="X8" i="24" s="1"/>
  <c r="Y8" i="24" s="1"/>
  <c r="W7" i="24"/>
  <c r="AO14" i="25"/>
  <c r="AI14" i="22"/>
  <c r="AG14" i="22"/>
  <c r="AK15" i="23"/>
  <c r="AI16" i="23" s="1"/>
  <c r="AO13" i="19"/>
  <c r="AK13" i="19"/>
  <c r="AG14" i="19" s="1"/>
  <c r="AB7" i="24"/>
  <c r="V8" i="24" s="1"/>
  <c r="Z8" i="24" s="1"/>
  <c r="AA8" i="24" s="1"/>
  <c r="AI15" i="25"/>
  <c r="AO15" i="25" s="1"/>
  <c r="AO13" i="24"/>
  <c r="AI14" i="24"/>
  <c r="AG14" i="24"/>
  <c r="AG13" i="21"/>
  <c r="AK13" i="21" s="1"/>
  <c r="AI14" i="21" s="1"/>
  <c r="AI14" i="19"/>
  <c r="AB6" i="20"/>
  <c r="V7" i="20" s="1"/>
  <c r="W7" i="20" s="1"/>
  <c r="AD7" i="25"/>
  <c r="Y7" i="25"/>
  <c r="Z7" i="25"/>
  <c r="AA7" i="25" s="1"/>
  <c r="W7" i="25"/>
  <c r="AB6" i="22"/>
  <c r="V7" i="22" s="1"/>
  <c r="Z7" i="22" s="1"/>
  <c r="AA7" i="22" s="1"/>
  <c r="AD6" i="23"/>
  <c r="Y6" i="23"/>
  <c r="Z6" i="23"/>
  <c r="AA6" i="23" s="1"/>
  <c r="AB6" i="23" s="1"/>
  <c r="V7" i="23" s="1"/>
  <c r="Y7" i="22"/>
  <c r="AO14" i="20"/>
  <c r="AD6" i="21"/>
  <c r="Y6" i="21"/>
  <c r="Z6" i="21"/>
  <c r="AA6" i="21" s="1"/>
  <c r="AB6" i="21" s="1"/>
  <c r="V7" i="21" s="1"/>
  <c r="AK14" i="20"/>
  <c r="AG15" i="20" s="1"/>
  <c r="Y7" i="20"/>
  <c r="Z7" i="19"/>
  <c r="AA7" i="19" s="1"/>
  <c r="W7" i="19"/>
  <c r="AD7" i="19"/>
  <c r="Y7" i="19"/>
  <c r="AK9" i="12"/>
  <c r="AI10" i="12" s="1"/>
  <c r="AK14" i="22" l="1"/>
  <c r="AK15" i="25"/>
  <c r="AI16" i="25" s="1"/>
  <c r="AD8" i="24"/>
  <c r="AG16" i="23"/>
  <c r="AO16" i="23" s="1"/>
  <c r="W8" i="24"/>
  <c r="AB8" i="24" s="1"/>
  <c r="V9" i="24" s="1"/>
  <c r="AC8" i="24"/>
  <c r="X9" i="24" s="1"/>
  <c r="Y9" i="24" s="1"/>
  <c r="AG15" i="22"/>
  <c r="AI15" i="22"/>
  <c r="AO14" i="22"/>
  <c r="AK14" i="24"/>
  <c r="AG15" i="24" s="1"/>
  <c r="AK16" i="23"/>
  <c r="AG17" i="23" s="1"/>
  <c r="AO13" i="21"/>
  <c r="AG16" i="25"/>
  <c r="AG14" i="21"/>
  <c r="AO14" i="21" s="1"/>
  <c r="AO14" i="19"/>
  <c r="AD7" i="20"/>
  <c r="AO14" i="24"/>
  <c r="Z7" i="20"/>
  <c r="AA7" i="20" s="1"/>
  <c r="AB7" i="20" s="1"/>
  <c r="V8" i="20" s="1"/>
  <c r="W8" i="20" s="1"/>
  <c r="AK14" i="19"/>
  <c r="AD7" i="22"/>
  <c r="AB7" i="25"/>
  <c r="V8" i="25" s="1"/>
  <c r="W8" i="25" s="1"/>
  <c r="W7" i="22"/>
  <c r="AB7" i="22" s="1"/>
  <c r="V8" i="22" s="1"/>
  <c r="AC7" i="25"/>
  <c r="X8" i="25" s="1"/>
  <c r="W7" i="23"/>
  <c r="AC6" i="23"/>
  <c r="X7" i="23" s="1"/>
  <c r="AC7" i="22"/>
  <c r="X8" i="22" s="1"/>
  <c r="AI15" i="20"/>
  <c r="AO15" i="20" s="1"/>
  <c r="W7" i="21"/>
  <c r="AC6" i="21"/>
  <c r="X7" i="21" s="1"/>
  <c r="AC7" i="19"/>
  <c r="X8" i="19" s="1"/>
  <c r="Y8" i="19" s="1"/>
  <c r="AB7" i="19"/>
  <c r="V8" i="19" s="1"/>
  <c r="AG10" i="12"/>
  <c r="AO10" i="12" s="1"/>
  <c r="AO15" i="22" l="1"/>
  <c r="AO16" i="25"/>
  <c r="Z9" i="24"/>
  <c r="AA9" i="24" s="1"/>
  <c r="AC9" i="24" s="1"/>
  <c r="X10" i="24" s="1"/>
  <c r="W9" i="24"/>
  <c r="AD9" i="24"/>
  <c r="AI17" i="23"/>
  <c r="AO17" i="23" s="1"/>
  <c r="AK16" i="25"/>
  <c r="AG17" i="25" s="1"/>
  <c r="AI15" i="24"/>
  <c r="AO15" i="24" s="1"/>
  <c r="AK15" i="22"/>
  <c r="AK14" i="21"/>
  <c r="AI15" i="21" s="1"/>
  <c r="AK17" i="23"/>
  <c r="AG18" i="23" s="1"/>
  <c r="AC7" i="20"/>
  <c r="X8" i="20" s="1"/>
  <c r="Z8" i="20" s="1"/>
  <c r="AA8" i="20" s="1"/>
  <c r="AB8" i="20" s="1"/>
  <c r="V9" i="20" s="1"/>
  <c r="AG15" i="19"/>
  <c r="AI15" i="19"/>
  <c r="AD8" i="25"/>
  <c r="Y8" i="25"/>
  <c r="Z8" i="25"/>
  <c r="AA8" i="25" s="1"/>
  <c r="AB8" i="25" s="1"/>
  <c r="V9" i="25" s="1"/>
  <c r="AD7" i="23"/>
  <c r="Y7" i="23"/>
  <c r="Z7" i="23"/>
  <c r="AA7" i="23" s="1"/>
  <c r="AB7" i="23" s="1"/>
  <c r="V8" i="23" s="1"/>
  <c r="AK15" i="20"/>
  <c r="AG16" i="20" s="1"/>
  <c r="Y8" i="22"/>
  <c r="AD8" i="22"/>
  <c r="Z8" i="22"/>
  <c r="AA8" i="22" s="1"/>
  <c r="W8" i="22"/>
  <c r="AG15" i="21"/>
  <c r="AD7" i="21"/>
  <c r="Y7" i="21"/>
  <c r="Z7" i="21"/>
  <c r="AA7" i="21" s="1"/>
  <c r="AB7" i="21" s="1"/>
  <c r="V8" i="21" s="1"/>
  <c r="Z8" i="19"/>
  <c r="AA8" i="19" s="1"/>
  <c r="AC8" i="19" s="1"/>
  <c r="X9" i="19" s="1"/>
  <c r="W8" i="19"/>
  <c r="AD8" i="19"/>
  <c r="AK10" i="12"/>
  <c r="AB9" i="24" l="1"/>
  <c r="V10" i="24" s="1"/>
  <c r="W10" i="24" s="1"/>
  <c r="AI17" i="25"/>
  <c r="AK17" i="25" s="1"/>
  <c r="AG18" i="25" s="1"/>
  <c r="AK15" i="24"/>
  <c r="AO17" i="25"/>
  <c r="AD10" i="24"/>
  <c r="AI18" i="23"/>
  <c r="AO18" i="23" s="1"/>
  <c r="AD8" i="20"/>
  <c r="AI16" i="22"/>
  <c r="AG16" i="22"/>
  <c r="Z10" i="24"/>
  <c r="AA10" i="24" s="1"/>
  <c r="AB10" i="24" s="1"/>
  <c r="V11" i="24" s="1"/>
  <c r="W11" i="24" s="1"/>
  <c r="Y10" i="24"/>
  <c r="AI16" i="20"/>
  <c r="AK16" i="20" s="1"/>
  <c r="AI17" i="20" s="1"/>
  <c r="Y8" i="20"/>
  <c r="AC8" i="20" s="1"/>
  <c r="X9" i="20" s="1"/>
  <c r="AK15" i="21"/>
  <c r="AG16" i="21" s="1"/>
  <c r="AI16" i="24"/>
  <c r="AG16" i="24"/>
  <c r="AK15" i="19"/>
  <c r="AO15" i="19"/>
  <c r="W9" i="25"/>
  <c r="AC8" i="25"/>
  <c r="X9" i="25" s="1"/>
  <c r="W8" i="23"/>
  <c r="AC7" i="23"/>
  <c r="X8" i="23" s="1"/>
  <c r="AB8" i="22"/>
  <c r="V9" i="22" s="1"/>
  <c r="W9" i="22" s="1"/>
  <c r="AC8" i="22"/>
  <c r="X9" i="22" s="1"/>
  <c r="AO15" i="21"/>
  <c r="W8" i="21"/>
  <c r="AC7" i="21"/>
  <c r="X8" i="21" s="1"/>
  <c r="AB8" i="19"/>
  <c r="V9" i="19" s="1"/>
  <c r="AD9" i="19" s="1"/>
  <c r="W9" i="20"/>
  <c r="Y9" i="19"/>
  <c r="AG11" i="12"/>
  <c r="AI11" i="12"/>
  <c r="AK18" i="23" l="1"/>
  <c r="AC10" i="24"/>
  <c r="X11" i="24" s="1"/>
  <c r="AK16" i="22"/>
  <c r="AI18" i="25"/>
  <c r="AK18" i="25" s="1"/>
  <c r="AO18" i="25"/>
  <c r="AG17" i="22"/>
  <c r="AI17" i="22"/>
  <c r="AO17" i="22" s="1"/>
  <c r="AO16" i="22"/>
  <c r="AO16" i="20"/>
  <c r="AK16" i="24"/>
  <c r="AG17" i="24" s="1"/>
  <c r="AI16" i="21"/>
  <c r="AK16" i="21" s="1"/>
  <c r="AI17" i="21" s="1"/>
  <c r="AG17" i="20"/>
  <c r="AK17" i="20" s="1"/>
  <c r="AG19" i="25"/>
  <c r="AO16" i="24"/>
  <c r="AI19" i="23"/>
  <c r="AG19" i="23"/>
  <c r="AG16" i="19"/>
  <c r="AI16" i="19"/>
  <c r="AD9" i="25"/>
  <c r="Y9" i="25"/>
  <c r="Z9" i="25"/>
  <c r="AA9" i="25" s="1"/>
  <c r="AB9" i="25" s="1"/>
  <c r="V10" i="25" s="1"/>
  <c r="AD11" i="24"/>
  <c r="Y11" i="24"/>
  <c r="Z11" i="24"/>
  <c r="AA11" i="24" s="1"/>
  <c r="AB11" i="24" s="1"/>
  <c r="V12" i="24" s="1"/>
  <c r="AD8" i="23"/>
  <c r="Y8" i="23"/>
  <c r="Z8" i="23"/>
  <c r="AA8" i="23" s="1"/>
  <c r="AB8" i="23" s="1"/>
  <c r="V9" i="23" s="1"/>
  <c r="Z9" i="22"/>
  <c r="AA9" i="22" s="1"/>
  <c r="AB9" i="22" s="1"/>
  <c r="V10" i="22" s="1"/>
  <c r="AD9" i="22"/>
  <c r="Y9" i="22"/>
  <c r="W9" i="19"/>
  <c r="Z9" i="19"/>
  <c r="AA9" i="19" s="1"/>
  <c r="AD8" i="21"/>
  <c r="Y8" i="21"/>
  <c r="Z8" i="21"/>
  <c r="AA8" i="21" s="1"/>
  <c r="AB8" i="21" s="1"/>
  <c r="V9" i="21" s="1"/>
  <c r="AD9" i="20"/>
  <c r="Y9" i="20"/>
  <c r="Z9" i="20"/>
  <c r="AA9" i="20" s="1"/>
  <c r="AB9" i="20" s="1"/>
  <c r="V10" i="20" s="1"/>
  <c r="AO11" i="12"/>
  <c r="AK11" i="12"/>
  <c r="AB9" i="19" l="1"/>
  <c r="V10" i="19" s="1"/>
  <c r="AK19" i="23"/>
  <c r="AO16" i="21"/>
  <c r="AI19" i="25"/>
  <c r="AO19" i="25" s="1"/>
  <c r="AI17" i="24"/>
  <c r="AO17" i="20"/>
  <c r="AK17" i="22"/>
  <c r="AG17" i="21"/>
  <c r="AO17" i="21" s="1"/>
  <c r="AO17" i="24"/>
  <c r="AK17" i="24"/>
  <c r="AG18" i="24" s="1"/>
  <c r="AG20" i="23"/>
  <c r="AI20" i="23"/>
  <c r="AO19" i="23"/>
  <c r="AK16" i="19"/>
  <c r="AO16" i="19"/>
  <c r="AC9" i="22"/>
  <c r="X10" i="22" s="1"/>
  <c r="Z10" i="22" s="1"/>
  <c r="AA10" i="22" s="1"/>
  <c r="W10" i="25"/>
  <c r="AC9" i="25"/>
  <c r="X10" i="25" s="1"/>
  <c r="W12" i="24"/>
  <c r="AC11" i="24"/>
  <c r="X12" i="24" s="1"/>
  <c r="W9" i="23"/>
  <c r="AC8" i="23"/>
  <c r="X9" i="23" s="1"/>
  <c r="W10" i="22"/>
  <c r="AC9" i="19"/>
  <c r="X10" i="19" s="1"/>
  <c r="Y10" i="19" s="1"/>
  <c r="AG18" i="20"/>
  <c r="AI18" i="20"/>
  <c r="W9" i="21"/>
  <c r="AC8" i="21"/>
  <c r="X9" i="21" s="1"/>
  <c r="W10" i="20"/>
  <c r="AC9" i="20"/>
  <c r="X10" i="20" s="1"/>
  <c r="W10" i="19"/>
  <c r="AI12" i="12"/>
  <c r="AG12" i="12"/>
  <c r="AK17" i="21" l="1"/>
  <c r="AK19" i="25"/>
  <c r="AG20" i="25" s="1"/>
  <c r="AI20" i="25"/>
  <c r="AK20" i="25" s="1"/>
  <c r="AG18" i="22"/>
  <c r="AI18" i="22"/>
  <c r="AO18" i="22" s="1"/>
  <c r="AO20" i="23"/>
  <c r="AD10" i="22"/>
  <c r="Y10" i="22"/>
  <c r="AC10" i="22" s="1"/>
  <c r="X11" i="22" s="1"/>
  <c r="Y11" i="22" s="1"/>
  <c r="AI18" i="24"/>
  <c r="AO18" i="24" s="1"/>
  <c r="AK20" i="23"/>
  <c r="AG17" i="19"/>
  <c r="AI17" i="19"/>
  <c r="AD10" i="25"/>
  <c r="Y10" i="25"/>
  <c r="Z10" i="25"/>
  <c r="AA10" i="25" s="1"/>
  <c r="AB10" i="25" s="1"/>
  <c r="V11" i="25" s="1"/>
  <c r="AD12" i="24"/>
  <c r="Y12" i="24"/>
  <c r="Z12" i="24"/>
  <c r="AA12" i="24" s="1"/>
  <c r="AB12" i="24" s="1"/>
  <c r="V13" i="24" s="1"/>
  <c r="AD9" i="23"/>
  <c r="Y9" i="23"/>
  <c r="Z9" i="23"/>
  <c r="AA9" i="23" s="1"/>
  <c r="AB9" i="23" s="1"/>
  <c r="V10" i="23" s="1"/>
  <c r="AB10" i="22"/>
  <c r="V11" i="22" s="1"/>
  <c r="AD10" i="19"/>
  <c r="Z10" i="19"/>
  <c r="AA10" i="19" s="1"/>
  <c r="AC10" i="19" s="1"/>
  <c r="X11" i="19" s="1"/>
  <c r="Y11" i="19" s="1"/>
  <c r="AI18" i="21"/>
  <c r="AG18" i="21"/>
  <c r="AK18" i="20"/>
  <c r="AO18" i="20"/>
  <c r="AD9" i="21"/>
  <c r="Y9" i="21"/>
  <c r="Z9" i="21"/>
  <c r="AA9" i="21" s="1"/>
  <c r="AB9" i="21" s="1"/>
  <c r="V10" i="21" s="1"/>
  <c r="AD10" i="20"/>
  <c r="Y10" i="20"/>
  <c r="Z10" i="20"/>
  <c r="AA10" i="20" s="1"/>
  <c r="AB10" i="20" s="1"/>
  <c r="V11" i="20" s="1"/>
  <c r="AO12" i="12"/>
  <c r="AK12" i="12"/>
  <c r="AG21" i="25" l="1"/>
  <c r="AO20" i="25"/>
  <c r="AI21" i="25"/>
  <c r="AK18" i="22"/>
  <c r="AK18" i="24"/>
  <c r="AG21" i="23"/>
  <c r="AI21" i="23"/>
  <c r="AK17" i="19"/>
  <c r="AO17" i="19"/>
  <c r="W11" i="25"/>
  <c r="AC10" i="25"/>
  <c r="X11" i="25" s="1"/>
  <c r="W13" i="24"/>
  <c r="AC12" i="24"/>
  <c r="X13" i="24" s="1"/>
  <c r="AB10" i="19"/>
  <c r="V11" i="19" s="1"/>
  <c r="W11" i="19" s="1"/>
  <c r="W10" i="23"/>
  <c r="AC9" i="23"/>
  <c r="X10" i="23" s="1"/>
  <c r="AK18" i="21"/>
  <c r="AG19" i="21" s="1"/>
  <c r="W11" i="22"/>
  <c r="AD11" i="22"/>
  <c r="Z11" i="22"/>
  <c r="AA11" i="22" s="1"/>
  <c r="AO18" i="21"/>
  <c r="AI19" i="20"/>
  <c r="AG19" i="20"/>
  <c r="W10" i="21"/>
  <c r="AC9" i="21"/>
  <c r="X10" i="21" s="1"/>
  <c r="W11" i="20"/>
  <c r="AC10" i="20"/>
  <c r="X11" i="20" s="1"/>
  <c r="AG13" i="12"/>
  <c r="AI13" i="12"/>
  <c r="AO21" i="25" l="1"/>
  <c r="AK21" i="25"/>
  <c r="AI22" i="25" s="1"/>
  <c r="AI19" i="22"/>
  <c r="AG19" i="22"/>
  <c r="AO21" i="23"/>
  <c r="AG22" i="25"/>
  <c r="AI19" i="24"/>
  <c r="AG19" i="24"/>
  <c r="AK19" i="24" s="1"/>
  <c r="AK21" i="23"/>
  <c r="AG18" i="19"/>
  <c r="AI18" i="19"/>
  <c r="Z11" i="19"/>
  <c r="AA11" i="19" s="1"/>
  <c r="AB11" i="19" s="1"/>
  <c r="V12" i="19" s="1"/>
  <c r="W12" i="19" s="1"/>
  <c r="AD11" i="25"/>
  <c r="Y11" i="25"/>
  <c r="Z11" i="25"/>
  <c r="AA11" i="25" s="1"/>
  <c r="AB11" i="25" s="1"/>
  <c r="V12" i="25" s="1"/>
  <c r="AD11" i="19"/>
  <c r="AD13" i="24"/>
  <c r="Y13" i="24"/>
  <c r="Z13" i="24"/>
  <c r="AA13" i="24" s="1"/>
  <c r="AB13" i="24" s="1"/>
  <c r="V14" i="24" s="1"/>
  <c r="AI19" i="21"/>
  <c r="AO19" i="21" s="1"/>
  <c r="AD10" i="23"/>
  <c r="Y10" i="23"/>
  <c r="Z10" i="23"/>
  <c r="AA10" i="23" s="1"/>
  <c r="AB10" i="23" s="1"/>
  <c r="V11" i="23" s="1"/>
  <c r="AK19" i="20"/>
  <c r="AI20" i="20" s="1"/>
  <c r="AB11" i="22"/>
  <c r="V12" i="22" s="1"/>
  <c r="AC11" i="22"/>
  <c r="X12" i="22" s="1"/>
  <c r="AO19" i="20"/>
  <c r="AD10" i="21"/>
  <c r="Y10" i="21"/>
  <c r="Z10" i="21"/>
  <c r="AA10" i="21" s="1"/>
  <c r="AB10" i="21" s="1"/>
  <c r="V11" i="21" s="1"/>
  <c r="AD11" i="20"/>
  <c r="Y11" i="20"/>
  <c r="Z11" i="20"/>
  <c r="AA11" i="20" s="1"/>
  <c r="AB11" i="20" s="1"/>
  <c r="V12" i="20" s="1"/>
  <c r="AK13" i="12"/>
  <c r="AO13" i="12"/>
  <c r="AK19" i="22" l="1"/>
  <c r="AG20" i="22" s="1"/>
  <c r="AK22" i="25"/>
  <c r="AI20" i="22"/>
  <c r="AO19" i="22"/>
  <c r="AG20" i="20"/>
  <c r="AO20" i="20" s="1"/>
  <c r="AI23" i="25"/>
  <c r="AG23" i="25"/>
  <c r="AO22" i="25"/>
  <c r="AO18" i="19"/>
  <c r="AC11" i="19"/>
  <c r="X12" i="19" s="1"/>
  <c r="AD12" i="19" s="1"/>
  <c r="AG20" i="24"/>
  <c r="AI20" i="24"/>
  <c r="AO19" i="24"/>
  <c r="AK19" i="21"/>
  <c r="AI20" i="21" s="1"/>
  <c r="AI22" i="23"/>
  <c r="AG22" i="23"/>
  <c r="AK18" i="19"/>
  <c r="W12" i="25"/>
  <c r="AC11" i="25"/>
  <c r="X12" i="25" s="1"/>
  <c r="W14" i="24"/>
  <c r="AC13" i="24"/>
  <c r="X14" i="24" s="1"/>
  <c r="AK20" i="20"/>
  <c r="AG21" i="20" s="1"/>
  <c r="W11" i="23"/>
  <c r="AC10" i="23"/>
  <c r="X11" i="23" s="1"/>
  <c r="Y12" i="22"/>
  <c r="AD12" i="22"/>
  <c r="W12" i="22"/>
  <c r="Z12" i="22"/>
  <c r="AA12" i="22" s="1"/>
  <c r="W11" i="21"/>
  <c r="AC10" i="21"/>
  <c r="X11" i="21" s="1"/>
  <c r="W12" i="20"/>
  <c r="AC11" i="20"/>
  <c r="X12" i="20" s="1"/>
  <c r="AI14" i="12"/>
  <c r="AG14" i="12"/>
  <c r="AK23" i="25" l="1"/>
  <c r="AO20" i="22"/>
  <c r="AK20" i="22"/>
  <c r="AI21" i="20"/>
  <c r="AK21" i="20" s="1"/>
  <c r="AG22" i="20" s="1"/>
  <c r="AK22" i="23"/>
  <c r="AG23" i="23" s="1"/>
  <c r="AO20" i="24"/>
  <c r="Y12" i="19"/>
  <c r="Z12" i="19"/>
  <c r="AA12" i="19" s="1"/>
  <c r="AB12" i="19" s="1"/>
  <c r="V13" i="19" s="1"/>
  <c r="W13" i="19" s="1"/>
  <c r="AO23" i="25"/>
  <c r="AG20" i="21"/>
  <c r="AK20" i="21" s="1"/>
  <c r="AI21" i="21" s="1"/>
  <c r="AK20" i="24"/>
  <c r="AO22" i="23"/>
  <c r="AG19" i="19"/>
  <c r="AI19" i="19"/>
  <c r="AD12" i="25"/>
  <c r="Y12" i="25"/>
  <c r="Z12" i="25"/>
  <c r="AA12" i="25" s="1"/>
  <c r="AB12" i="25" s="1"/>
  <c r="V13" i="25" s="1"/>
  <c r="AD14" i="24"/>
  <c r="Y14" i="24"/>
  <c r="Z14" i="24"/>
  <c r="AA14" i="24" s="1"/>
  <c r="AB14" i="24" s="1"/>
  <c r="V15" i="24" s="1"/>
  <c r="AB12" i="22"/>
  <c r="V13" i="22" s="1"/>
  <c r="W13" i="22" s="1"/>
  <c r="AD11" i="23"/>
  <c r="Y11" i="23"/>
  <c r="Z11" i="23"/>
  <c r="AA11" i="23" s="1"/>
  <c r="AB11" i="23" s="1"/>
  <c r="V12" i="23" s="1"/>
  <c r="AC12" i="22"/>
  <c r="X13" i="22" s="1"/>
  <c r="AD11" i="21"/>
  <c r="Y11" i="21"/>
  <c r="Z11" i="21"/>
  <c r="AA11" i="21" s="1"/>
  <c r="AB11" i="21" s="1"/>
  <c r="V12" i="21" s="1"/>
  <c r="AD12" i="20"/>
  <c r="Y12" i="20"/>
  <c r="Z12" i="20"/>
  <c r="AA12" i="20" s="1"/>
  <c r="AB12" i="20" s="1"/>
  <c r="V13" i="20" s="1"/>
  <c r="AK14" i="12"/>
  <c r="AG15" i="12" s="1"/>
  <c r="AI15" i="12"/>
  <c r="AO14" i="12"/>
  <c r="AO21" i="20" l="1"/>
  <c r="AG24" i="25"/>
  <c r="AG25" i="25" s="1"/>
  <c r="AI24" i="25"/>
  <c r="AI23" i="23"/>
  <c r="AO23" i="23" s="1"/>
  <c r="AG21" i="22"/>
  <c r="AI21" i="22"/>
  <c r="AK23" i="23"/>
  <c r="AG24" i="23" s="1"/>
  <c r="AC12" i="19"/>
  <c r="X13" i="19" s="1"/>
  <c r="AD13" i="19" s="1"/>
  <c r="AO20" i="21"/>
  <c r="AO19" i="19"/>
  <c r="AG21" i="24"/>
  <c r="AI21" i="24"/>
  <c r="AK19" i="19"/>
  <c r="AI20" i="19" s="1"/>
  <c r="AI22" i="20"/>
  <c r="AO22" i="20" s="1"/>
  <c r="W13" i="25"/>
  <c r="AC12" i="25"/>
  <c r="X13" i="25" s="1"/>
  <c r="W15" i="24"/>
  <c r="AC14" i="24"/>
  <c r="X15" i="24" s="1"/>
  <c r="AG21" i="21"/>
  <c r="AO21" i="21" s="1"/>
  <c r="W12" i="23"/>
  <c r="AC11" i="23"/>
  <c r="X12" i="23" s="1"/>
  <c r="AD13" i="22"/>
  <c r="Y13" i="22"/>
  <c r="Z13" i="22"/>
  <c r="AA13" i="22" s="1"/>
  <c r="AB13" i="22" s="1"/>
  <c r="V14" i="22" s="1"/>
  <c r="W14" i="22" s="1"/>
  <c r="W12" i="21"/>
  <c r="AC11" i="21"/>
  <c r="X12" i="21" s="1"/>
  <c r="W13" i="20"/>
  <c r="AC12" i="20"/>
  <c r="X13" i="20" s="1"/>
  <c r="AO15" i="12"/>
  <c r="AK15" i="12"/>
  <c r="AO21" i="22" l="1"/>
  <c r="AK24" i="25"/>
  <c r="AI25" i="25" s="1"/>
  <c r="AO24" i="25"/>
  <c r="Y13" i="19"/>
  <c r="Z13" i="19"/>
  <c r="AA13" i="19" s="1"/>
  <c r="AB13" i="19" s="1"/>
  <c r="V14" i="19" s="1"/>
  <c r="W14" i="19" s="1"/>
  <c r="AI24" i="23"/>
  <c r="AK24" i="23" s="1"/>
  <c r="AO21" i="24"/>
  <c r="AK21" i="22"/>
  <c r="AO24" i="23"/>
  <c r="AG20" i="19"/>
  <c r="AK20" i="19" s="1"/>
  <c r="AG21" i="19" s="1"/>
  <c r="AK21" i="24"/>
  <c r="AK22" i="20"/>
  <c r="AI23" i="20" s="1"/>
  <c r="AI21" i="19"/>
  <c r="AK21" i="21"/>
  <c r="AI22" i="21" s="1"/>
  <c r="AD13" i="25"/>
  <c r="Y13" i="25"/>
  <c r="Z13" i="25"/>
  <c r="AA13" i="25" s="1"/>
  <c r="AB13" i="25" s="1"/>
  <c r="V14" i="25" s="1"/>
  <c r="AD15" i="24"/>
  <c r="Y15" i="24"/>
  <c r="Z15" i="24"/>
  <c r="AA15" i="24" s="1"/>
  <c r="AB15" i="24" s="1"/>
  <c r="V16" i="24" s="1"/>
  <c r="AD12" i="23"/>
  <c r="Y12" i="23"/>
  <c r="Z12" i="23"/>
  <c r="AA12" i="23" s="1"/>
  <c r="AB12" i="23" s="1"/>
  <c r="V13" i="23" s="1"/>
  <c r="AC13" i="22"/>
  <c r="X14" i="22" s="1"/>
  <c r="AD12" i="21"/>
  <c r="Y12" i="21"/>
  <c r="Z12" i="21"/>
  <c r="AA12" i="21" s="1"/>
  <c r="AB12" i="21" s="1"/>
  <c r="V13" i="21" s="1"/>
  <c r="AD13" i="20"/>
  <c r="Y13" i="20"/>
  <c r="Z13" i="20"/>
  <c r="AA13" i="20" s="1"/>
  <c r="AB13" i="20" s="1"/>
  <c r="V14" i="20" s="1"/>
  <c r="AG16" i="12"/>
  <c r="AI16" i="12"/>
  <c r="AC13" i="19" l="1"/>
  <c r="X14" i="19" s="1"/>
  <c r="AD14" i="19" s="1"/>
  <c r="AK25" i="25"/>
  <c r="AO25" i="25"/>
  <c r="Z14" i="19"/>
  <c r="AA14" i="19" s="1"/>
  <c r="AB14" i="19" s="1"/>
  <c r="V15" i="19" s="1"/>
  <c r="W15" i="19" s="1"/>
  <c r="Y14" i="19"/>
  <c r="AO20" i="19"/>
  <c r="AI22" i="22"/>
  <c r="AG22" i="22"/>
  <c r="AG23" i="20"/>
  <c r="AO23" i="20" s="1"/>
  <c r="AI22" i="24"/>
  <c r="AG22" i="24"/>
  <c r="AG22" i="21"/>
  <c r="AO22" i="21" s="1"/>
  <c r="AI25" i="23"/>
  <c r="AG25" i="23"/>
  <c r="AK21" i="19"/>
  <c r="AI22" i="19" s="1"/>
  <c r="AO21" i="19"/>
  <c r="W14" i="25"/>
  <c r="AC13" i="25"/>
  <c r="X14" i="25" s="1"/>
  <c r="W16" i="24"/>
  <c r="AC15" i="24"/>
  <c r="X16" i="24" s="1"/>
  <c r="W13" i="23"/>
  <c r="AC12" i="23"/>
  <c r="X13" i="23" s="1"/>
  <c r="AD14" i="22"/>
  <c r="Y14" i="22"/>
  <c r="Z14" i="22"/>
  <c r="AA14" i="22" s="1"/>
  <c r="AB14" i="22" s="1"/>
  <c r="V15" i="22" s="1"/>
  <c r="W15" i="22" s="1"/>
  <c r="W13" i="21"/>
  <c r="AC12" i="21"/>
  <c r="X13" i="21" s="1"/>
  <c r="W14" i="20"/>
  <c r="AC13" i="20"/>
  <c r="X14" i="20" s="1"/>
  <c r="AO16" i="12"/>
  <c r="AK16" i="12"/>
  <c r="AC14" i="19" l="1"/>
  <c r="X15" i="19" s="1"/>
  <c r="AK22" i="24"/>
  <c r="AG26" i="25"/>
  <c r="AI26" i="25"/>
  <c r="AK23" i="20"/>
  <c r="AI24" i="20" s="1"/>
  <c r="AK25" i="23"/>
  <c r="AI26" i="23" s="1"/>
  <c r="AK22" i="22"/>
  <c r="AG23" i="22" s="1"/>
  <c r="AK22" i="21"/>
  <c r="AI23" i="21" s="1"/>
  <c r="AI23" i="22"/>
  <c r="AO22" i="22"/>
  <c r="AI23" i="24"/>
  <c r="AG23" i="24"/>
  <c r="AK23" i="24" s="1"/>
  <c r="AO22" i="24"/>
  <c r="AG22" i="19"/>
  <c r="AK22" i="19" s="1"/>
  <c r="AI23" i="19" s="1"/>
  <c r="AG26" i="23"/>
  <c r="AO25" i="23"/>
  <c r="AG23" i="21"/>
  <c r="AD14" i="25"/>
  <c r="Y14" i="25"/>
  <c r="Z14" i="25"/>
  <c r="AA14" i="25" s="1"/>
  <c r="AB14" i="25" s="1"/>
  <c r="V15" i="25" s="1"/>
  <c r="AD16" i="24"/>
  <c r="Y16" i="24"/>
  <c r="Z16" i="24"/>
  <c r="AA16" i="24" s="1"/>
  <c r="AB16" i="24" s="1"/>
  <c r="V17" i="24" s="1"/>
  <c r="AD13" i="23"/>
  <c r="Y13" i="23"/>
  <c r="Z13" i="23"/>
  <c r="AA13" i="23" s="1"/>
  <c r="AB13" i="23" s="1"/>
  <c r="V14" i="23" s="1"/>
  <c r="AC14" i="22"/>
  <c r="X15" i="22" s="1"/>
  <c r="AD13" i="21"/>
  <c r="Y13" i="21"/>
  <c r="Z13" i="21"/>
  <c r="AA13" i="21" s="1"/>
  <c r="AB13" i="21" s="1"/>
  <c r="V14" i="21" s="1"/>
  <c r="AD14" i="20"/>
  <c r="Y14" i="20"/>
  <c r="Z14" i="20"/>
  <c r="AA14" i="20" s="1"/>
  <c r="AB14" i="20" s="1"/>
  <c r="V15" i="20" s="1"/>
  <c r="AD15" i="19"/>
  <c r="Y15" i="19"/>
  <c r="Z15" i="19"/>
  <c r="AA15" i="19" s="1"/>
  <c r="AB15" i="19" s="1"/>
  <c r="V16" i="19" s="1"/>
  <c r="AG17" i="12"/>
  <c r="AI17" i="12"/>
  <c r="AK23" i="21" l="1"/>
  <c r="AI24" i="21" s="1"/>
  <c r="AK26" i="25"/>
  <c r="AO26" i="25"/>
  <c r="AG24" i="20"/>
  <c r="AO24" i="20" s="1"/>
  <c r="AO26" i="23"/>
  <c r="AK23" i="22"/>
  <c r="AG24" i="22"/>
  <c r="AI24" i="22"/>
  <c r="AO23" i="22"/>
  <c r="AG23" i="19"/>
  <c r="AK23" i="19" s="1"/>
  <c r="AI24" i="19" s="1"/>
  <c r="AG24" i="21"/>
  <c r="AK24" i="21" s="1"/>
  <c r="AI25" i="21" s="1"/>
  <c r="AO23" i="21"/>
  <c r="AG24" i="24"/>
  <c r="AI24" i="24"/>
  <c r="AO23" i="24"/>
  <c r="AO22" i="19"/>
  <c r="AK26" i="23"/>
  <c r="W15" i="25"/>
  <c r="AC14" i="25"/>
  <c r="X15" i="25" s="1"/>
  <c r="W17" i="24"/>
  <c r="AC16" i="24"/>
  <c r="X17" i="24" s="1"/>
  <c r="W14" i="23"/>
  <c r="AC13" i="23"/>
  <c r="X14" i="23" s="1"/>
  <c r="AD15" i="22"/>
  <c r="Y15" i="22"/>
  <c r="Z15" i="22"/>
  <c r="AA15" i="22" s="1"/>
  <c r="AB15" i="22" s="1"/>
  <c r="V16" i="22" s="1"/>
  <c r="W16" i="22" s="1"/>
  <c r="W14" i="21"/>
  <c r="AC13" i="21"/>
  <c r="X14" i="21" s="1"/>
  <c r="W15" i="20"/>
  <c r="AC14" i="20"/>
  <c r="X15" i="20" s="1"/>
  <c r="AC15" i="19"/>
  <c r="X16" i="19" s="1"/>
  <c r="Z16" i="19" s="1"/>
  <c r="AA16" i="19" s="1"/>
  <c r="W16" i="19"/>
  <c r="AK17" i="12"/>
  <c r="AO17" i="12"/>
  <c r="AG27" i="25" l="1"/>
  <c r="AI27" i="25"/>
  <c r="AO27" i="25" s="1"/>
  <c r="AO24" i="22"/>
  <c r="AK24" i="20"/>
  <c r="AI25" i="20" s="1"/>
  <c r="AG25" i="20"/>
  <c r="AO23" i="19"/>
  <c r="AK24" i="22"/>
  <c r="AO24" i="24"/>
  <c r="AG25" i="21"/>
  <c r="AK25" i="21" s="1"/>
  <c r="AO24" i="21"/>
  <c r="AK24" i="24"/>
  <c r="AG24" i="19"/>
  <c r="AK24" i="19" s="1"/>
  <c r="AG25" i="19" s="1"/>
  <c r="AG27" i="23"/>
  <c r="AI27" i="23"/>
  <c r="AO27" i="23" s="1"/>
  <c r="AI25" i="19"/>
  <c r="AD15" i="25"/>
  <c r="Y15" i="25"/>
  <c r="Z15" i="25"/>
  <c r="AA15" i="25" s="1"/>
  <c r="AB15" i="25" s="1"/>
  <c r="V16" i="25" s="1"/>
  <c r="AD17" i="24"/>
  <c r="Y17" i="24"/>
  <c r="Z17" i="24"/>
  <c r="AA17" i="24" s="1"/>
  <c r="AB17" i="24" s="1"/>
  <c r="V18" i="24" s="1"/>
  <c r="AD14" i="23"/>
  <c r="Y14" i="23"/>
  <c r="Z14" i="23"/>
  <c r="AA14" i="23" s="1"/>
  <c r="AB14" i="23" s="1"/>
  <c r="V15" i="23" s="1"/>
  <c r="AC15" i="22"/>
  <c r="X16" i="22" s="1"/>
  <c r="AD16" i="19"/>
  <c r="Y16" i="19"/>
  <c r="AC16" i="19" s="1"/>
  <c r="X17" i="19" s="1"/>
  <c r="AD14" i="21"/>
  <c r="Y14" i="21"/>
  <c r="Z14" i="21"/>
  <c r="AA14" i="21" s="1"/>
  <c r="AB14" i="21" s="1"/>
  <c r="V15" i="21" s="1"/>
  <c r="AD15" i="20"/>
  <c r="Y15" i="20"/>
  <c r="Z15" i="20"/>
  <c r="AA15" i="20" s="1"/>
  <c r="AB15" i="20" s="1"/>
  <c r="V16" i="20" s="1"/>
  <c r="AB16" i="19"/>
  <c r="V17" i="19" s="1"/>
  <c r="W17" i="19" s="1"/>
  <c r="AI18" i="12"/>
  <c r="AG18" i="12"/>
  <c r="AK27" i="25" l="1"/>
  <c r="AO25" i="20"/>
  <c r="AK25" i="20"/>
  <c r="AI26" i="20" s="1"/>
  <c r="AO25" i="21"/>
  <c r="AG26" i="20"/>
  <c r="AK26" i="20" s="1"/>
  <c r="AI27" i="20" s="1"/>
  <c r="AI25" i="22"/>
  <c r="AG25" i="22"/>
  <c r="AK25" i="22" s="1"/>
  <c r="AO25" i="19"/>
  <c r="AI25" i="24"/>
  <c r="AG25" i="24"/>
  <c r="AO24" i="19"/>
  <c r="AK27" i="23"/>
  <c r="AK25" i="19"/>
  <c r="W16" i="25"/>
  <c r="AC15" i="25"/>
  <c r="X16" i="25" s="1"/>
  <c r="W18" i="24"/>
  <c r="AC17" i="24"/>
  <c r="X18" i="24" s="1"/>
  <c r="W15" i="23"/>
  <c r="AC14" i="23"/>
  <c r="X15" i="23" s="1"/>
  <c r="AD16" i="22"/>
  <c r="Y16" i="22"/>
  <c r="Z16" i="22"/>
  <c r="AA16" i="22" s="1"/>
  <c r="AB16" i="22" s="1"/>
  <c r="V17" i="22" s="1"/>
  <c r="W17" i="22" s="1"/>
  <c r="AI26" i="21"/>
  <c r="AG26" i="21"/>
  <c r="AD17" i="19"/>
  <c r="W15" i="21"/>
  <c r="AC14" i="21"/>
  <c r="X15" i="21" s="1"/>
  <c r="Z17" i="19"/>
  <c r="AA17" i="19" s="1"/>
  <c r="AB17" i="19" s="1"/>
  <c r="V18" i="19" s="1"/>
  <c r="W18" i="19" s="1"/>
  <c r="Y17" i="19"/>
  <c r="W16" i="20"/>
  <c r="AC15" i="20"/>
  <c r="X16" i="20" s="1"/>
  <c r="AK18" i="12"/>
  <c r="AI19" i="12" s="1"/>
  <c r="AG19" i="12"/>
  <c r="AO18" i="12"/>
  <c r="AI28" i="25" l="1"/>
  <c r="AG28" i="25"/>
  <c r="AK28" i="25" s="1"/>
  <c r="AO26" i="20"/>
  <c r="AK25" i="24"/>
  <c r="AG27" i="20"/>
  <c r="AO27" i="20" s="1"/>
  <c r="AG26" i="22"/>
  <c r="AI26" i="22"/>
  <c r="AO26" i="22" s="1"/>
  <c r="AO25" i="22"/>
  <c r="AG26" i="24"/>
  <c r="AI26" i="24"/>
  <c r="AO25" i="24"/>
  <c r="AI28" i="23"/>
  <c r="AG28" i="23"/>
  <c r="AG26" i="19"/>
  <c r="AI26" i="19"/>
  <c r="AD16" i="25"/>
  <c r="Y16" i="25"/>
  <c r="Z16" i="25"/>
  <c r="AA16" i="25" s="1"/>
  <c r="AB16" i="25" s="1"/>
  <c r="V17" i="25" s="1"/>
  <c r="AD18" i="24"/>
  <c r="Y18" i="24"/>
  <c r="Z18" i="24"/>
  <c r="AA18" i="24" s="1"/>
  <c r="AB18" i="24" s="1"/>
  <c r="V19" i="24" s="1"/>
  <c r="AK26" i="21"/>
  <c r="AI27" i="21" s="1"/>
  <c r="AD15" i="23"/>
  <c r="Y15" i="23"/>
  <c r="Z15" i="23"/>
  <c r="AA15" i="23" s="1"/>
  <c r="AB15" i="23" s="1"/>
  <c r="V16" i="23" s="1"/>
  <c r="AC16" i="22"/>
  <c r="X17" i="22" s="1"/>
  <c r="AO26" i="21"/>
  <c r="AC17" i="19"/>
  <c r="X18" i="19" s="1"/>
  <c r="AD18" i="19" s="1"/>
  <c r="AD15" i="21"/>
  <c r="Y15" i="21"/>
  <c r="Z15" i="21"/>
  <c r="AA15" i="21" s="1"/>
  <c r="AB15" i="21" s="1"/>
  <c r="V16" i="21" s="1"/>
  <c r="AD16" i="20"/>
  <c r="Y16" i="20"/>
  <c r="Z16" i="20"/>
  <c r="AA16" i="20" s="1"/>
  <c r="AB16" i="20" s="1"/>
  <c r="V17" i="20" s="1"/>
  <c r="AK19" i="12"/>
  <c r="AO19" i="12"/>
  <c r="AK28" i="23" l="1"/>
  <c r="AG29" i="25"/>
  <c r="AI29" i="25"/>
  <c r="AO29" i="25" s="1"/>
  <c r="AO28" i="25"/>
  <c r="AK27" i="20"/>
  <c r="AI28" i="20" s="1"/>
  <c r="AK26" i="22"/>
  <c r="AG28" i="20"/>
  <c r="AO28" i="20" s="1"/>
  <c r="AO26" i="24"/>
  <c r="AO26" i="19"/>
  <c r="AK26" i="24"/>
  <c r="AG29" i="23"/>
  <c r="AI29" i="23"/>
  <c r="AO28" i="23"/>
  <c r="AK26" i="19"/>
  <c r="W17" i="25"/>
  <c r="AC16" i="25"/>
  <c r="X17" i="25" s="1"/>
  <c r="AG27" i="21"/>
  <c r="AO27" i="21" s="1"/>
  <c r="W19" i="24"/>
  <c r="AC18" i="24"/>
  <c r="X19" i="24" s="1"/>
  <c r="W16" i="23"/>
  <c r="AC15" i="23"/>
  <c r="X16" i="23" s="1"/>
  <c r="AD17" i="22"/>
  <c r="Z17" i="22"/>
  <c r="AA17" i="22" s="1"/>
  <c r="AB17" i="22" s="1"/>
  <c r="V18" i="22" s="1"/>
  <c r="W18" i="22" s="1"/>
  <c r="Y17" i="22"/>
  <c r="Y18" i="19"/>
  <c r="Z18" i="19"/>
  <c r="AA18" i="19" s="1"/>
  <c r="AB18" i="19" s="1"/>
  <c r="V19" i="19" s="1"/>
  <c r="W19" i="19" s="1"/>
  <c r="W16" i="21"/>
  <c r="AC15" i="21"/>
  <c r="X16" i="21" s="1"/>
  <c r="W17" i="20"/>
  <c r="AC16" i="20"/>
  <c r="X17" i="20" s="1"/>
  <c r="AI20" i="12"/>
  <c r="AG20" i="12"/>
  <c r="AK29" i="25" l="1"/>
  <c r="AK28" i="20"/>
  <c r="AG29" i="20" s="1"/>
  <c r="AG27" i="22"/>
  <c r="AI27" i="22"/>
  <c r="AO27" i="22" s="1"/>
  <c r="AO29" i="23"/>
  <c r="AG27" i="24"/>
  <c r="AI27" i="24"/>
  <c r="AO27" i="24" s="1"/>
  <c r="AK27" i="21"/>
  <c r="AG28" i="21" s="1"/>
  <c r="AK29" i="23"/>
  <c r="AG27" i="19"/>
  <c r="AI27" i="19"/>
  <c r="AO27" i="19" s="1"/>
  <c r="AD17" i="25"/>
  <c r="Y17" i="25"/>
  <c r="Z17" i="25"/>
  <c r="AA17" i="25" s="1"/>
  <c r="AB17" i="25" s="1"/>
  <c r="V18" i="25" s="1"/>
  <c r="AC17" i="22"/>
  <c r="X18" i="22" s="1"/>
  <c r="AD18" i="22" s="1"/>
  <c r="AD19" i="24"/>
  <c r="Y19" i="24"/>
  <c r="Z19" i="24"/>
  <c r="AA19" i="24" s="1"/>
  <c r="AB19" i="24" s="1"/>
  <c r="V20" i="24" s="1"/>
  <c r="AD16" i="23"/>
  <c r="Y16" i="23"/>
  <c r="Z16" i="23"/>
  <c r="AA16" i="23" s="1"/>
  <c r="AB16" i="23" s="1"/>
  <c r="V17" i="23" s="1"/>
  <c r="AC18" i="19"/>
  <c r="X19" i="19" s="1"/>
  <c r="Y19" i="19" s="1"/>
  <c r="AI29" i="20"/>
  <c r="AK29" i="20" s="1"/>
  <c r="AG30" i="20" s="1"/>
  <c r="AD16" i="21"/>
  <c r="Y16" i="21"/>
  <c r="Z16" i="21"/>
  <c r="AA16" i="21" s="1"/>
  <c r="AB16" i="21" s="1"/>
  <c r="V17" i="21" s="1"/>
  <c r="AD17" i="20"/>
  <c r="Y17" i="20"/>
  <c r="Z17" i="20"/>
  <c r="AA17" i="20" s="1"/>
  <c r="AB17" i="20" s="1"/>
  <c r="V18" i="20" s="1"/>
  <c r="AK20" i="12"/>
  <c r="AI21" i="12" s="1"/>
  <c r="AO20" i="12"/>
  <c r="AI30" i="25" l="1"/>
  <c r="AG30" i="25"/>
  <c r="AK30" i="25" s="1"/>
  <c r="AK27" i="22"/>
  <c r="AI28" i="21"/>
  <c r="AO28" i="21" s="1"/>
  <c r="AK27" i="24"/>
  <c r="AG30" i="23"/>
  <c r="AI30" i="23"/>
  <c r="AO30" i="23" s="1"/>
  <c r="Y18" i="22"/>
  <c r="AK27" i="19"/>
  <c r="AI28" i="19" s="1"/>
  <c r="AG28" i="19"/>
  <c r="Z18" i="22"/>
  <c r="AA18" i="22" s="1"/>
  <c r="AB18" i="22" s="1"/>
  <c r="V19" i="22" s="1"/>
  <c r="W19" i="22" s="1"/>
  <c r="W18" i="25"/>
  <c r="AC17" i="25"/>
  <c r="X18" i="25" s="1"/>
  <c r="W20" i="24"/>
  <c r="AC19" i="24"/>
  <c r="X20" i="24" s="1"/>
  <c r="Z19" i="19"/>
  <c r="AA19" i="19" s="1"/>
  <c r="AB19" i="19" s="1"/>
  <c r="V20" i="19" s="1"/>
  <c r="W20" i="19" s="1"/>
  <c r="AD19" i="19"/>
  <c r="W17" i="23"/>
  <c r="AC16" i="23"/>
  <c r="X17" i="23" s="1"/>
  <c r="AI30" i="20"/>
  <c r="AO30" i="20" s="1"/>
  <c r="AO29" i="20"/>
  <c r="W17" i="21"/>
  <c r="AC16" i="21"/>
  <c r="X17" i="21" s="1"/>
  <c r="AG21" i="12"/>
  <c r="AK21" i="12" s="1"/>
  <c r="W18" i="20"/>
  <c r="AC17" i="20"/>
  <c r="X18" i="20" s="1"/>
  <c r="AG31" i="25" l="1"/>
  <c r="AI31" i="25"/>
  <c r="AO31" i="25" s="1"/>
  <c r="AO30" i="25"/>
  <c r="AI28" i="22"/>
  <c r="AG28" i="22"/>
  <c r="AK28" i="21"/>
  <c r="AI29" i="21" s="1"/>
  <c r="AG29" i="21"/>
  <c r="AI28" i="24"/>
  <c r="AG28" i="24"/>
  <c r="AK28" i="24" s="1"/>
  <c r="AC18" i="22"/>
  <c r="X19" i="22" s="1"/>
  <c r="AD19" i="22" s="1"/>
  <c r="AK30" i="20"/>
  <c r="AG31" i="20" s="1"/>
  <c r="AK30" i="23"/>
  <c r="AK28" i="19"/>
  <c r="AI29" i="19" s="1"/>
  <c r="AO28" i="19"/>
  <c r="AD18" i="25"/>
  <c r="Y18" i="25"/>
  <c r="Z18" i="25"/>
  <c r="AA18" i="25" s="1"/>
  <c r="AB18" i="25" s="1"/>
  <c r="V19" i="25" s="1"/>
  <c r="AC19" i="19"/>
  <c r="X20" i="19" s="1"/>
  <c r="Y20" i="19" s="1"/>
  <c r="AD20" i="24"/>
  <c r="Y20" i="24"/>
  <c r="Z20" i="24"/>
  <c r="AA20" i="24" s="1"/>
  <c r="AB20" i="24" s="1"/>
  <c r="V21" i="24" s="1"/>
  <c r="AD17" i="23"/>
  <c r="Y17" i="23"/>
  <c r="Z17" i="23"/>
  <c r="AA17" i="23" s="1"/>
  <c r="AB17" i="23" s="1"/>
  <c r="V18" i="23" s="1"/>
  <c r="AD17" i="21"/>
  <c r="Y17" i="21"/>
  <c r="Z17" i="21"/>
  <c r="AA17" i="21" s="1"/>
  <c r="AB17" i="21" s="1"/>
  <c r="V18" i="21" s="1"/>
  <c r="AG22" i="12"/>
  <c r="AI22" i="12"/>
  <c r="AO21" i="12"/>
  <c r="AD18" i="20"/>
  <c r="Y18" i="20"/>
  <c r="Z18" i="20"/>
  <c r="AA18" i="20" s="1"/>
  <c r="AB18" i="20" s="1"/>
  <c r="V19" i="20" s="1"/>
  <c r="AK31" i="25" l="1"/>
  <c r="AK29" i="21"/>
  <c r="AG30" i="21" s="1"/>
  <c r="AK22" i="12"/>
  <c r="AG23" i="12" s="1"/>
  <c r="AK28" i="22"/>
  <c r="AG29" i="22"/>
  <c r="AI29" i="22"/>
  <c r="AO28" i="22"/>
  <c r="AG29" i="19"/>
  <c r="AK29" i="19" s="1"/>
  <c r="AI30" i="19" s="1"/>
  <c r="AO29" i="21"/>
  <c r="Y19" i="22"/>
  <c r="Z19" i="22"/>
  <c r="AA19" i="22" s="1"/>
  <c r="AB19" i="22" s="1"/>
  <c r="V20" i="22" s="1"/>
  <c r="W20" i="22" s="1"/>
  <c r="AI31" i="20"/>
  <c r="AK31" i="20" s="1"/>
  <c r="AI32" i="20" s="1"/>
  <c r="AG29" i="24"/>
  <c r="AI29" i="24"/>
  <c r="AO28" i="24"/>
  <c r="AG31" i="23"/>
  <c r="AI31" i="23"/>
  <c r="Z20" i="19"/>
  <c r="AA20" i="19" s="1"/>
  <c r="AB20" i="19" s="1"/>
  <c r="V21" i="19" s="1"/>
  <c r="W21" i="19" s="1"/>
  <c r="AD20" i="19"/>
  <c r="W19" i="25"/>
  <c r="AC18" i="25"/>
  <c r="X19" i="25" s="1"/>
  <c r="W21" i="24"/>
  <c r="AC20" i="24"/>
  <c r="X21" i="24" s="1"/>
  <c r="W18" i="23"/>
  <c r="AC17" i="23"/>
  <c r="X18" i="23" s="1"/>
  <c r="W18" i="21"/>
  <c r="AC17" i="21"/>
  <c r="X18" i="21" s="1"/>
  <c r="AO22" i="12"/>
  <c r="W19" i="20"/>
  <c r="AC18" i="20"/>
  <c r="X19" i="20" s="1"/>
  <c r="AI23" i="12"/>
  <c r="AI30" i="21" l="1"/>
  <c r="AK30" i="21" s="1"/>
  <c r="AI32" i="25"/>
  <c r="AG32" i="25"/>
  <c r="AK32" i="25" s="1"/>
  <c r="AO29" i="19"/>
  <c r="AO29" i="22"/>
  <c r="AO31" i="20"/>
  <c r="AK29" i="22"/>
  <c r="AG32" i="20"/>
  <c r="AK32" i="20" s="1"/>
  <c r="AO29" i="24"/>
  <c r="AC19" i="22"/>
  <c r="X20" i="22" s="1"/>
  <c r="AD20" i="22" s="1"/>
  <c r="AG30" i="19"/>
  <c r="AK30" i="19" s="1"/>
  <c r="AI31" i="19" s="1"/>
  <c r="AO31" i="23"/>
  <c r="AK29" i="24"/>
  <c r="AC20" i="19"/>
  <c r="X21" i="19" s="1"/>
  <c r="AD21" i="19" s="1"/>
  <c r="AK31" i="23"/>
  <c r="AD19" i="25"/>
  <c r="Y19" i="25"/>
  <c r="Z19" i="25"/>
  <c r="AA19" i="25" s="1"/>
  <c r="AB19" i="25" s="1"/>
  <c r="V20" i="25" s="1"/>
  <c r="AO30" i="21"/>
  <c r="AD21" i="24"/>
  <c r="Y21" i="24"/>
  <c r="Z21" i="24"/>
  <c r="AA21" i="24" s="1"/>
  <c r="AB21" i="24" s="1"/>
  <c r="V22" i="24" s="1"/>
  <c r="AO32" i="20"/>
  <c r="AD18" i="23"/>
  <c r="Y18" i="23"/>
  <c r="Z18" i="23"/>
  <c r="AA18" i="23" s="1"/>
  <c r="AB18" i="23" s="1"/>
  <c r="V19" i="23" s="1"/>
  <c r="AI31" i="21"/>
  <c r="AG31" i="21"/>
  <c r="AD18" i="21"/>
  <c r="Y18" i="21"/>
  <c r="Z18" i="21"/>
  <c r="AA18" i="21" s="1"/>
  <c r="AB18" i="21" s="1"/>
  <c r="V19" i="21" s="1"/>
  <c r="AD19" i="20"/>
  <c r="Y19" i="20"/>
  <c r="Z19" i="20"/>
  <c r="AA19" i="20" s="1"/>
  <c r="AB19" i="20" s="1"/>
  <c r="V20" i="20" s="1"/>
  <c r="AK23" i="12"/>
  <c r="AO23" i="12"/>
  <c r="AI33" i="25" l="1"/>
  <c r="AG33" i="25"/>
  <c r="AK33" i="25" s="1"/>
  <c r="AO32" i="25"/>
  <c r="Z20" i="22"/>
  <c r="AA20" i="22" s="1"/>
  <c r="AB20" i="22" s="1"/>
  <c r="V21" i="22" s="1"/>
  <c r="W21" i="22" s="1"/>
  <c r="AG30" i="22"/>
  <c r="AI30" i="22"/>
  <c r="Y20" i="22"/>
  <c r="AC20" i="22" s="1"/>
  <c r="X21" i="22" s="1"/>
  <c r="AD21" i="22" s="1"/>
  <c r="AG31" i="19"/>
  <c r="AK31" i="19" s="1"/>
  <c r="AI32" i="19" s="1"/>
  <c r="AO30" i="19"/>
  <c r="Z21" i="19"/>
  <c r="AA21" i="19" s="1"/>
  <c r="AB21" i="19" s="1"/>
  <c r="V22" i="19" s="1"/>
  <c r="W22" i="19" s="1"/>
  <c r="Y21" i="19"/>
  <c r="AG30" i="24"/>
  <c r="AI30" i="24"/>
  <c r="AI32" i="23"/>
  <c r="AG32" i="23"/>
  <c r="W20" i="25"/>
  <c r="AC19" i="25"/>
  <c r="X20" i="25" s="1"/>
  <c r="AK31" i="21"/>
  <c r="AG32" i="21" s="1"/>
  <c r="W22" i="24"/>
  <c r="AC21" i="24"/>
  <c r="X22" i="24" s="1"/>
  <c r="W19" i="23"/>
  <c r="AC18" i="23"/>
  <c r="X19" i="23" s="1"/>
  <c r="AI33" i="20"/>
  <c r="AG33" i="20"/>
  <c r="AO31" i="21"/>
  <c r="W19" i="21"/>
  <c r="AC18" i="21"/>
  <c r="X19" i="21" s="1"/>
  <c r="W20" i="20"/>
  <c r="AC19" i="20"/>
  <c r="X20" i="20" s="1"/>
  <c r="AI24" i="12"/>
  <c r="AG24" i="12"/>
  <c r="AI34" i="25" l="1"/>
  <c r="AG34" i="25"/>
  <c r="AK34" i="25" s="1"/>
  <c r="AO33" i="25"/>
  <c r="AC21" i="19"/>
  <c r="X22" i="19" s="1"/>
  <c r="Y22" i="19" s="1"/>
  <c r="AO30" i="24"/>
  <c r="AO30" i="22"/>
  <c r="AO31" i="19"/>
  <c r="AK30" i="22"/>
  <c r="AK32" i="23"/>
  <c r="AI33" i="23" s="1"/>
  <c r="AG32" i="19"/>
  <c r="AK32" i="19" s="1"/>
  <c r="AI33" i="19" s="1"/>
  <c r="Z21" i="22"/>
  <c r="AA21" i="22" s="1"/>
  <c r="AB21" i="22" s="1"/>
  <c r="V22" i="22" s="1"/>
  <c r="W22" i="22" s="1"/>
  <c r="Y21" i="22"/>
  <c r="AK33" i="20"/>
  <c r="AG34" i="20" s="1"/>
  <c r="AK30" i="24"/>
  <c r="AO32" i="23"/>
  <c r="AI32" i="21"/>
  <c r="AO32" i="21" s="1"/>
  <c r="AD20" i="25"/>
  <c r="Y20" i="25"/>
  <c r="Z20" i="25"/>
  <c r="AA20" i="25" s="1"/>
  <c r="AB20" i="25" s="1"/>
  <c r="V21" i="25" s="1"/>
  <c r="AD22" i="24"/>
  <c r="Y22" i="24"/>
  <c r="Z22" i="24"/>
  <c r="AA22" i="24" s="1"/>
  <c r="AB22" i="24" s="1"/>
  <c r="V23" i="24" s="1"/>
  <c r="AD19" i="23"/>
  <c r="Y19" i="23"/>
  <c r="Z19" i="23"/>
  <c r="AA19" i="23" s="1"/>
  <c r="AB19" i="23" s="1"/>
  <c r="V20" i="23" s="1"/>
  <c r="AO33" i="20"/>
  <c r="AD19" i="21"/>
  <c r="Y19" i="21"/>
  <c r="Z19" i="21"/>
  <c r="AA19" i="21" s="1"/>
  <c r="AB19" i="21" s="1"/>
  <c r="V20" i="21" s="1"/>
  <c r="AD20" i="20"/>
  <c r="Y20" i="20"/>
  <c r="Z20" i="20"/>
  <c r="AA20" i="20" s="1"/>
  <c r="AB20" i="20" s="1"/>
  <c r="V21" i="20" s="1"/>
  <c r="AO24" i="12"/>
  <c r="AK24" i="12"/>
  <c r="AD22" i="19" l="1"/>
  <c r="Z22" i="19"/>
  <c r="AA22" i="19" s="1"/>
  <c r="AB22" i="19" s="1"/>
  <c r="V23" i="19" s="1"/>
  <c r="W23" i="19" s="1"/>
  <c r="AI35" i="25"/>
  <c r="AG35" i="25"/>
  <c r="AK35" i="25" s="1"/>
  <c r="AO34" i="25"/>
  <c r="AO32" i="19"/>
  <c r="AG33" i="23"/>
  <c r="AK33" i="23" s="1"/>
  <c r="AI34" i="23" s="1"/>
  <c r="AI34" i="20"/>
  <c r="AK34" i="20" s="1"/>
  <c r="AI35" i="20" s="1"/>
  <c r="AG31" i="22"/>
  <c r="AI31" i="22"/>
  <c r="AO31" i="22" s="1"/>
  <c r="AG33" i="19"/>
  <c r="AG34" i="19" s="1"/>
  <c r="AC21" i="22"/>
  <c r="X22" i="22" s="1"/>
  <c r="AD22" i="22" s="1"/>
  <c r="AK32" i="21"/>
  <c r="AG33" i="21" s="1"/>
  <c r="AG31" i="24"/>
  <c r="AI31" i="24"/>
  <c r="W21" i="25"/>
  <c r="AC20" i="25"/>
  <c r="X21" i="25" s="1"/>
  <c r="W23" i="24"/>
  <c r="AC22" i="24"/>
  <c r="X23" i="24" s="1"/>
  <c r="W20" i="23"/>
  <c r="AC19" i="23"/>
  <c r="X20" i="23" s="1"/>
  <c r="W20" i="21"/>
  <c r="AC19" i="21"/>
  <c r="X20" i="21" s="1"/>
  <c r="W21" i="20"/>
  <c r="AC20" i="20"/>
  <c r="X21" i="20" s="1"/>
  <c r="AG25" i="12"/>
  <c r="AI25" i="12"/>
  <c r="AG35" i="20" l="1"/>
  <c r="AO33" i="23"/>
  <c r="AC22" i="19"/>
  <c r="X23" i="19" s="1"/>
  <c r="AD23" i="19" s="1"/>
  <c r="AK33" i="19"/>
  <c r="AI34" i="19" s="1"/>
  <c r="AI35" i="19" s="1"/>
  <c r="AI36" i="25"/>
  <c r="AG36" i="25"/>
  <c r="AO35" i="25"/>
  <c r="AO35" i="20"/>
  <c r="AO34" i="20"/>
  <c r="AO31" i="24"/>
  <c r="AO33" i="19"/>
  <c r="AG34" i="23"/>
  <c r="AK34" i="23" s="1"/>
  <c r="AI35" i="23" s="1"/>
  <c r="AK31" i="22"/>
  <c r="AI33" i="21"/>
  <c r="AO33" i="21" s="1"/>
  <c r="Y23" i="19"/>
  <c r="Z22" i="22"/>
  <c r="AA22" i="22" s="1"/>
  <c r="AB22" i="22" s="1"/>
  <c r="V23" i="22" s="1"/>
  <c r="W23" i="22" s="1"/>
  <c r="Y22" i="22"/>
  <c r="AO34" i="19"/>
  <c r="Z23" i="19"/>
  <c r="AA23" i="19" s="1"/>
  <c r="AB23" i="19" s="1"/>
  <c r="V24" i="19" s="1"/>
  <c r="W24" i="19" s="1"/>
  <c r="AK34" i="19"/>
  <c r="AG35" i="19" s="1"/>
  <c r="AK31" i="24"/>
  <c r="AK35" i="20"/>
  <c r="AG36" i="20" s="1"/>
  <c r="AD21" i="25"/>
  <c r="Y21" i="25"/>
  <c r="Z21" i="25"/>
  <c r="AA21" i="25" s="1"/>
  <c r="AB21" i="25" s="1"/>
  <c r="V22" i="25" s="1"/>
  <c r="AD23" i="24"/>
  <c r="Y23" i="24"/>
  <c r="Z23" i="24"/>
  <c r="AA23" i="24" s="1"/>
  <c r="AB23" i="24" s="1"/>
  <c r="V24" i="24" s="1"/>
  <c r="AD20" i="23"/>
  <c r="Y20" i="23"/>
  <c r="Z20" i="23"/>
  <c r="AA20" i="23" s="1"/>
  <c r="AB20" i="23" s="1"/>
  <c r="V21" i="23" s="1"/>
  <c r="AD20" i="21"/>
  <c r="Y20" i="21"/>
  <c r="Z20" i="21"/>
  <c r="AA20" i="21" s="1"/>
  <c r="AB20" i="21" s="1"/>
  <c r="V21" i="21" s="1"/>
  <c r="AD21" i="20"/>
  <c r="Y21" i="20"/>
  <c r="Z21" i="20"/>
  <c r="AA21" i="20" s="1"/>
  <c r="AB21" i="20" s="1"/>
  <c r="V22" i="20" s="1"/>
  <c r="AK25" i="12"/>
  <c r="AO25" i="12"/>
  <c r="AO34" i="23" l="1"/>
  <c r="AO36" i="25"/>
  <c r="AK36" i="25"/>
  <c r="AK33" i="21"/>
  <c r="AI34" i="21" s="1"/>
  <c r="AC22" i="22"/>
  <c r="X23" i="22" s="1"/>
  <c r="Z23" i="22" s="1"/>
  <c r="AA23" i="22" s="1"/>
  <c r="AB23" i="22" s="1"/>
  <c r="V24" i="22" s="1"/>
  <c r="AG35" i="23"/>
  <c r="AO35" i="23" s="1"/>
  <c r="AI32" i="22"/>
  <c r="AG32" i="22"/>
  <c r="AC23" i="19"/>
  <c r="X24" i="19" s="1"/>
  <c r="Y24" i="19" s="1"/>
  <c r="AI36" i="20"/>
  <c r="AK36" i="20" s="1"/>
  <c r="AI37" i="20" s="1"/>
  <c r="AK35" i="23"/>
  <c r="AI36" i="23" s="1"/>
  <c r="AG34" i="21"/>
  <c r="AI32" i="24"/>
  <c r="AG32" i="24"/>
  <c r="W22" i="25"/>
  <c r="AC21" i="25"/>
  <c r="X22" i="25" s="1"/>
  <c r="W24" i="24"/>
  <c r="AC23" i="24"/>
  <c r="X24" i="24" s="1"/>
  <c r="W21" i="23"/>
  <c r="AC20" i="23"/>
  <c r="X21" i="23" s="1"/>
  <c r="AD23" i="22"/>
  <c r="Y23" i="22"/>
  <c r="AO35" i="19"/>
  <c r="W21" i="21"/>
  <c r="AC20" i="21"/>
  <c r="X21" i="21" s="1"/>
  <c r="W22" i="20"/>
  <c r="AC21" i="20"/>
  <c r="X22" i="20" s="1"/>
  <c r="AK35" i="19"/>
  <c r="AG26" i="12"/>
  <c r="AI26" i="12"/>
  <c r="AD24" i="19" l="1"/>
  <c r="AK34" i="21"/>
  <c r="AI37" i="25"/>
  <c r="AG37" i="25"/>
  <c r="AK37" i="25" s="1"/>
  <c r="AO36" i="20"/>
  <c r="AO34" i="21"/>
  <c r="AG36" i="23"/>
  <c r="AK36" i="23" s="1"/>
  <c r="AO32" i="22"/>
  <c r="AK32" i="22"/>
  <c r="Z24" i="19"/>
  <c r="AA24" i="19" s="1"/>
  <c r="AG37" i="20"/>
  <c r="AK37" i="20" s="1"/>
  <c r="AI38" i="20" s="1"/>
  <c r="AO36" i="23"/>
  <c r="AK32" i="24"/>
  <c r="AI33" i="24" s="1"/>
  <c r="AG33" i="24"/>
  <c r="AO32" i="24"/>
  <c r="AD22" i="25"/>
  <c r="Y22" i="25"/>
  <c r="Z22" i="25"/>
  <c r="AA22" i="25" s="1"/>
  <c r="AB22" i="25" s="1"/>
  <c r="V23" i="25" s="1"/>
  <c r="AD24" i="24"/>
  <c r="Y24" i="24"/>
  <c r="Z24" i="24"/>
  <c r="AA24" i="24" s="1"/>
  <c r="AB24" i="24" s="1"/>
  <c r="V25" i="24" s="1"/>
  <c r="AD21" i="23"/>
  <c r="Y21" i="23"/>
  <c r="Z21" i="23"/>
  <c r="AA21" i="23" s="1"/>
  <c r="AB21" i="23" s="1"/>
  <c r="V22" i="23" s="1"/>
  <c r="W24" i="22"/>
  <c r="AC23" i="22"/>
  <c r="X24" i="22" s="1"/>
  <c r="AG35" i="21"/>
  <c r="AI35" i="21"/>
  <c r="AD21" i="21"/>
  <c r="Y21" i="21"/>
  <c r="Z21" i="21"/>
  <c r="AA21" i="21" s="1"/>
  <c r="AB21" i="21" s="1"/>
  <c r="V22" i="21" s="1"/>
  <c r="AD22" i="20"/>
  <c r="Y22" i="20"/>
  <c r="Z22" i="20"/>
  <c r="AA22" i="20" s="1"/>
  <c r="AB22" i="20" s="1"/>
  <c r="V23" i="20" s="1"/>
  <c r="AG36" i="19"/>
  <c r="AI36" i="19"/>
  <c r="AO26" i="12"/>
  <c r="AK26" i="12"/>
  <c r="AG38" i="25" l="1"/>
  <c r="AI38" i="25"/>
  <c r="AO38" i="25" s="1"/>
  <c r="AO37" i="25"/>
  <c r="AI33" i="22"/>
  <c r="AG33" i="22"/>
  <c r="AK33" i="22" s="1"/>
  <c r="AG38" i="20"/>
  <c r="AK38" i="20" s="1"/>
  <c r="AO37" i="20"/>
  <c r="AB24" i="19"/>
  <c r="V25" i="19" s="1"/>
  <c r="AC24" i="19"/>
  <c r="X25" i="19" s="1"/>
  <c r="AO33" i="24"/>
  <c r="AO35" i="21"/>
  <c r="AK33" i="24"/>
  <c r="AG37" i="23"/>
  <c r="AI37" i="23"/>
  <c r="W23" i="25"/>
  <c r="AC22" i="25"/>
  <c r="X23" i="25" s="1"/>
  <c r="W25" i="24"/>
  <c r="AC24" i="24"/>
  <c r="X25" i="24" s="1"/>
  <c r="W22" i="23"/>
  <c r="AC21" i="23"/>
  <c r="X22" i="23" s="1"/>
  <c r="AD24" i="22"/>
  <c r="Y24" i="22"/>
  <c r="Z24" i="22"/>
  <c r="AA24" i="22" s="1"/>
  <c r="AB24" i="22" s="1"/>
  <c r="V25" i="22" s="1"/>
  <c r="AO36" i="19"/>
  <c r="AK35" i="21"/>
  <c r="W22" i="21"/>
  <c r="AC21" i="21"/>
  <c r="X22" i="21" s="1"/>
  <c r="W23" i="20"/>
  <c r="AC22" i="20"/>
  <c r="X23" i="20" s="1"/>
  <c r="AK36" i="19"/>
  <c r="AG27" i="12"/>
  <c r="AI27" i="12"/>
  <c r="AK38" i="25" l="1"/>
  <c r="AO38" i="20"/>
  <c r="AI34" i="22"/>
  <c r="AG34" i="22"/>
  <c r="AK34" i="22" s="1"/>
  <c r="AO33" i="22"/>
  <c r="Y25" i="19"/>
  <c r="AD25" i="19"/>
  <c r="W25" i="19"/>
  <c r="Z25" i="19"/>
  <c r="AA25" i="19" s="1"/>
  <c r="AO37" i="23"/>
  <c r="AI34" i="24"/>
  <c r="AG34" i="24"/>
  <c r="AK37" i="23"/>
  <c r="AD23" i="25"/>
  <c r="Y23" i="25"/>
  <c r="Z23" i="25"/>
  <c r="AA23" i="25" s="1"/>
  <c r="AB23" i="25" s="1"/>
  <c r="V24" i="25" s="1"/>
  <c r="AD25" i="24"/>
  <c r="Y25" i="24"/>
  <c r="Z25" i="24"/>
  <c r="AA25" i="24" s="1"/>
  <c r="AB25" i="24" s="1"/>
  <c r="V26" i="24" s="1"/>
  <c r="AD22" i="23"/>
  <c r="Y22" i="23"/>
  <c r="Z22" i="23"/>
  <c r="AA22" i="23" s="1"/>
  <c r="AB22" i="23" s="1"/>
  <c r="V23" i="23" s="1"/>
  <c r="W25" i="22"/>
  <c r="AC24" i="22"/>
  <c r="X25" i="22" s="1"/>
  <c r="AG36" i="21"/>
  <c r="AI36" i="21"/>
  <c r="AI39" i="20"/>
  <c r="AG39" i="20"/>
  <c r="AD22" i="21"/>
  <c r="Y22" i="21"/>
  <c r="Z22" i="21"/>
  <c r="AA22" i="21" s="1"/>
  <c r="AB22" i="21" s="1"/>
  <c r="V23" i="21" s="1"/>
  <c r="AD23" i="20"/>
  <c r="Y23" i="20"/>
  <c r="Z23" i="20"/>
  <c r="AA23" i="20" s="1"/>
  <c r="AB23" i="20" s="1"/>
  <c r="V24" i="20" s="1"/>
  <c r="AG37" i="19"/>
  <c r="AI37" i="19"/>
  <c r="AO27" i="12"/>
  <c r="AK27" i="12"/>
  <c r="AI39" i="25" l="1"/>
  <c r="AG39" i="25"/>
  <c r="AK39" i="25" s="1"/>
  <c r="AI35" i="22"/>
  <c r="AG35" i="22"/>
  <c r="AK35" i="22" s="1"/>
  <c r="AO34" i="22"/>
  <c r="AB25" i="19"/>
  <c r="V26" i="19" s="1"/>
  <c r="W26" i="19" s="1"/>
  <c r="AC25" i="19"/>
  <c r="X26" i="19" s="1"/>
  <c r="AK34" i="24"/>
  <c r="AK39" i="20"/>
  <c r="AG40" i="20" s="1"/>
  <c r="AG35" i="24"/>
  <c r="AI35" i="24"/>
  <c r="AO34" i="24"/>
  <c r="AG38" i="23"/>
  <c r="AI38" i="23"/>
  <c r="W24" i="25"/>
  <c r="AC23" i="25"/>
  <c r="X24" i="25" s="1"/>
  <c r="AO36" i="21"/>
  <c r="W26" i="24"/>
  <c r="AC25" i="24"/>
  <c r="X26" i="24" s="1"/>
  <c r="W23" i="23"/>
  <c r="AC22" i="23"/>
  <c r="X23" i="23" s="1"/>
  <c r="AD25" i="22"/>
  <c r="Y25" i="22"/>
  <c r="Z25" i="22"/>
  <c r="AA25" i="22" s="1"/>
  <c r="AB25" i="22" s="1"/>
  <c r="V26" i="22" s="1"/>
  <c r="AK36" i="21"/>
  <c r="AO37" i="19"/>
  <c r="AO39" i="20"/>
  <c r="W23" i="21"/>
  <c r="AC22" i="21"/>
  <c r="X23" i="21" s="1"/>
  <c r="W24" i="20"/>
  <c r="AC23" i="20"/>
  <c r="X24" i="20" s="1"/>
  <c r="AK37" i="19"/>
  <c r="AI28" i="12"/>
  <c r="AG28" i="12"/>
  <c r="AI40" i="25" l="1"/>
  <c r="AG40" i="25"/>
  <c r="AK40" i="25" s="1"/>
  <c r="AO39" i="25"/>
  <c r="AG36" i="22"/>
  <c r="AI36" i="22"/>
  <c r="AO36" i="22" s="1"/>
  <c r="AO35" i="22"/>
  <c r="AI40" i="20"/>
  <c r="AO40" i="20" s="1"/>
  <c r="Y26" i="19"/>
  <c r="AD26" i="19"/>
  <c r="Z26" i="19"/>
  <c r="AA26" i="19" s="1"/>
  <c r="AB26" i="19" s="1"/>
  <c r="V27" i="19" s="1"/>
  <c r="W27" i="19" s="1"/>
  <c r="AO35" i="24"/>
  <c r="AO38" i="23"/>
  <c r="AK35" i="24"/>
  <c r="AK38" i="23"/>
  <c r="AD24" i="25"/>
  <c r="Y24" i="25"/>
  <c r="Z24" i="25"/>
  <c r="AA24" i="25" s="1"/>
  <c r="AB24" i="25" s="1"/>
  <c r="V25" i="25" s="1"/>
  <c r="AD26" i="24"/>
  <c r="Y26" i="24"/>
  <c r="Z26" i="24"/>
  <c r="AA26" i="24" s="1"/>
  <c r="AB26" i="24" s="1"/>
  <c r="V27" i="24" s="1"/>
  <c r="AD23" i="23"/>
  <c r="Y23" i="23"/>
  <c r="Z23" i="23"/>
  <c r="AA23" i="23" s="1"/>
  <c r="AB23" i="23" s="1"/>
  <c r="V24" i="23" s="1"/>
  <c r="W26" i="22"/>
  <c r="AC25" i="22"/>
  <c r="X26" i="22" s="1"/>
  <c r="AI37" i="21"/>
  <c r="AG37" i="21"/>
  <c r="AD23" i="21"/>
  <c r="Y23" i="21"/>
  <c r="Z23" i="21"/>
  <c r="AA23" i="21" s="1"/>
  <c r="AB23" i="21" s="1"/>
  <c r="V24" i="21" s="1"/>
  <c r="AD24" i="20"/>
  <c r="Y24" i="20"/>
  <c r="Z24" i="20"/>
  <c r="AA24" i="20" s="1"/>
  <c r="AB24" i="20" s="1"/>
  <c r="V25" i="20" s="1"/>
  <c r="AG38" i="19"/>
  <c r="AI38" i="19"/>
  <c r="AO28" i="12"/>
  <c r="AK28" i="12"/>
  <c r="AK40" i="20" l="1"/>
  <c r="AI41" i="25"/>
  <c r="AG41" i="25"/>
  <c r="AO40" i="25"/>
  <c r="AK36" i="22"/>
  <c r="AC26" i="19"/>
  <c r="X27" i="19" s="1"/>
  <c r="AG36" i="24"/>
  <c r="AI36" i="24"/>
  <c r="AG39" i="23"/>
  <c r="AI39" i="23"/>
  <c r="AK37" i="21"/>
  <c r="AG38" i="21" s="1"/>
  <c r="W25" i="25"/>
  <c r="AC24" i="25"/>
  <c r="X25" i="25" s="1"/>
  <c r="W27" i="24"/>
  <c r="AC26" i="24"/>
  <c r="X27" i="24" s="1"/>
  <c r="W24" i="23"/>
  <c r="AC23" i="23"/>
  <c r="X24" i="23" s="1"/>
  <c r="AD26" i="22"/>
  <c r="Y26" i="22"/>
  <c r="Z26" i="22"/>
  <c r="AA26" i="22" s="1"/>
  <c r="AB26" i="22" s="1"/>
  <c r="V27" i="22" s="1"/>
  <c r="AO37" i="21"/>
  <c r="AI41" i="20"/>
  <c r="AG41" i="20"/>
  <c r="W24" i="21"/>
  <c r="AC23" i="21"/>
  <c r="X24" i="21" s="1"/>
  <c r="W25" i="20"/>
  <c r="AC24" i="20"/>
  <c r="X25" i="20" s="1"/>
  <c r="AK38" i="19"/>
  <c r="AO38" i="19"/>
  <c r="AI29" i="12"/>
  <c r="AG29" i="12"/>
  <c r="AK41" i="25" l="1"/>
  <c r="AI42" i="25"/>
  <c r="AG42" i="25"/>
  <c r="AK42" i="25" s="1"/>
  <c r="AO41" i="25"/>
  <c r="AG37" i="22"/>
  <c r="AI37" i="22"/>
  <c r="AO37" i="22" s="1"/>
  <c r="AO39" i="23"/>
  <c r="AD27" i="19"/>
  <c r="Z27" i="19"/>
  <c r="AA27" i="19" s="1"/>
  <c r="AB27" i="19" s="1"/>
  <c r="V28" i="19" s="1"/>
  <c r="W28" i="19" s="1"/>
  <c r="Y27" i="19"/>
  <c r="AO36" i="24"/>
  <c r="AI38" i="21"/>
  <c r="AK38" i="21" s="1"/>
  <c r="AG39" i="21" s="1"/>
  <c r="AK36" i="24"/>
  <c r="AK39" i="23"/>
  <c r="AD25" i="25"/>
  <c r="Y25" i="25"/>
  <c r="Z25" i="25"/>
  <c r="AA25" i="25" s="1"/>
  <c r="AB25" i="25" s="1"/>
  <c r="V26" i="25" s="1"/>
  <c r="AD27" i="24"/>
  <c r="Y27" i="24"/>
  <c r="Z27" i="24"/>
  <c r="AA27" i="24" s="1"/>
  <c r="AB27" i="24" s="1"/>
  <c r="V28" i="24" s="1"/>
  <c r="AD24" i="23"/>
  <c r="Y24" i="23"/>
  <c r="Z24" i="23"/>
  <c r="AA24" i="23" s="1"/>
  <c r="AB24" i="23" s="1"/>
  <c r="V25" i="23" s="1"/>
  <c r="W27" i="22"/>
  <c r="AC26" i="22"/>
  <c r="X27" i="22" s="1"/>
  <c r="AO41" i="20"/>
  <c r="AK41" i="20"/>
  <c r="AD24" i="21"/>
  <c r="Y24" i="21"/>
  <c r="Z24" i="21"/>
  <c r="AA24" i="21" s="1"/>
  <c r="AB24" i="21" s="1"/>
  <c r="V25" i="21" s="1"/>
  <c r="AD25" i="20"/>
  <c r="Y25" i="20"/>
  <c r="Z25" i="20"/>
  <c r="AA25" i="20" s="1"/>
  <c r="AB25" i="20" s="1"/>
  <c r="V26" i="20" s="1"/>
  <c r="AG39" i="19"/>
  <c r="AI39" i="19"/>
  <c r="AK29" i="12"/>
  <c r="AI30" i="12" s="1"/>
  <c r="AO29" i="12"/>
  <c r="AI43" i="25" l="1"/>
  <c r="AG43" i="25"/>
  <c r="AO42" i="25"/>
  <c r="AO38" i="21"/>
  <c r="AK37" i="22"/>
  <c r="AI39" i="21"/>
  <c r="AC27" i="19"/>
  <c r="X28" i="19" s="1"/>
  <c r="AG37" i="24"/>
  <c r="AI37" i="24"/>
  <c r="AO37" i="24" s="1"/>
  <c r="AI40" i="23"/>
  <c r="AG40" i="23"/>
  <c r="AO39" i="21"/>
  <c r="W26" i="25"/>
  <c r="AC25" i="25"/>
  <c r="X26" i="25" s="1"/>
  <c r="W28" i="24"/>
  <c r="AC27" i="24"/>
  <c r="X28" i="24" s="1"/>
  <c r="W25" i="23"/>
  <c r="AC24" i="23"/>
  <c r="X25" i="23" s="1"/>
  <c r="AD27" i="22"/>
  <c r="Y27" i="22"/>
  <c r="Z27" i="22"/>
  <c r="AA27" i="22" s="1"/>
  <c r="AB27" i="22" s="1"/>
  <c r="V28" i="22" s="1"/>
  <c r="AO39" i="19"/>
  <c r="AK39" i="21"/>
  <c r="AI42" i="20"/>
  <c r="AG42" i="20"/>
  <c r="W25" i="21"/>
  <c r="AC24" i="21"/>
  <c r="X25" i="21" s="1"/>
  <c r="W26" i="20"/>
  <c r="AC25" i="20"/>
  <c r="X26" i="20" s="1"/>
  <c r="AK39" i="19"/>
  <c r="AG30" i="12"/>
  <c r="AO30" i="12" s="1"/>
  <c r="AK43" i="25" l="1"/>
  <c r="AI44" i="25"/>
  <c r="AG44" i="25"/>
  <c r="AK44" i="25" s="1"/>
  <c r="AO43" i="25"/>
  <c r="AK40" i="23"/>
  <c r="AG41" i="23" s="1"/>
  <c r="AG38" i="22"/>
  <c r="AI38" i="22"/>
  <c r="AO38" i="22" s="1"/>
  <c r="AD28" i="19"/>
  <c r="Z28" i="19"/>
  <c r="AA28" i="19" s="1"/>
  <c r="AB28" i="19" s="1"/>
  <c r="V29" i="19" s="1"/>
  <c r="W29" i="19" s="1"/>
  <c r="Y28" i="19"/>
  <c r="AK37" i="24"/>
  <c r="AI41" i="23"/>
  <c r="AO40" i="23"/>
  <c r="AD26" i="25"/>
  <c r="Y26" i="25"/>
  <c r="Z26" i="25"/>
  <c r="AA26" i="25" s="1"/>
  <c r="AB26" i="25" s="1"/>
  <c r="V27" i="25" s="1"/>
  <c r="AD28" i="24"/>
  <c r="Y28" i="24"/>
  <c r="Z28" i="24"/>
  <c r="AA28" i="24" s="1"/>
  <c r="AB28" i="24" s="1"/>
  <c r="V29" i="24" s="1"/>
  <c r="AD25" i="23"/>
  <c r="Y25" i="23"/>
  <c r="Z25" i="23"/>
  <c r="AA25" i="23" s="1"/>
  <c r="AB25" i="23" s="1"/>
  <c r="V26" i="23" s="1"/>
  <c r="W28" i="22"/>
  <c r="AC27" i="22"/>
  <c r="X28" i="22" s="1"/>
  <c r="AK42" i="20"/>
  <c r="AG43" i="20" s="1"/>
  <c r="AI40" i="21"/>
  <c r="AG40" i="21"/>
  <c r="AO42" i="20"/>
  <c r="AD25" i="21"/>
  <c r="Y25" i="21"/>
  <c r="Z25" i="21"/>
  <c r="AA25" i="21" s="1"/>
  <c r="AB25" i="21" s="1"/>
  <c r="V26" i="21" s="1"/>
  <c r="AD26" i="20"/>
  <c r="Y26" i="20"/>
  <c r="Z26" i="20"/>
  <c r="AA26" i="20" s="1"/>
  <c r="AB26" i="20" s="1"/>
  <c r="V27" i="20" s="1"/>
  <c r="AG40" i="19"/>
  <c r="AI40" i="19"/>
  <c r="AK30" i="12"/>
  <c r="AG31" i="12" s="1"/>
  <c r="AI31" i="12"/>
  <c r="AO44" i="25" l="1"/>
  <c r="AK41" i="23"/>
  <c r="AK38" i="22"/>
  <c r="AC28" i="19"/>
  <c r="X29" i="19" s="1"/>
  <c r="AG38" i="24"/>
  <c r="AI38" i="24"/>
  <c r="AI42" i="23"/>
  <c r="AG42" i="23"/>
  <c r="AO41" i="23"/>
  <c r="AI43" i="20"/>
  <c r="AO43" i="20" s="1"/>
  <c r="W27" i="25"/>
  <c r="AC26" i="25"/>
  <c r="X27" i="25" s="1"/>
  <c r="AK40" i="21"/>
  <c r="AG41" i="21" s="1"/>
  <c r="W29" i="24"/>
  <c r="AC28" i="24"/>
  <c r="X29" i="24" s="1"/>
  <c r="W26" i="23"/>
  <c r="AC25" i="23"/>
  <c r="X26" i="23" s="1"/>
  <c r="AD28" i="22"/>
  <c r="Y28" i="22"/>
  <c r="Z28" i="22"/>
  <c r="AA28" i="22" s="1"/>
  <c r="AB28" i="22" s="1"/>
  <c r="V29" i="22" s="1"/>
  <c r="AO40" i="19"/>
  <c r="AO40" i="21"/>
  <c r="W26" i="21"/>
  <c r="AC25" i="21"/>
  <c r="X26" i="21" s="1"/>
  <c r="W27" i="20"/>
  <c r="AC26" i="20"/>
  <c r="X27" i="20" s="1"/>
  <c r="AK40" i="19"/>
  <c r="AO31" i="12"/>
  <c r="AK31" i="12"/>
  <c r="AK43" i="20" l="1"/>
  <c r="AI44" i="20" s="1"/>
  <c r="AK42" i="23"/>
  <c r="AG39" i="22"/>
  <c r="AI39" i="22"/>
  <c r="AO39" i="22" s="1"/>
  <c r="AD29" i="19"/>
  <c r="Y29" i="19"/>
  <c r="Z29" i="19"/>
  <c r="AA29" i="19" s="1"/>
  <c r="AB29" i="19" s="1"/>
  <c r="V30" i="19" s="1"/>
  <c r="W30" i="19" s="1"/>
  <c r="AO38" i="24"/>
  <c r="AK38" i="24"/>
  <c r="AI43" i="23"/>
  <c r="AG43" i="23"/>
  <c r="AO42" i="23"/>
  <c r="AI41" i="21"/>
  <c r="AO41" i="21" s="1"/>
  <c r="AG44" i="20"/>
  <c r="AD27" i="25"/>
  <c r="Y27" i="25"/>
  <c r="Z27" i="25"/>
  <c r="AA27" i="25" s="1"/>
  <c r="AB27" i="25" s="1"/>
  <c r="V28" i="25" s="1"/>
  <c r="AD29" i="24"/>
  <c r="Y29" i="24"/>
  <c r="Z29" i="24"/>
  <c r="AA29" i="24" s="1"/>
  <c r="AB29" i="24" s="1"/>
  <c r="V30" i="24" s="1"/>
  <c r="AD26" i="23"/>
  <c r="Y26" i="23"/>
  <c r="Z26" i="23"/>
  <c r="AA26" i="23" s="1"/>
  <c r="AB26" i="23" s="1"/>
  <c r="V27" i="23" s="1"/>
  <c r="W29" i="22"/>
  <c r="AC28" i="22"/>
  <c r="X29" i="22" s="1"/>
  <c r="AD26" i="21"/>
  <c r="Y26" i="21"/>
  <c r="Z26" i="21"/>
  <c r="AA26" i="21" s="1"/>
  <c r="AB26" i="21" s="1"/>
  <c r="V27" i="21" s="1"/>
  <c r="AD27" i="20"/>
  <c r="Y27" i="20"/>
  <c r="Z27" i="20"/>
  <c r="AA27" i="20" s="1"/>
  <c r="AB27" i="20" s="1"/>
  <c r="V28" i="20" s="1"/>
  <c r="AG41" i="19"/>
  <c r="AI41" i="19"/>
  <c r="AG32" i="12"/>
  <c r="AI32" i="12"/>
  <c r="AK44" i="20" l="1"/>
  <c r="AK43" i="23"/>
  <c r="AK39" i="22"/>
  <c r="AK41" i="21"/>
  <c r="AC29" i="19"/>
  <c r="X30" i="19" s="1"/>
  <c r="AO44" i="20"/>
  <c r="AG39" i="24"/>
  <c r="AI39" i="24"/>
  <c r="AO39" i="24" s="1"/>
  <c r="AG44" i="23"/>
  <c r="AI44" i="23"/>
  <c r="AO43" i="23"/>
  <c r="W28" i="25"/>
  <c r="AC27" i="25"/>
  <c r="X28" i="25" s="1"/>
  <c r="W30" i="24"/>
  <c r="AC29" i="24"/>
  <c r="X30" i="24" s="1"/>
  <c r="W27" i="23"/>
  <c r="AC26" i="23"/>
  <c r="X27" i="23" s="1"/>
  <c r="AD29" i="22"/>
  <c r="Y29" i="22"/>
  <c r="Z29" i="22"/>
  <c r="AA29" i="22" s="1"/>
  <c r="AB29" i="22" s="1"/>
  <c r="V30" i="22" s="1"/>
  <c r="AO41" i="19"/>
  <c r="AI42" i="21"/>
  <c r="AG42" i="21"/>
  <c r="W27" i="21"/>
  <c r="AC26" i="21"/>
  <c r="X27" i="21" s="1"/>
  <c r="W28" i="20"/>
  <c r="AC27" i="20"/>
  <c r="X28" i="20" s="1"/>
  <c r="AK41" i="19"/>
  <c r="AO32" i="12"/>
  <c r="AK32" i="12"/>
  <c r="AI40" i="22" l="1"/>
  <c r="AG40" i="22"/>
  <c r="AK40" i="22" s="1"/>
  <c r="AD30" i="19"/>
  <c r="Y30" i="19"/>
  <c r="Z30" i="19"/>
  <c r="AA30" i="19" s="1"/>
  <c r="AB30" i="19" s="1"/>
  <c r="V31" i="19" s="1"/>
  <c r="W31" i="19" s="1"/>
  <c r="AO44" i="23"/>
  <c r="AK39" i="24"/>
  <c r="AK44" i="23"/>
  <c r="AK42" i="21"/>
  <c r="AG43" i="21" s="1"/>
  <c r="AD28" i="25"/>
  <c r="Y28" i="25"/>
  <c r="Z28" i="25"/>
  <c r="AA28" i="25" s="1"/>
  <c r="AB28" i="25" s="1"/>
  <c r="V29" i="25" s="1"/>
  <c r="AD30" i="24"/>
  <c r="Y30" i="24"/>
  <c r="Z30" i="24"/>
  <c r="AA30" i="24" s="1"/>
  <c r="AB30" i="24" s="1"/>
  <c r="V31" i="24" s="1"/>
  <c r="AD27" i="23"/>
  <c r="Y27" i="23"/>
  <c r="Z27" i="23"/>
  <c r="AA27" i="23" s="1"/>
  <c r="AB27" i="23" s="1"/>
  <c r="V28" i="23" s="1"/>
  <c r="W30" i="22"/>
  <c r="AC29" i="22"/>
  <c r="X30" i="22" s="1"/>
  <c r="AI43" i="21"/>
  <c r="AO42" i="21"/>
  <c r="AD27" i="21"/>
  <c r="Y27" i="21"/>
  <c r="Z27" i="21"/>
  <c r="AA27" i="21" s="1"/>
  <c r="AB27" i="21" s="1"/>
  <c r="V28" i="21" s="1"/>
  <c r="AD28" i="20"/>
  <c r="Y28" i="20"/>
  <c r="Z28" i="20"/>
  <c r="AA28" i="20" s="1"/>
  <c r="AB28" i="20" s="1"/>
  <c r="V29" i="20" s="1"/>
  <c r="AG42" i="19"/>
  <c r="AI42" i="19"/>
  <c r="AI33" i="12"/>
  <c r="AG33" i="12"/>
  <c r="AI41" i="22" l="1"/>
  <c r="AG41" i="22"/>
  <c r="AK41" i="22" s="1"/>
  <c r="AO40" i="22"/>
  <c r="AC30" i="19"/>
  <c r="X31" i="19" s="1"/>
  <c r="AI40" i="24"/>
  <c r="AG40" i="24"/>
  <c r="AO43" i="21"/>
  <c r="W29" i="25"/>
  <c r="AC28" i="25"/>
  <c r="X29" i="25" s="1"/>
  <c r="W31" i="24"/>
  <c r="AC30" i="24"/>
  <c r="X31" i="24" s="1"/>
  <c r="W28" i="23"/>
  <c r="AC27" i="23"/>
  <c r="X28" i="23" s="1"/>
  <c r="AD30" i="22"/>
  <c r="Y30" i="22"/>
  <c r="Z30" i="22"/>
  <c r="AA30" i="22" s="1"/>
  <c r="AB30" i="22" s="1"/>
  <c r="V31" i="22" s="1"/>
  <c r="AO42" i="19"/>
  <c r="AK43" i="21"/>
  <c r="W28" i="21"/>
  <c r="AC27" i="21"/>
  <c r="X28" i="21" s="1"/>
  <c r="W29" i="20"/>
  <c r="AC28" i="20"/>
  <c r="X29" i="20" s="1"/>
  <c r="AK42" i="19"/>
  <c r="AK33" i="12"/>
  <c r="AI34" i="12" s="1"/>
  <c r="AO33" i="12"/>
  <c r="AG34" i="12" l="1"/>
  <c r="AK34" i="12" s="1"/>
  <c r="AG35" i="12" s="1"/>
  <c r="AI42" i="22"/>
  <c r="AG42" i="22"/>
  <c r="AK42" i="22" s="1"/>
  <c r="AO41" i="22"/>
  <c r="Y31" i="19"/>
  <c r="AD31" i="19"/>
  <c r="Z31" i="19"/>
  <c r="AA31" i="19" s="1"/>
  <c r="AB31" i="19" s="1"/>
  <c r="V32" i="19" s="1"/>
  <c r="W32" i="19" s="1"/>
  <c r="AK40" i="24"/>
  <c r="AI41" i="24"/>
  <c r="AG41" i="24"/>
  <c r="AO40" i="24"/>
  <c r="AD29" i="25"/>
  <c r="Y29" i="25"/>
  <c r="Z29" i="25"/>
  <c r="AA29" i="25" s="1"/>
  <c r="AB29" i="25" s="1"/>
  <c r="V30" i="25" s="1"/>
  <c r="AD31" i="24"/>
  <c r="Y31" i="24"/>
  <c r="Z31" i="24"/>
  <c r="AA31" i="24" s="1"/>
  <c r="AB31" i="24" s="1"/>
  <c r="V32" i="24" s="1"/>
  <c r="AD28" i="23"/>
  <c r="Y28" i="23"/>
  <c r="Z28" i="23"/>
  <c r="AA28" i="23" s="1"/>
  <c r="AB28" i="23" s="1"/>
  <c r="V29" i="23" s="1"/>
  <c r="W31" i="22"/>
  <c r="AC30" i="22"/>
  <c r="X31" i="22" s="1"/>
  <c r="AG44" i="21"/>
  <c r="AI44" i="21"/>
  <c r="AD28" i="21"/>
  <c r="Y28" i="21"/>
  <c r="Z28" i="21"/>
  <c r="AA28" i="21" s="1"/>
  <c r="AB28" i="21" s="1"/>
  <c r="V29" i="21" s="1"/>
  <c r="AD29" i="20"/>
  <c r="Y29" i="20"/>
  <c r="Z29" i="20"/>
  <c r="AA29" i="20" s="1"/>
  <c r="AB29" i="20" s="1"/>
  <c r="V30" i="20" s="1"/>
  <c r="AG43" i="19"/>
  <c r="AI43" i="19"/>
  <c r="AO34" i="12" l="1"/>
  <c r="AG43" i="22"/>
  <c r="AI43" i="22"/>
  <c r="AO43" i="22" s="1"/>
  <c r="AO42" i="22"/>
  <c r="AC31" i="19"/>
  <c r="X32" i="19" s="1"/>
  <c r="AK41" i="24"/>
  <c r="AI42" i="24"/>
  <c r="AG42" i="24"/>
  <c r="AO41" i="24"/>
  <c r="AO44" i="21"/>
  <c r="W30" i="25"/>
  <c r="AC29" i="25"/>
  <c r="X30" i="25" s="1"/>
  <c r="W32" i="24"/>
  <c r="AC31" i="24"/>
  <c r="X32" i="24" s="1"/>
  <c r="W29" i="23"/>
  <c r="AC28" i="23"/>
  <c r="X29" i="23" s="1"/>
  <c r="AD31" i="22"/>
  <c r="Y31" i="22"/>
  <c r="Z31" i="22"/>
  <c r="AA31" i="22" s="1"/>
  <c r="AB31" i="22" s="1"/>
  <c r="V32" i="22" s="1"/>
  <c r="AK44" i="21"/>
  <c r="AI35" i="12"/>
  <c r="AO35" i="12" s="1"/>
  <c r="W29" i="21"/>
  <c r="AC28" i="21"/>
  <c r="X29" i="21" s="1"/>
  <c r="W30" i="20"/>
  <c r="AC29" i="20"/>
  <c r="X30" i="20" s="1"/>
  <c r="AO43" i="19"/>
  <c r="AK43" i="19"/>
  <c r="AK43" i="22" l="1"/>
  <c r="AD32" i="19"/>
  <c r="Z32" i="19"/>
  <c r="AA32" i="19" s="1"/>
  <c r="AB32" i="19" s="1"/>
  <c r="V33" i="19" s="1"/>
  <c r="W33" i="19" s="1"/>
  <c r="Y32" i="19"/>
  <c r="AC32" i="19" s="1"/>
  <c r="X33" i="19" s="1"/>
  <c r="Y33" i="19" s="1"/>
  <c r="AK42" i="24"/>
  <c r="AI43" i="24"/>
  <c r="AG43" i="24"/>
  <c r="AO42" i="24"/>
  <c r="AD30" i="25"/>
  <c r="Y30" i="25"/>
  <c r="Z30" i="25"/>
  <c r="AA30" i="25" s="1"/>
  <c r="AB30" i="25" s="1"/>
  <c r="V31" i="25" s="1"/>
  <c r="AD32" i="24"/>
  <c r="Y32" i="24"/>
  <c r="Z32" i="24"/>
  <c r="AA32" i="24" s="1"/>
  <c r="AB32" i="24" s="1"/>
  <c r="V33" i="24" s="1"/>
  <c r="AD29" i="23"/>
  <c r="Y29" i="23"/>
  <c r="Z29" i="23"/>
  <c r="AA29" i="23" s="1"/>
  <c r="AB29" i="23" s="1"/>
  <c r="V30" i="23" s="1"/>
  <c r="AK35" i="12"/>
  <c r="AG36" i="12" s="1"/>
  <c r="W32" i="22"/>
  <c r="AC31" i="22"/>
  <c r="X32" i="22" s="1"/>
  <c r="AD29" i="21"/>
  <c r="Y29" i="21"/>
  <c r="Z29" i="21"/>
  <c r="AA29" i="21" s="1"/>
  <c r="AB29" i="21" s="1"/>
  <c r="V30" i="21" s="1"/>
  <c r="AD30" i="20"/>
  <c r="Y30" i="20"/>
  <c r="Z30" i="20"/>
  <c r="AA30" i="20" s="1"/>
  <c r="AB30" i="20" s="1"/>
  <c r="V31" i="20" s="1"/>
  <c r="AG44" i="19"/>
  <c r="AI44" i="19"/>
  <c r="AG44" i="22" l="1"/>
  <c r="AI44" i="22"/>
  <c r="AI36" i="12"/>
  <c r="AO36" i="12" s="1"/>
  <c r="Z33" i="19"/>
  <c r="AA33" i="19" s="1"/>
  <c r="AB33" i="19" s="1"/>
  <c r="V34" i="19" s="1"/>
  <c r="W34" i="19" s="1"/>
  <c r="AD33" i="19"/>
  <c r="AK43" i="24"/>
  <c r="AG44" i="24"/>
  <c r="AI44" i="24"/>
  <c r="AO43" i="24"/>
  <c r="W31" i="25"/>
  <c r="AC30" i="25"/>
  <c r="X31" i="25" s="1"/>
  <c r="W33" i="24"/>
  <c r="AC32" i="24"/>
  <c r="X33" i="24" s="1"/>
  <c r="W30" i="23"/>
  <c r="AC29" i="23"/>
  <c r="X30" i="23" s="1"/>
  <c r="AO44" i="19"/>
  <c r="AD32" i="22"/>
  <c r="Y32" i="22"/>
  <c r="Z32" i="22"/>
  <c r="AA32" i="22" s="1"/>
  <c r="AB32" i="22" s="1"/>
  <c r="V33" i="22" s="1"/>
  <c r="W30" i="21"/>
  <c r="AC29" i="21"/>
  <c r="X30" i="21" s="1"/>
  <c r="W31" i="20"/>
  <c r="AC30" i="20"/>
  <c r="X31" i="20" s="1"/>
  <c r="AK44" i="19"/>
  <c r="AO44" i="22" l="1"/>
  <c r="AK36" i="12"/>
  <c r="AG37" i="12" s="1"/>
  <c r="AC33" i="19"/>
  <c r="X34" i="19" s="1"/>
  <c r="Z34" i="19" s="1"/>
  <c r="AK44" i="22"/>
  <c r="AO44" i="24"/>
  <c r="AK44" i="24"/>
  <c r="AD31" i="25"/>
  <c r="Y31" i="25"/>
  <c r="Z31" i="25"/>
  <c r="AA31" i="25" s="1"/>
  <c r="AB31" i="25" s="1"/>
  <c r="V32" i="25" s="1"/>
  <c r="AD33" i="24"/>
  <c r="Y33" i="24"/>
  <c r="Z33" i="24"/>
  <c r="AA33" i="24" s="1"/>
  <c r="AB33" i="24" s="1"/>
  <c r="V34" i="24" s="1"/>
  <c r="AD30" i="23"/>
  <c r="Y30" i="23"/>
  <c r="Z30" i="23"/>
  <c r="AA30" i="23" s="1"/>
  <c r="AB30" i="23" s="1"/>
  <c r="V31" i="23" s="1"/>
  <c r="W33" i="22"/>
  <c r="AC32" i="22"/>
  <c r="X33" i="22" s="1"/>
  <c r="AD30" i="21"/>
  <c r="Y30" i="21"/>
  <c r="Z30" i="21"/>
  <c r="AA30" i="21" s="1"/>
  <c r="AB30" i="21" s="1"/>
  <c r="V31" i="21" s="1"/>
  <c r="AD31" i="20"/>
  <c r="Y31" i="20"/>
  <c r="Z31" i="20"/>
  <c r="AA31" i="20" s="1"/>
  <c r="AB31" i="20" s="1"/>
  <c r="V32" i="20" s="1"/>
  <c r="AD34" i="19"/>
  <c r="AI37" i="12"/>
  <c r="Y34" i="19" l="1"/>
  <c r="W32" i="25"/>
  <c r="AC31" i="25"/>
  <c r="X32" i="25" s="1"/>
  <c r="W34" i="24"/>
  <c r="AC33" i="24"/>
  <c r="X34" i="24" s="1"/>
  <c r="W31" i="23"/>
  <c r="AC30" i="23"/>
  <c r="X31" i="23" s="1"/>
  <c r="AD33" i="22"/>
  <c r="Y33" i="22"/>
  <c r="Z33" i="22"/>
  <c r="AA33" i="22" s="1"/>
  <c r="AB33" i="22" s="1"/>
  <c r="V34" i="22" s="1"/>
  <c r="W31" i="21"/>
  <c r="AC30" i="21"/>
  <c r="X31" i="21" s="1"/>
  <c r="W32" i="20"/>
  <c r="AC31" i="20"/>
  <c r="X32" i="20" s="1"/>
  <c r="O26" i="19"/>
  <c r="O27" i="19" s="1"/>
  <c r="G17" i="19" s="1"/>
  <c r="AA34" i="19"/>
  <c r="AB34" i="19" s="1"/>
  <c r="AO37" i="12"/>
  <c r="AK37" i="12"/>
  <c r="AD32" i="25" l="1"/>
  <c r="Y32" i="25"/>
  <c r="Z32" i="25"/>
  <c r="AA32" i="25" s="1"/>
  <c r="AB32" i="25" s="1"/>
  <c r="V33" i="25" s="1"/>
  <c r="AD34" i="24"/>
  <c r="Y34" i="24"/>
  <c r="Z34" i="24"/>
  <c r="AD31" i="23"/>
  <c r="Y31" i="23"/>
  <c r="Z31" i="23"/>
  <c r="AA31" i="23" s="1"/>
  <c r="AB31" i="23" s="1"/>
  <c r="V32" i="23" s="1"/>
  <c r="W34" i="22"/>
  <c r="AC33" i="22"/>
  <c r="X34" i="22" s="1"/>
  <c r="AD31" i="21"/>
  <c r="Y31" i="21"/>
  <c r="Z31" i="21"/>
  <c r="AA31" i="21" s="1"/>
  <c r="AB31" i="21" s="1"/>
  <c r="V32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W33" i="25" l="1"/>
  <c r="AC32" i="25"/>
  <c r="X33" i="25" s="1"/>
  <c r="O26" i="24"/>
  <c r="O27" i="24" s="1"/>
  <c r="G17" i="24" s="1"/>
  <c r="AA34" i="24"/>
  <c r="AB34" i="24" s="1"/>
  <c r="W32" i="23"/>
  <c r="AC31" i="23"/>
  <c r="X32" i="23" s="1"/>
  <c r="AD34" i="22"/>
  <c r="Y34" i="22"/>
  <c r="Z34" i="22"/>
  <c r="W32" i="21"/>
  <c r="AC31" i="21"/>
  <c r="X32" i="21" s="1"/>
  <c r="W33" i="20"/>
  <c r="AC32" i="20"/>
  <c r="X33" i="20" s="1"/>
  <c r="K6" i="19"/>
  <c r="G33" i="19"/>
  <c r="K10" i="19" s="1"/>
  <c r="K15" i="19" s="1"/>
  <c r="AK38" i="12"/>
  <c r="AG39" i="12" s="1"/>
  <c r="AO38" i="12"/>
  <c r="AD33" i="25" l="1"/>
  <c r="Y33" i="25"/>
  <c r="Z33" i="25"/>
  <c r="AA33" i="25" s="1"/>
  <c r="AB33" i="25" s="1"/>
  <c r="V34" i="25" s="1"/>
  <c r="AC34" i="24"/>
  <c r="G20" i="24"/>
  <c r="G18" i="24"/>
  <c r="AD32" i="23"/>
  <c r="Y32" i="23"/>
  <c r="Z32" i="23"/>
  <c r="AA32" i="23" s="1"/>
  <c r="AB32" i="23" s="1"/>
  <c r="V33" i="23" s="1"/>
  <c r="O26" i="22"/>
  <c r="O27" i="22" s="1"/>
  <c r="G17" i="22" s="1"/>
  <c r="AA34" i="22"/>
  <c r="AB34" i="22" s="1"/>
  <c r="AD32" i="21"/>
  <c r="Y32" i="21"/>
  <c r="Z32" i="21"/>
  <c r="AA32" i="21" s="1"/>
  <c r="AB32" i="21" s="1"/>
  <c r="V33" i="21" s="1"/>
  <c r="AD33" i="20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4" i="25" l="1"/>
  <c r="AC33" i="25"/>
  <c r="X34" i="25" s="1"/>
  <c r="K6" i="24"/>
  <c r="G33" i="24"/>
  <c r="K10" i="24" s="1"/>
  <c r="K15" i="24" s="1"/>
  <c r="W33" i="23"/>
  <c r="AC32" i="23"/>
  <c r="X33" i="23" s="1"/>
  <c r="AC34" i="22"/>
  <c r="G20" i="22"/>
  <c r="G18" i="22"/>
  <c r="W33" i="21"/>
  <c r="AC32" i="21"/>
  <c r="X33" i="21" s="1"/>
  <c r="W34" i="20"/>
  <c r="AC33" i="20"/>
  <c r="X34" i="20" s="1"/>
  <c r="K30" i="19"/>
  <c r="K31" i="19" s="1"/>
  <c r="K44" i="19"/>
  <c r="K47" i="19" s="1"/>
  <c r="K36" i="19"/>
  <c r="K39" i="19" s="1"/>
  <c r="AK39" i="12"/>
  <c r="AG40" i="12" s="1"/>
  <c r="AI40" i="12"/>
  <c r="AD34" i="25" l="1"/>
  <c r="Y34" i="25"/>
  <c r="Z34" i="25"/>
  <c r="K43" i="24"/>
  <c r="K35" i="24"/>
  <c r="K7" i="24"/>
  <c r="K19" i="24"/>
  <c r="K18" i="24"/>
  <c r="AD33" i="23"/>
  <c r="Y33" i="23"/>
  <c r="Z33" i="23"/>
  <c r="AA33" i="23" s="1"/>
  <c r="AB33" i="23" s="1"/>
  <c r="V34" i="23" s="1"/>
  <c r="K6" i="22"/>
  <c r="G33" i="22"/>
  <c r="K10" i="22" s="1"/>
  <c r="K15" i="22" s="1"/>
  <c r="AD33" i="21"/>
  <c r="Y33" i="21"/>
  <c r="Z33" i="21"/>
  <c r="AA33" i="21" s="1"/>
  <c r="AB33" i="21" s="1"/>
  <c r="V34" i="21" s="1"/>
  <c r="AJ4" i="19"/>
  <c r="AL4" i="19"/>
  <c r="AH4" i="19"/>
  <c r="AD34" i="20"/>
  <c r="Y34" i="20"/>
  <c r="Z34" i="20"/>
  <c r="AO40" i="12"/>
  <c r="AK40" i="12"/>
  <c r="O26" i="25" l="1"/>
  <c r="O27" i="25" s="1"/>
  <c r="G17" i="25" s="1"/>
  <c r="AA34" i="25"/>
  <c r="AB34" i="25" s="1"/>
  <c r="K44" i="24"/>
  <c r="K47" i="24" s="1"/>
  <c r="K36" i="24"/>
  <c r="K39" i="24" s="1"/>
  <c r="K30" i="24"/>
  <c r="W34" i="23"/>
  <c r="AC33" i="23"/>
  <c r="X34" i="23" s="1"/>
  <c r="K35" i="22"/>
  <c r="K43" i="22"/>
  <c r="K7" i="22"/>
  <c r="K19" i="22"/>
  <c r="K18" i="22"/>
  <c r="W34" i="21"/>
  <c r="AC33" i="21"/>
  <c r="X34" i="21" s="1"/>
  <c r="O26" i="20"/>
  <c r="O27" i="20" s="1"/>
  <c r="G17" i="20" s="1"/>
  <c r="AA34" i="20"/>
  <c r="AB34" i="20" s="1"/>
  <c r="AI41" i="12"/>
  <c r="AG41" i="12"/>
  <c r="K30" i="22" l="1"/>
  <c r="AH4" i="22" s="1"/>
  <c r="AC34" i="25"/>
  <c r="G20" i="25"/>
  <c r="G18" i="25"/>
  <c r="K31" i="24"/>
  <c r="AH4" i="24"/>
  <c r="AL4" i="24"/>
  <c r="AJ4" i="24"/>
  <c r="AD34" i="23"/>
  <c r="Y34" i="23"/>
  <c r="Z34" i="23"/>
  <c r="AL4" i="22"/>
  <c r="K31" i="22"/>
  <c r="K44" i="22"/>
  <c r="K47" i="22" s="1"/>
  <c r="K36" i="22"/>
  <c r="K39" i="22" s="1"/>
  <c r="AD34" i="21"/>
  <c r="Y34" i="21"/>
  <c r="Z34" i="21"/>
  <c r="AC34" i="20"/>
  <c r="G20" i="20"/>
  <c r="G18" i="20"/>
  <c r="AK41" i="12"/>
  <c r="AG42" i="12" s="1"/>
  <c r="AO41" i="12"/>
  <c r="AJ4" i="22" l="1"/>
  <c r="AI42" i="12"/>
  <c r="AO42" i="12" s="1"/>
  <c r="K6" i="25"/>
  <c r="G33" i="25"/>
  <c r="K10" i="25" s="1"/>
  <c r="K15" i="25" s="1"/>
  <c r="O26" i="23"/>
  <c r="O27" i="23" s="1"/>
  <c r="G17" i="23" s="1"/>
  <c r="AA34" i="23"/>
  <c r="AB34" i="23" s="1"/>
  <c r="O26" i="21"/>
  <c r="O27" i="21" s="1"/>
  <c r="G17" i="21" s="1"/>
  <c r="AA34" i="21"/>
  <c r="AB34" i="21" s="1"/>
  <c r="K6" i="20"/>
  <c r="G33" i="20"/>
  <c r="K10" i="20" s="1"/>
  <c r="K15" i="20" s="1"/>
  <c r="AK42" i="12" l="1"/>
  <c r="AG43" i="12" s="1"/>
  <c r="K35" i="25"/>
  <c r="K43" i="25"/>
  <c r="K7" i="25"/>
  <c r="K18" i="25"/>
  <c r="K19" i="25"/>
  <c r="AC34" i="23"/>
  <c r="G20" i="23"/>
  <c r="G18" i="23"/>
  <c r="AC34" i="21"/>
  <c r="G20" i="21"/>
  <c r="G18" i="21"/>
  <c r="K43" i="20"/>
  <c r="K35" i="20"/>
  <c r="K7" i="20"/>
  <c r="K19" i="20"/>
  <c r="K18" i="20"/>
  <c r="AI43" i="12"/>
  <c r="K44" i="25" l="1"/>
  <c r="K47" i="25" s="1"/>
  <c r="K36" i="25"/>
  <c r="K39" i="25" s="1"/>
  <c r="K30" i="25"/>
  <c r="K6" i="23"/>
  <c r="G33" i="23"/>
  <c r="K10" i="23" s="1"/>
  <c r="K15" i="23" s="1"/>
  <c r="K6" i="21"/>
  <c r="G33" i="21"/>
  <c r="K10" i="21" s="1"/>
  <c r="K15" i="21" s="1"/>
  <c r="K36" i="20"/>
  <c r="K39" i="20" s="1"/>
  <c r="K44" i="20"/>
  <c r="K47" i="20" s="1"/>
  <c r="K30" i="20"/>
  <c r="AO43" i="12"/>
  <c r="AK43" i="12"/>
  <c r="K31" i="25" l="1"/>
  <c r="AJ4" i="25"/>
  <c r="AH4" i="25"/>
  <c r="AL4" i="25"/>
  <c r="K35" i="23"/>
  <c r="K43" i="23"/>
  <c r="K7" i="23"/>
  <c r="K18" i="23"/>
  <c r="K19" i="23"/>
  <c r="K43" i="21"/>
  <c r="K35" i="21"/>
  <c r="K7" i="21"/>
  <c r="K19" i="21"/>
  <c r="K18" i="21"/>
  <c r="K31" i="20"/>
  <c r="AH4" i="20"/>
  <c r="AL4" i="20"/>
  <c r="AJ4" i="20"/>
  <c r="AG44" i="12"/>
  <c r="AI44" i="12"/>
  <c r="K36" i="23" l="1"/>
  <c r="K39" i="23" s="1"/>
  <c r="K44" i="23"/>
  <c r="K47" i="23" s="1"/>
  <c r="K30" i="23"/>
  <c r="K44" i="21"/>
  <c r="K47" i="21" s="1"/>
  <c r="K36" i="21"/>
  <c r="K39" i="21" s="1"/>
  <c r="K30" i="21"/>
  <c r="AO44" i="12"/>
  <c r="AK44" i="12"/>
  <c r="K31" i="23" l="1"/>
  <c r="AL4" i="23"/>
  <c r="AH4" i="23"/>
  <c r="AJ4" i="23"/>
  <c r="AL4" i="21"/>
  <c r="K31" i="21"/>
  <c r="AH4" i="21"/>
  <c r="AJ4" i="21"/>
  <c r="G29" i="12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15" i="12" s="1"/>
  <c r="K6" i="12"/>
  <c r="K7" i="12" l="1"/>
  <c r="K18" i="12"/>
  <c r="K19" i="12"/>
  <c r="K43" i="12"/>
  <c r="K35" i="12"/>
  <c r="K30" i="12" l="1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<sst xmlns="http://schemas.openxmlformats.org/spreadsheetml/2006/main" count="2295" uniqueCount="185">
  <si>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</si>
  <si>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</si>
  <si>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</si>
  <si>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</si>
  <si>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</si>
  <si>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</si>
  <si>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</si>
  <si>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</si>
  <si>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</si>
  <si>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</si>
  <si>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</si>
  <si>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</si>
  <si>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</si>
  <si>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</si>
  <si>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</si>
  <si>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</si>
  <si>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</si>
  <si>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</si>
  <si>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</si>
  <si>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</si>
  <si>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</si>
  <si>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</si>
  <si>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</si>
  <si>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</si>
  <si>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</si>
  <si>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</si>
  <si>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</si>
  <si>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</si>
  <si>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</si>
  <si>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</si>
  <si>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</si>
  <si>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</si>
  <si>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</si>
  <si>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</si>
  <si>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</si>
  <si>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</si>
  <si>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</si>
  <si>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</si>
  <si>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</si>
  <si>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</si>
  <si>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</si>
  <si>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</si>
  <si>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</si>
  <si>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</si>
  <si>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</si>
  <si>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</si>
  <si>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</si>
  <si>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</si>
  <si>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</si>
  <si>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</si>
  <si>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</si>
  <si>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</si>
  <si>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</si>
  <si>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</si>
  <si>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</si>
  <si>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</si>
  <si>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</si>
  <si>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</si>
  <si>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</si>
  <si>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</si>
  <si>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</si>
  <si>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</si>
  <si>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</si>
  <si>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</si>
  <si>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</si>
  <si>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</si>
  <si>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</si>
  <si>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</si>
  <si>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</si>
  <si>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</si>
  <si>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</si>
  <si>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</si>
  <si>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</si>
  <si>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</si>
  <si>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</si>
  <si>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</si>
  <si>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</si>
  <si>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</si>
  <si>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</si>
  <si>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</si>
  <si>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</si>
  <si>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</si>
  <si>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</si>
  <si>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</si>
  <si>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</si>
  <si>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</si>
  <si>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</si>
  <si>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</si>
  <si>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</si>
  <si>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</si>
  <si>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</si>
  <si>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</si>
  <si>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</si>
  <si>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</si>
  <si>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</si>
  <si>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</si>
  <si>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</si>
  <si>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</si>
  <si>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</si>
  <si>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</si>
  <si>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</si>
  <si>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</si>
  <si>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</si>
  <si>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</si>
  <si>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</si>
  <si>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</si>
  <si>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</si>
  <si>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</si>
  <si>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</si>
  <si>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</si>
  <si>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</si>
  <si>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</si>
  <si>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</si>
  <si>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</si>
  <si>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</si>
  <si>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</si>
  <si>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</si>
  <si>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</si>
  <si>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</si>
  <si>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</si>
  <si>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</si>
  <si>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</si>
  <si>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</si>
  <si>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</si>
  <si>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</si>
  <si>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</si>
  <si>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</si>
  <si>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</si>
  <si>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</si>
  <si>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</si>
  <si>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</si>
  <si>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</si>
  <si>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</si>
  <si>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</si>
  <si>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</si>
  <si>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</si>
  <si>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</si>
  <si>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</si>
  <si>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</si>
  <si>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</si>
  <si>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</si>
  <si>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</si>
  <si>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</si>
  <si>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</si>
  <si>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</si>
  <si>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</si>
  <si>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</si>
  <si>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</si>
  <si>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</si>
  <si>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</si>
  <si>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</si>
  <si>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</si>
  <si>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</si>
  <si>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</si>
  <si>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</si>
  <si>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</si>
  <si>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</si>
  <si>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</si>
  <si>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</si>
  <si>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</si>
  <si>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</si>
  <si>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</si>
  <si>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</si>
  <si>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</si>
  <si>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</si>
  <si>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</si>
  <si>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</si>
  <si>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</si>
  <si>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</si>
  <si>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</si>
  <si>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</si>
  <si>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</si>
  <si>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</si>
  <si>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</si>
  <si>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</si>
  <si>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</si>
  <si>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</si>
  <si>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</si>
  <si>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</si>
  <si>
    <t>uniform</t>
  </si>
  <si>
    <t>linear</t>
  </si>
  <si>
    <t>weighted_sum_of_takeoff_weight</t>
  </si>
  <si>
    <t>uniform
coeffs</t>
  </si>
  <si>
    <t>weights</t>
  </si>
  <si>
    <t>linear
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</si>
</sst>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692.86</c:v>
                </c:pt>
                <c:pt idx="2">
                  <c:v>357.47</c:v>
                </c:pt>
                <c:pt idx="3">
                  <c:v>448.84</c:v>
                </c:pt>
                <c:pt idx="4">
                  <c:v>106.11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uniform_250!$K$34:$K$38</c:f>
              <c:numCache>
                <c:formatCode>General</c:formatCode>
                <c:ptCount val="5"/>
                <c:pt idx="0">
                  <c:v>27.21</c:v>
                </c:pt>
                <c:pt idx="1">
                  <c:v>31.42</c:v>
                </c:pt>
                <c:pt idx="2">
                  <c:v>16.21</c:v>
                </c:pt>
                <c:pt idx="3">
                  <c:v>20.350000000000001</c:v>
                </c:pt>
                <c:pt idx="4">
                  <c:v>4.8099999999999996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365.43</c:v>
                </c:pt>
                <c:pt idx="2">
                  <c:v>271.14999999999998</c:v>
                </c:pt>
                <c:pt idx="3">
                  <c:v>404.13</c:v>
                </c:pt>
                <c:pt idx="4">
                  <c:v>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uniform_400!$K$34:$K$38</c:f>
              <c:numCache>
                <c:formatCode>General</c:formatCode>
                <c:ptCount val="5"/>
                <c:pt idx="0">
                  <c:v>34.83</c:v>
                </c:pt>
                <c:pt idx="1">
                  <c:v>21.22</c:v>
                </c:pt>
                <c:pt idx="2">
                  <c:v>15.74</c:v>
                </c:pt>
                <c:pt idx="3">
                  <c:v>23.46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250.84</c:v>
                </c:pt>
                <c:pt idx="2">
                  <c:v>242.79</c:v>
                </c:pt>
                <c:pt idx="3">
                  <c:v>387.9</c:v>
                </c:pt>
                <c:pt idx="4">
                  <c:v>73.53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uniform_550!$K$34:$K$38</c:f>
              <c:numCache>
                <c:formatCode>General</c:formatCode>
                <c:ptCount val="5"/>
                <c:pt idx="0">
                  <c:v>38.58</c:v>
                </c:pt>
                <c:pt idx="1">
                  <c:v>16.13</c:v>
                </c:pt>
                <c:pt idx="2">
                  <c:v>15.61</c:v>
                </c:pt>
                <c:pt idx="3">
                  <c:v>24.94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C-D547-8F73-C59A2B2BDB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C-D547-8F73-C59A2B2BDB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C-D547-8F73-C59A2B2BDB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AC-D547-8F73-C59A2B2BDB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AC-D547-8F73-C59A2B2BD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191.37</c:v>
                </c:pt>
                <c:pt idx="2">
                  <c:v>228.46</c:v>
                </c:pt>
                <c:pt idx="3">
                  <c:v>379.32</c:v>
                </c:pt>
                <c:pt idx="4">
                  <c:v>69.28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AC-D547-8F73-C59A2B2BDB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6-984E-B21E-5F01E90924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46-984E-B21E-5F01E90924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46-984E-B21E-5F01E90924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46-984E-B21E-5F01E90924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46-984E-B21E-5F01E90924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uniform_700!$K$34:$K$38</c:f>
              <c:numCache>
                <c:formatCode>General</c:formatCode>
                <c:ptCount val="5"/>
                <c:pt idx="0">
                  <c:v>40.86</c:v>
                </c:pt>
                <c:pt idx="1">
                  <c:v>13.03</c:v>
                </c:pt>
                <c:pt idx="2">
                  <c:v>15.56</c:v>
                </c:pt>
                <c:pt idx="3">
                  <c:v>25.83</c:v>
                </c:pt>
                <c:pt idx="4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984E-B21E-5F01E9092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1-F147-8E3B-235EF7FED1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1-F147-8E3B-235EF7FED1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1-F147-8E3B-235EF7FED1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31-F147-8E3B-235EF7FED1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31-F147-8E3B-235EF7FED1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719.6</c:v>
                </c:pt>
                <c:pt idx="2">
                  <c:v>371.2</c:v>
                </c:pt>
                <c:pt idx="3">
                  <c:v>436.44</c:v>
                </c:pt>
                <c:pt idx="4">
                  <c:v>107.62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31-F147-8E3B-235EF7FED1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D-054F-BF9D-594ABFFA28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9D-054F-BF9D-594ABFFA28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9D-054F-BF9D-594ABFFA280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9D-054F-BF9D-594ABFFA280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9D-054F-BF9D-594ABFFA28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linear_250!$K$34:$K$38</c:f>
              <c:numCache>
                <c:formatCode>General</c:formatCode>
                <c:ptCount val="5"/>
                <c:pt idx="0">
                  <c:v>26.85</c:v>
                </c:pt>
                <c:pt idx="1">
                  <c:v>32.200000000000003</c:v>
                </c:pt>
                <c:pt idx="2">
                  <c:v>16.61</c:v>
                </c:pt>
                <c:pt idx="3">
                  <c:v>19.53</c:v>
                </c:pt>
                <c:pt idx="4">
                  <c:v>4.82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D-054F-BF9D-594ABFFA28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F-A94C-9473-768CE6007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F-A94C-9473-768CE6007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F-A94C-9473-768CE6007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F-A94C-9473-768CE60070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F-A94C-9473-768CE6007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372.91</c:v>
                </c:pt>
                <c:pt idx="2">
                  <c:v>276.38</c:v>
                </c:pt>
                <c:pt idx="3">
                  <c:v>390.14</c:v>
                </c:pt>
                <c:pt idx="4">
                  <c:v>81.739999999999995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6F-A94C-9473-768CE60070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8-3C46-B365-7C2FB1EB4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8-3C46-B365-7C2FB1EB4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8-3C46-B365-7C2FB1EB4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98-3C46-B365-7C2FB1EB4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98-3C46-B365-7C2FB1EB4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linear_400!$K$34:$K$38</c:f>
              <c:numCache>
                <c:formatCode>General</c:formatCode>
                <c:ptCount val="5"/>
                <c:pt idx="0">
                  <c:v>34.86</c:v>
                </c:pt>
                <c:pt idx="1">
                  <c:v>21.67</c:v>
                </c:pt>
                <c:pt idx="2">
                  <c:v>16.059999999999999</c:v>
                </c:pt>
                <c:pt idx="3">
                  <c:v>22.67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98-3C46-B365-7C2FB1EB42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6-9746-929D-9D379D51AB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6-9746-929D-9D379D51AB3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96-9746-929D-9D379D51AB3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96-9746-929D-9D379D51AB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96-9746-929D-9D379D51AB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254.87</c:v>
                </c:pt>
                <c:pt idx="2">
                  <c:v>246.26</c:v>
                </c:pt>
                <c:pt idx="3">
                  <c:v>373.85</c:v>
                </c:pt>
                <c:pt idx="4">
                  <c:v>73.19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96-9746-929D-9D379D51AB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33-444E-9331-197FAD1AD5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3-444E-9331-197FAD1AD5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3-444E-9331-197FAD1AD5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33-444E-9331-197FAD1AD5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D33-444E-9331-197FAD1AD5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linear_550!$K$34:$K$38</c:f>
              <c:numCache>
                <c:formatCode>General</c:formatCode>
                <c:ptCount val="5"/>
                <c:pt idx="0">
                  <c:v>38.76</c:v>
                </c:pt>
                <c:pt idx="1">
                  <c:v>16.46</c:v>
                </c:pt>
                <c:pt idx="2">
                  <c:v>15.91</c:v>
                </c:pt>
                <c:pt idx="3">
                  <c:v>24.15</c:v>
                </c:pt>
                <c:pt idx="4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33-444E-9331-197FAD1AD5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C3-6148-854C-757FD56E51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C3-6148-854C-757FD56E51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C3-6148-854C-757FD56E51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C3-6148-854C-757FD56E51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C3-6148-854C-757FD56E5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194.05</c:v>
                </c:pt>
                <c:pt idx="2">
                  <c:v>231.18</c:v>
                </c:pt>
                <c:pt idx="3">
                  <c:v>365.31</c:v>
                </c:pt>
                <c:pt idx="4">
                  <c:v>68.84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C3-6148-854C-757FD56E51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EC-C447-8527-1A1FB5EFEF5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EC-C447-8527-1A1FB5EFEF5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EC-C447-8527-1A1FB5EFEF5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EC-C447-8527-1A1FB5EFEF5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EC-C447-8527-1A1FB5EFEF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linear_700!$K$34:$K$38</c:f>
              <c:numCache>
                <c:formatCode>General</c:formatCode>
                <c:ptCount val="5"/>
                <c:pt idx="0">
                  <c:v>41.11</c:v>
                </c:pt>
                <c:pt idx="1">
                  <c:v>13.3</c:v>
                </c:pt>
                <c:pt idx="2">
                  <c:v>15.84</c:v>
                </c:pt>
                <c:pt idx="3">
                  <c:v>25.03</c:v>
                </c:pt>
                <c:pt idx="4">
                  <c:v>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EC-C447-8527-1A1FB5EFEF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FFF4-03F9-944C-A86B-ADFDB8ED7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3E8C7-8FD5-134F-AAB7-3680C5335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5E2C3-5EF0-394D-8F36-27411F4E3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D1BCB-8546-2A4F-8F83-20501D41B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7B53-0996-E746-AECF-BB2822473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EE131-EC7D-7244-9D52-638B840C2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5307-5CCD-EF42-84F1-5FC73929A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441D2-1031-4742-9CA4-8BAD48B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ED848-C4ED-7F40-8725-CD8BDDF0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90B7A-8D32-2A45-BEE2-3A493BD1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66A-75E0-C34B-9B47-0CDA4F201F3C}">
  <dimension ref="B3:G15"/>
  <sheetViews>
    <sheetView tabSelected="1" topLeftCell="A2" workbookViewId="0">
      <selection activeCell="F10" sqref="F10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179</v>
      </c>
      <c r="F3" s="2" t="s">
        <v>180</v>
      </c>
    </row>
    <row r="4" spans="2:7" x14ac:dyDescent="0.2">
      <c r="B4" s="27" t="s">
        <v>181</v>
      </c>
      <c r="C4" s="27"/>
      <c r="D4" s="27"/>
      <c r="E4" s="4">
        <f>C7*E7 + C8*E8 + C9*E9 + C10*E10</f>
        <v>1737.8341905877874</v>
      </c>
      <c r="F4" s="4">
        <f xml:space="preserve"> C12*E12 + C13*E13 + C14*E14 + C15*E15</f>
        <v>1615.9217872986389</v>
      </c>
    </row>
    <row r="6" spans="2:7" x14ac:dyDescent="0.2">
      <c r="D6" s="2"/>
      <c r="E6" s="2"/>
      <c r="F6" s="2"/>
      <c r="G6" s="2"/>
    </row>
    <row r="7" spans="2:7" x14ac:dyDescent="0.2">
      <c r="B7" s="28" t="s">
        <v>182</v>
      </c>
      <c r="C7" s="2">
        <v>0.25</v>
      </c>
      <c r="D7" s="27" t="s">
        <v>183</v>
      </c>
      <c r="E7" s="2">
        <f>uniform_250!C5</f>
        <v>2205.2968207621798</v>
      </c>
      <c r="F7" s="2"/>
      <c r="G7" s="2"/>
    </row>
    <row r="8" spans="2:7" x14ac:dyDescent="0.2">
      <c r="B8" s="27"/>
      <c r="C8" s="2">
        <v>0.25</v>
      </c>
      <c r="D8" s="27"/>
      <c r="E8" s="2">
        <f>uniform_400!C5</f>
        <v>1722.5164844440901</v>
      </c>
      <c r="F8" s="2"/>
      <c r="G8" s="2"/>
    </row>
    <row r="9" spans="2:7" x14ac:dyDescent="0.2">
      <c r="B9" s="27"/>
      <c r="C9" s="2">
        <v>0.25</v>
      </c>
      <c r="D9" s="27"/>
      <c r="E9" s="2">
        <f>uniform_550!C5</f>
        <v>1555.0708477829201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uniform_700!C5</f>
        <v>1468.45260936196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184</v>
      </c>
      <c r="C12" s="2">
        <v>0.1</v>
      </c>
      <c r="D12" s="27" t="s">
        <v>183</v>
      </c>
      <c r="E12" s="2">
        <f>linear_250!C5</f>
        <v>2234.8853868269698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linear_400!C5</f>
        <v>1721.1600432340001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linear_550!C5</f>
        <v>1548.1684529372999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linear_700!C5</f>
        <v>1459.37676021988</v>
      </c>
      <c r="F15" s="2"/>
      <c r="G15" s="2"/>
    </row>
  </sheetData>
  <mergeCells count="5">
    <mergeCell ref="B4:D4"/>
    <mergeCell ref="B7:B10"/>
    <mergeCell ref="D7:D10"/>
    <mergeCell ref="B12:B15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561.57927628653249</v>
      </c>
      <c r="L4" s="6" t="s">
        <v>97</v>
      </c>
      <c r="N4" s="6" t="s">
        <v>131</v>
      </c>
      <c r="O4" s="6">
        <f xml:space="preserve"> $C$5 * $C$74</f>
        <v>21613.129838563495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1.2000684827475445</v>
      </c>
      <c r="X4" s="3">
        <v>1</v>
      </c>
      <c r="Y4" s="2">
        <f t="shared" ref="Y4:Y34" si="1" xml:space="preserve"> $O$22 * TAN($O$19/180*PI()) + $O$23 / (2 * SQRT($O$22^2 + X4^2)) - X4</f>
        <v>-2.8048864168038312E-2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0.49216378140227346</v>
      </c>
      <c r="AB4" s="2">
        <f>W4*AA4</f>
        <v>0.59063024241072049</v>
      </c>
      <c r="AC4" s="2">
        <f>Y4*AA4</f>
        <v>-1.3804635052980468E-2</v>
      </c>
      <c r="AD4" s="2">
        <f>X4-V4</f>
        <v>1</v>
      </c>
      <c r="AF4" s="2">
        <v>0</v>
      </c>
      <c r="AH4" s="2">
        <f>K30</f>
        <v>1.7507892127468949E-2</v>
      </c>
      <c r="AJ4" s="2">
        <f>K30</f>
        <v>1.7507892127468949E-2</v>
      </c>
      <c r="AL4" s="2">
        <f>K30</f>
        <v>1.7507892127468949E-2</v>
      </c>
    </row>
    <row r="5" spans="2:41" x14ac:dyDescent="0.2">
      <c r="B5" s="9" t="s">
        <v>38</v>
      </c>
      <c r="C5" s="9">
        <v>2205.2968207621798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70.197409535816561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0.49216378140227346</v>
      </c>
      <c r="X5" s="2">
        <f>IF(AC4&gt;0, Z4, X4)</f>
        <v>1</v>
      </c>
      <c r="Y5" s="2">
        <f t="shared" si="1"/>
        <v>-2.8048864168038312E-2</v>
      </c>
      <c r="Z5" s="2">
        <f t="shared" ref="Z5:Z34" si="3" xml:space="preserve"> (V5 + X5)/2</f>
        <v>0.75</v>
      </c>
      <c r="AA5" s="2">
        <f t="shared" si="2"/>
        <v>0.22875515901674948</v>
      </c>
      <c r="AB5" s="2">
        <f t="shared" ref="AB5:AB34" si="4">W5*AA5</f>
        <v>0.1125850040769618</v>
      </c>
      <c r="AC5" s="2">
        <f t="shared" ref="AC5:AC34" si="5">Y5*AA5</f>
        <v>-6.416322382998811E-3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-879.02196732055597</v>
      </c>
      <c r="AI5" s="3">
        <v>10000</v>
      </c>
      <c r="AJ5" s="2">
        <f t="dataTable" ref="AJ5:AJ44" dt2D="0" dtr="0" r1="C5"/>
        <v>2649.0582588934767</v>
      </c>
      <c r="AK5" s="2">
        <f>(AG5+AI5)/2</f>
        <v>5250</v>
      </c>
      <c r="AL5" s="2">
        <f t="dataTable" ref="AL5:AL44" dt2D="0" dtr="0" r1="C5" ca="1"/>
        <v>821.45865841028535</v>
      </c>
      <c r="AM5" s="2">
        <f>AH5*AL5</f>
        <v>-722080.20598831365</v>
      </c>
      <c r="AN5" s="2">
        <f>AJ5*AL5</f>
        <v>2176091.8434013217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177.24123707548048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0.22183902578973569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0.22875515901674948</v>
      </c>
      <c r="X6" s="2">
        <f t="shared" ref="X6:X34" si="8">IF(AC5&gt;0, Z5, X5)</f>
        <v>1</v>
      </c>
      <c r="Y6" s="2">
        <f t="shared" si="1"/>
        <v>-2.8048864168038312E-2</v>
      </c>
      <c r="Z6" s="2">
        <f t="shared" si="3"/>
        <v>0.875</v>
      </c>
      <c r="AA6" s="2">
        <f t="shared" si="2"/>
        <v>9.9873771875588102E-2</v>
      </c>
      <c r="AB6" s="2">
        <f t="shared" si="4"/>
        <v>2.2846640567002717E-2</v>
      </c>
      <c r="AC6" s="2">
        <f t="shared" si="5"/>
        <v>-2.8013458612880155E-3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-879.02196732055597</v>
      </c>
      <c r="AI6" s="2">
        <f>IF(AN5&gt;0,AK5,AI5)</f>
        <v>5250</v>
      </c>
      <c r="AJ6" s="2">
        <v>821.45865841028535</v>
      </c>
      <c r="AK6" s="2">
        <f t="shared" ref="AK6:AK44" si="9">(AG6+AI6)/2</f>
        <v>2875</v>
      </c>
      <c r="AL6" s="2">
        <v>263.7391845554705</v>
      </c>
      <c r="AM6" s="2">
        <f t="shared" ref="AM6:AM44" si="10">AH6*AL6</f>
        <v>-231832.53686746888</v>
      </c>
      <c r="AN6" s="2">
        <f t="shared" ref="AN6:AN44" si="11">AJ6*AL6</f>
        <v>216650.83671515944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2701.8996706662874</v>
      </c>
      <c r="H7" s="6" t="s">
        <v>21</v>
      </c>
      <c r="J7" s="6" t="s">
        <v>133</v>
      </c>
      <c r="K7" s="6">
        <f>K6/$C$28</f>
        <v>177.24123707548048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9.9873771875588102E-2</v>
      </c>
      <c r="X7" s="2">
        <f t="shared" si="8"/>
        <v>1</v>
      </c>
      <c r="Y7" s="2">
        <f t="shared" si="1"/>
        <v>-2.8048864168038312E-2</v>
      </c>
      <c r="Z7" s="2">
        <f t="shared" si="3"/>
        <v>0.9375</v>
      </c>
      <c r="AA7" s="2">
        <f t="shared" si="2"/>
        <v>3.581617875337384E-2</v>
      </c>
      <c r="AB7" s="2">
        <f t="shared" si="4"/>
        <v>3.5770968662697444E-3</v>
      </c>
      <c r="AC7" s="2">
        <f t="shared" si="5"/>
        <v>-1.0046031328715627E-3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-879.02196732055597</v>
      </c>
      <c r="AI7" s="2">
        <f t="shared" ref="AI7:AI44" si="14">IF(AN6&gt;0,AK6,AI6)</f>
        <v>2875</v>
      </c>
      <c r="AJ7" s="2">
        <v>263.7391845554705</v>
      </c>
      <c r="AK7" s="2">
        <f t="shared" si="9"/>
        <v>1687.5</v>
      </c>
      <c r="AL7" s="2">
        <v>-236.11429090938168</v>
      </c>
      <c r="AM7" s="2">
        <f t="shared" si="10"/>
        <v>207549.64850766276</v>
      </c>
      <c r="AN7" s="2">
        <f t="shared" si="11"/>
        <v>-62272.590546333464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46.798273023877705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3.581617875337384E-2</v>
      </c>
      <c r="X8" s="2">
        <f t="shared" si="8"/>
        <v>1</v>
      </c>
      <c r="Y8" s="2">
        <f t="shared" si="1"/>
        <v>-2.8048864168038312E-2</v>
      </c>
      <c r="Z8" s="2">
        <f t="shared" si="3"/>
        <v>0.96875</v>
      </c>
      <c r="AA8" s="2">
        <f t="shared" si="2"/>
        <v>3.8618826202631018E-3</v>
      </c>
      <c r="AB8" s="2">
        <f t="shared" si="4"/>
        <v>1.38317878251891E-4</v>
      </c>
      <c r="AC8" s="2">
        <f t="shared" si="5"/>
        <v>-1.0832142104866762E-4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-236.11429090938168</v>
      </c>
      <c r="AI8" s="2">
        <f t="shared" si="14"/>
        <v>2875</v>
      </c>
      <c r="AJ8" s="2">
        <v>263.7391845554705</v>
      </c>
      <c r="AK8" s="2">
        <f t="shared" si="9"/>
        <v>2281.25</v>
      </c>
      <c r="AL8" s="2">
        <v>32.288828254958162</v>
      </c>
      <c r="AM8" s="2">
        <f t="shared" si="10"/>
        <v>-7623.8537877142544</v>
      </c>
      <c r="AN8" s="2">
        <f t="shared" si="11"/>
        <v>8515.8292342143013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5.8904332314703671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3.8618826202631018E-3</v>
      </c>
      <c r="X9" s="2">
        <f t="shared" si="8"/>
        <v>1</v>
      </c>
      <c r="Y9" s="2">
        <f t="shared" si="1"/>
        <v>-2.8048864168038312E-2</v>
      </c>
      <c r="Z9" s="2">
        <f t="shared" si="3"/>
        <v>0.984375</v>
      </c>
      <c r="AA9" s="2">
        <f t="shared" si="2"/>
        <v>-1.209867895296568E-2</v>
      </c>
      <c r="AB9" s="2">
        <f t="shared" si="4"/>
        <v>-4.6723677976601143E-5</v>
      </c>
      <c r="AC9" s="2">
        <f t="shared" si="5"/>
        <v>3.3935420256443836E-4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-236.11429090938168</v>
      </c>
      <c r="AI9" s="2">
        <f t="shared" si="14"/>
        <v>2281.25</v>
      </c>
      <c r="AJ9" s="2">
        <v>32.288828254958162</v>
      </c>
      <c r="AK9" s="2">
        <f t="shared" si="9"/>
        <v>1984.375</v>
      </c>
      <c r="AL9" s="2">
        <v>-97.2900885320405</v>
      </c>
      <c r="AM9" s="2">
        <f t="shared" si="10"/>
        <v>22971.58026625371</v>
      </c>
      <c r="AN9" s="2">
        <f t="shared" si="11"/>
        <v>-3141.3829595207303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374.38618419102164</v>
      </c>
      <c r="H10" s="22" t="s">
        <v>97</v>
      </c>
      <c r="J10" s="6" t="s">
        <v>92</v>
      </c>
      <c r="K10" s="6">
        <f xml:space="preserve"> $C$18 * (G10*G6 + G20*G13 + G29*G25 + G33*G32)/3600</f>
        <v>117.78611895987567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3.8618826202631018E-3</v>
      </c>
      <c r="X10" s="2">
        <f t="shared" si="8"/>
        <v>0.984375</v>
      </c>
      <c r="Y10" s="2">
        <f t="shared" si="1"/>
        <v>-1.209867895296568E-2</v>
      </c>
      <c r="Z10" s="2">
        <f t="shared" si="3"/>
        <v>0.9765625</v>
      </c>
      <c r="AA10" s="2">
        <f t="shared" si="2"/>
        <v>-4.1197258930466552E-3</v>
      </c>
      <c r="AB10" s="2">
        <f t="shared" si="4"/>
        <v>-1.5909897826604762E-5</v>
      </c>
      <c r="AC10" s="2">
        <f t="shared" si="5"/>
        <v>4.9843240954191309E-5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-97.2900885320405</v>
      </c>
      <c r="AI10" s="2">
        <f t="shared" si="14"/>
        <v>2281.25</v>
      </c>
      <c r="AJ10" s="2">
        <v>32.288828254958162</v>
      </c>
      <c r="AK10" s="2">
        <f t="shared" si="9"/>
        <v>2132.8125</v>
      </c>
      <c r="AL10" s="2">
        <v>-31.344425998290944</v>
      </c>
      <c r="AM10" s="2">
        <f t="shared" si="10"/>
        <v>3049.5019803597179</v>
      </c>
      <c r="AN10" s="2">
        <f t="shared" si="11"/>
        <v>-1012.0747878090618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3.8618826202631018E-3</v>
      </c>
      <c r="X11" s="2">
        <f t="shared" si="8"/>
        <v>0.9765625</v>
      </c>
      <c r="Y11" s="2">
        <f t="shared" si="1"/>
        <v>-4.1197258930466552E-3</v>
      </c>
      <c r="Z11" s="2">
        <f t="shared" si="3"/>
        <v>0.97265625</v>
      </c>
      <c r="AA11" s="2">
        <f t="shared" si="2"/>
        <v>-1.2925750916992218E-4</v>
      </c>
      <c r="AB11" s="2">
        <f t="shared" si="4"/>
        <v>-4.99177328201821E-7</v>
      </c>
      <c r="AC11" s="2">
        <f t="shared" si="5"/>
        <v>5.3250550739804392E-7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-31.344425998290944</v>
      </c>
      <c r="AI11" s="2">
        <f t="shared" si="14"/>
        <v>2281.25</v>
      </c>
      <c r="AJ11" s="2">
        <v>32.288828254958162</v>
      </c>
      <c r="AK11" s="2">
        <f t="shared" si="9"/>
        <v>2207.03125</v>
      </c>
      <c r="AL11" s="2">
        <v>0.76119220471514382</v>
      </c>
      <c r="AM11" s="2">
        <f t="shared" si="10"/>
        <v>-23.859132731169758</v>
      </c>
      <c r="AN11" s="2">
        <f t="shared" si="11"/>
        <v>24.578004367060235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0.31772840909857891</v>
      </c>
      <c r="U12" s="2">
        <v>8</v>
      </c>
      <c r="V12" s="2">
        <f t="shared" si="7"/>
        <v>0.96875</v>
      </c>
      <c r="W12" s="2">
        <f t="shared" si="0"/>
        <v>3.8618826202631018E-3</v>
      </c>
      <c r="X12" s="2">
        <f t="shared" si="8"/>
        <v>0.97265625</v>
      </c>
      <c r="Y12" s="2">
        <f t="shared" si="1"/>
        <v>-1.2925750916992218E-4</v>
      </c>
      <c r="Z12" s="2">
        <f t="shared" si="3"/>
        <v>0.970703125</v>
      </c>
      <c r="AA12" s="2">
        <f t="shared" si="2"/>
        <v>1.8662280879022664E-3</v>
      </c>
      <c r="AB12" s="2">
        <f t="shared" si="4"/>
        <v>7.2071538181166027E-6</v>
      </c>
      <c r="AC12" s="2">
        <f t="shared" si="5"/>
        <v>-2.412239941851935E-7</v>
      </c>
      <c r="AD12" s="2">
        <f t="shared" si="6"/>
        <v>3.90625E-3</v>
      </c>
      <c r="AF12" s="2">
        <v>8</v>
      </c>
      <c r="AG12" s="2">
        <f t="shared" si="13"/>
        <v>2132.8125</v>
      </c>
      <c r="AH12" s="2">
        <v>-31.344425998290944</v>
      </c>
      <c r="AI12" s="2">
        <f t="shared" si="14"/>
        <v>2207.03125</v>
      </c>
      <c r="AJ12" s="2">
        <v>0.76119220471514382</v>
      </c>
      <c r="AK12" s="2">
        <f t="shared" si="9"/>
        <v>2169.921875</v>
      </c>
      <c r="AL12" s="2">
        <v>-15.219357835747815</v>
      </c>
      <c r="AM12" s="2">
        <f t="shared" si="10"/>
        <v>477.04203542410681</v>
      </c>
      <c r="AN12" s="2">
        <f t="shared" si="11"/>
        <v>-11.584856545341578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2.4737260338494022E-2</v>
      </c>
      <c r="U13" s="2">
        <v>9</v>
      </c>
      <c r="V13" s="2">
        <f t="shared" si="7"/>
        <v>0.970703125</v>
      </c>
      <c r="W13" s="2">
        <f t="shared" si="0"/>
        <v>1.8662280879022664E-3</v>
      </c>
      <c r="X13" s="2">
        <f t="shared" si="8"/>
        <v>0.97265625</v>
      </c>
      <c r="Y13" s="2">
        <f t="shared" si="1"/>
        <v>-1.2925750916992218E-4</v>
      </c>
      <c r="Z13" s="2">
        <f t="shared" si="3"/>
        <v>0.9716796875</v>
      </c>
      <c r="AA13" s="2">
        <f t="shared" si="2"/>
        <v>8.6846423519437721E-4</v>
      </c>
      <c r="AB13" s="2">
        <f t="shared" si="4"/>
        <v>1.6207523490583066E-6</v>
      </c>
      <c r="AC13" s="2">
        <f t="shared" si="5"/>
        <v>-1.1225552384438667E-7</v>
      </c>
      <c r="AD13" s="2">
        <f t="shared" si="6"/>
        <v>1.953125E-3</v>
      </c>
      <c r="AF13" s="2">
        <v>9</v>
      </c>
      <c r="AG13" s="2">
        <f t="shared" si="13"/>
        <v>2169.921875</v>
      </c>
      <c r="AH13" s="2">
        <v>-15.219357835747815</v>
      </c>
      <c r="AI13" s="2">
        <f t="shared" si="14"/>
        <v>2207.03125</v>
      </c>
      <c r="AJ13" s="2">
        <v>0.76119220471514382</v>
      </c>
      <c r="AK13" s="2">
        <f t="shared" si="9"/>
        <v>2188.4765625</v>
      </c>
      <c r="AL13" s="2">
        <v>-7.2110189056402305</v>
      </c>
      <c r="AM13" s="2">
        <f t="shared" si="10"/>
        <v>109.74707708528128</v>
      </c>
      <c r="AN13" s="2">
        <f t="shared" si="11"/>
        <v>-5.4889713790268706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2205.2968207621798</v>
      </c>
      <c r="L14" s="6" t="s">
        <v>7</v>
      </c>
      <c r="N14" s="6" t="s">
        <v>40</v>
      </c>
      <c r="O14" s="6">
        <f xml:space="preserve"> O5 * O13 * $C$12</f>
        <v>1682.7252591704419</v>
      </c>
      <c r="P14" s="6" t="s">
        <v>21</v>
      </c>
      <c r="U14" s="2">
        <v>10</v>
      </c>
      <c r="V14" s="2">
        <f t="shared" si="7"/>
        <v>0.9716796875</v>
      </c>
      <c r="W14" s="2">
        <f t="shared" si="0"/>
        <v>8.6846423519437721E-4</v>
      </c>
      <c r="X14" s="2">
        <f t="shared" si="8"/>
        <v>0.97265625</v>
      </c>
      <c r="Y14" s="2">
        <f t="shared" si="1"/>
        <v>-1.2925750916992218E-4</v>
      </c>
      <c r="Z14" s="2">
        <f t="shared" si="3"/>
        <v>0.97216796875</v>
      </c>
      <c r="AA14" s="2">
        <f t="shared" si="2"/>
        <v>3.6959810728454112E-4</v>
      </c>
      <c r="AB14" s="2">
        <f t="shared" si="4"/>
        <v>3.209827375721584E-7</v>
      </c>
      <c r="AC14" s="2">
        <f t="shared" si="5"/>
        <v>-4.7773330741517457E-8</v>
      </c>
      <c r="AD14" s="2">
        <f t="shared" si="6"/>
        <v>9.765625E-4</v>
      </c>
      <c r="AF14" s="2">
        <v>10</v>
      </c>
      <c r="AG14" s="2">
        <f t="shared" si="13"/>
        <v>2188.4765625</v>
      </c>
      <c r="AH14" s="2">
        <v>-7.2110189056402305</v>
      </c>
      <c r="AI14" s="2">
        <f t="shared" si="14"/>
        <v>2207.03125</v>
      </c>
      <c r="AJ14" s="2">
        <v>0.76119220471514382</v>
      </c>
      <c r="AK14" s="2">
        <f t="shared" si="9"/>
        <v>2197.75390625</v>
      </c>
      <c r="AL14" s="2">
        <v>-3.2203974511137403</v>
      </c>
      <c r="AM14" s="2">
        <f t="shared" si="10"/>
        <v>23.222346903656792</v>
      </c>
      <c r="AN14" s="2">
        <f t="shared" si="11"/>
        <v>-2.4513414358722976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692.85952329338625</v>
      </c>
      <c r="L15" s="6" t="s">
        <v>7</v>
      </c>
      <c r="N15" s="6" t="s">
        <v>140</v>
      </c>
      <c r="O15" s="6">
        <f>O4/O14</f>
        <v>12.844122782835292</v>
      </c>
      <c r="U15" s="2">
        <v>11</v>
      </c>
      <c r="V15" s="2">
        <f t="shared" si="7"/>
        <v>0.97216796875</v>
      </c>
      <c r="W15" s="2">
        <f t="shared" si="0"/>
        <v>3.6959810728454112E-4</v>
      </c>
      <c r="X15" s="2">
        <f t="shared" si="8"/>
        <v>0.97265625</v>
      </c>
      <c r="Y15" s="2">
        <f t="shared" si="1"/>
        <v>-1.2925750916992218E-4</v>
      </c>
      <c r="Z15" s="2">
        <f t="shared" si="3"/>
        <v>0.972412109375</v>
      </c>
      <c r="AA15" s="2">
        <f t="shared" si="2"/>
        <v>1.2016898610067717E-4</v>
      </c>
      <c r="AB15" s="2">
        <f t="shared" si="4"/>
        <v>4.4414229817112614E-8</v>
      </c>
      <c r="AC15" s="2">
        <f t="shared" si="5"/>
        <v>-1.553274382284853E-8</v>
      </c>
      <c r="AD15" s="2">
        <f t="shared" si="6"/>
        <v>4.8828125E-4</v>
      </c>
      <c r="AF15" s="2">
        <v>11</v>
      </c>
      <c r="AG15" s="2">
        <f t="shared" si="13"/>
        <v>2197.75390625</v>
      </c>
      <c r="AH15" s="2">
        <v>-3.2203974511137403</v>
      </c>
      <c r="AI15" s="2">
        <f t="shared" si="14"/>
        <v>2207.03125</v>
      </c>
      <c r="AJ15" s="2">
        <v>0.76119220471514382</v>
      </c>
      <c r="AK15" s="2">
        <f t="shared" si="9"/>
        <v>2202.392578125</v>
      </c>
      <c r="AL15" s="2">
        <v>-1.2284738986907087</v>
      </c>
      <c r="AM15" s="2">
        <f t="shared" si="10"/>
        <v>3.9561742121033174</v>
      </c>
      <c r="AN15" s="2">
        <f t="shared" si="11"/>
        <v>-0.93510475537938875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1682.7252591704419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163.18621194620565</v>
      </c>
      <c r="L16" s="6" t="s">
        <v>7</v>
      </c>
      <c r="N16" s="6" t="s">
        <v>111</v>
      </c>
      <c r="O16" s="6">
        <f>(O13*$C$12)/(0.3048^2)/($C$5*2.20462/1000)^(2/3)</f>
        <v>2.7834007045538796</v>
      </c>
      <c r="U16" s="2">
        <v>12</v>
      </c>
      <c r="V16" s="2">
        <f t="shared" si="7"/>
        <v>0.972412109375</v>
      </c>
      <c r="W16" s="2">
        <f t="shared" si="0"/>
        <v>1.2016898610067717E-4</v>
      </c>
      <c r="X16" s="2">
        <f t="shared" si="8"/>
        <v>0.97265625</v>
      </c>
      <c r="Y16" s="2">
        <f t="shared" si="1"/>
        <v>-1.2925750916992218E-4</v>
      </c>
      <c r="Z16" s="2">
        <f t="shared" si="3"/>
        <v>0.9725341796875</v>
      </c>
      <c r="AA16" s="2">
        <f t="shared" si="2"/>
        <v>-4.544589651933606E-6</v>
      </c>
      <c r="AB16" s="2">
        <f t="shared" si="4"/>
        <v>-5.4611873071649082E-10</v>
      </c>
      <c r="AC16" s="2">
        <f t="shared" si="5"/>
        <v>5.8742233860834152E-10</v>
      </c>
      <c r="AD16" s="2">
        <f t="shared" si="6"/>
        <v>2.44140625E-4</v>
      </c>
      <c r="AF16" s="2">
        <v>12</v>
      </c>
      <c r="AG16" s="2">
        <f t="shared" si="13"/>
        <v>2202.392578125</v>
      </c>
      <c r="AH16" s="2">
        <v>-1.2284738986907087</v>
      </c>
      <c r="AI16" s="2">
        <f t="shared" si="14"/>
        <v>2207.03125</v>
      </c>
      <c r="AJ16" s="2">
        <v>0.76119220471514382</v>
      </c>
      <c r="AK16" s="2">
        <f t="shared" si="9"/>
        <v>2204.7119140625</v>
      </c>
      <c r="AL16" s="2">
        <v>-0.23335851522142548</v>
      </c>
      <c r="AM16" s="2">
        <f t="shared" si="10"/>
        <v>0.28667484498673962</v>
      </c>
      <c r="AN16" s="2">
        <f t="shared" si="11"/>
        <v>-0.17763068269044929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118.16082471698699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0.972412109375</v>
      </c>
      <c r="W17" s="2">
        <f t="shared" si="0"/>
        <v>1.2016898610067717E-4</v>
      </c>
      <c r="X17" s="2">
        <f t="shared" si="8"/>
        <v>0.9725341796875</v>
      </c>
      <c r="Y17" s="2">
        <f t="shared" si="1"/>
        <v>-4.544589651933606E-6</v>
      </c>
      <c r="Z17" s="2">
        <f t="shared" si="3"/>
        <v>0.97247314453125</v>
      </c>
      <c r="AA17" s="2">
        <f t="shared" si="2"/>
        <v>5.781211617983395E-5</v>
      </c>
      <c r="AB17" s="2">
        <f t="shared" si="4"/>
        <v>6.9472233856651992E-9</v>
      </c>
      <c r="AC17" s="2">
        <f t="shared" si="5"/>
        <v>-2.6273234494725678E-10</v>
      </c>
      <c r="AD17" s="2">
        <f t="shared" si="6"/>
        <v>1.220703125E-4</v>
      </c>
      <c r="AF17" s="2">
        <v>13</v>
      </c>
      <c r="AG17" s="2">
        <f t="shared" si="13"/>
        <v>2204.7119140625</v>
      </c>
      <c r="AH17" s="2">
        <v>-0.23335851522142548</v>
      </c>
      <c r="AI17" s="2">
        <f t="shared" si="14"/>
        <v>2207.03125</v>
      </c>
      <c r="AJ17" s="2">
        <v>0.76119220471514382</v>
      </c>
      <c r="AK17" s="2">
        <f t="shared" si="9"/>
        <v>2205.87158203125</v>
      </c>
      <c r="AL17" s="2">
        <v>0.26398735066982226</v>
      </c>
      <c r="AM17" s="2">
        <f t="shared" si="10"/>
        <v>-6.1603696189547502E-2</v>
      </c>
      <c r="AN17" s="2">
        <f t="shared" si="11"/>
        <v>0.20094511347327182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1.4530785414694194</v>
      </c>
      <c r="H18" s="6" t="s">
        <v>172</v>
      </c>
      <c r="J18" s="12" t="s">
        <v>54</v>
      </c>
      <c r="K18" s="6">
        <f xml:space="preserve"> $C$78 * (0.2138 * K4 + 0.2138 * K6)</f>
        <v>126.36786060543871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0.97247314453125</v>
      </c>
      <c r="W18" s="2">
        <f t="shared" si="0"/>
        <v>5.781211617983395E-5</v>
      </c>
      <c r="X18" s="2">
        <f t="shared" si="8"/>
        <v>0.9725341796875</v>
      </c>
      <c r="Y18" s="2">
        <f t="shared" si="1"/>
        <v>-4.544589651933606E-6</v>
      </c>
      <c r="Z18" s="2">
        <f t="shared" si="3"/>
        <v>0.972503662109375</v>
      </c>
      <c r="AA18" s="2">
        <f t="shared" si="2"/>
        <v>2.6633742754689216E-5</v>
      </c>
      <c r="AB18" s="2">
        <f t="shared" si="4"/>
        <v>1.5397530304379037E-9</v>
      </c>
      <c r="AC18" s="2">
        <f t="shared" si="5"/>
        <v>-1.2103943171522225E-10</v>
      </c>
      <c r="AD18" s="2">
        <f t="shared" si="6"/>
        <v>6.103515625E-5</v>
      </c>
      <c r="AF18" s="2">
        <v>14</v>
      </c>
      <c r="AG18" s="2">
        <f t="shared" si="13"/>
        <v>2204.7119140625</v>
      </c>
      <c r="AH18" s="2">
        <v>-0.23335851522142548</v>
      </c>
      <c r="AI18" s="2">
        <f t="shared" si="14"/>
        <v>2205.87158203125</v>
      </c>
      <c r="AJ18" s="2">
        <v>0.26398735066982226</v>
      </c>
      <c r="AK18" s="2">
        <f t="shared" si="9"/>
        <v>2205.291748046875</v>
      </c>
      <c r="AL18" s="2">
        <v>1.5332427738485421E-2</v>
      </c>
      <c r="AM18" s="2">
        <f t="shared" si="10"/>
        <v>-3.5779525717927565E-3</v>
      </c>
      <c r="AN18" s="2">
        <f t="shared" si="11"/>
        <v>4.0475669780192609E-3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4.8714668437265032E-2</v>
      </c>
      <c r="J19" s="12" t="s">
        <v>73</v>
      </c>
      <c r="K19" s="6">
        <f xml:space="preserve"> $C$78 * (0.1149 * K4 + 0.1149 * K6)</f>
        <v>67.912381588236244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0.972503662109375</v>
      </c>
      <c r="W19" s="2">
        <f t="shared" si="0"/>
        <v>2.6633742754689216E-5</v>
      </c>
      <c r="X19" s="2">
        <f t="shared" si="8"/>
        <v>0.9725341796875</v>
      </c>
      <c r="Y19" s="2">
        <f t="shared" si="1"/>
        <v>-4.544589651933606E-6</v>
      </c>
      <c r="Z19" s="2">
        <f t="shared" si="3"/>
        <v>0.9725189208984375</v>
      </c>
      <c r="AA19" s="2">
        <f t="shared" si="2"/>
        <v>1.1044571424312366E-5</v>
      </c>
      <c r="AB19" s="2">
        <f t="shared" si="4"/>
        <v>2.9415827415092703E-10</v>
      </c>
      <c r="AC19" s="2">
        <f t="shared" si="5"/>
        <v>-5.0193045004971585E-11</v>
      </c>
      <c r="AD19" s="2">
        <f t="shared" si="6"/>
        <v>3.0517578125E-5</v>
      </c>
      <c r="AF19" s="2">
        <v>15</v>
      </c>
      <c r="AG19" s="2">
        <f t="shared" si="13"/>
        <v>2204.7119140625</v>
      </c>
      <c r="AH19" s="2">
        <v>-0.23335851522142548</v>
      </c>
      <c r="AI19" s="2">
        <f t="shared" si="14"/>
        <v>2205.291748046875</v>
      </c>
      <c r="AJ19" s="2">
        <v>1.5332427738485421E-2</v>
      </c>
      <c r="AK19" s="2">
        <f t="shared" si="9"/>
        <v>2205.0018310546875</v>
      </c>
      <c r="AL19" s="2">
        <v>-0.10900838787210887</v>
      </c>
      <c r="AM19" s="2">
        <f t="shared" si="10"/>
        <v>2.543803554051657E-2</v>
      </c>
      <c r="AN19" s="2">
        <f t="shared" si="11"/>
        <v>-1.6713632299378998E-3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118.16082471698699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214.9833301836934</v>
      </c>
      <c r="L20" s="6" t="s">
        <v>7</v>
      </c>
      <c r="N20" s="6" t="s">
        <v>20</v>
      </c>
      <c r="O20" s="6">
        <f xml:space="preserve"> O14 / $C$28</f>
        <v>1682.7252591704419</v>
      </c>
      <c r="P20" s="6" t="s">
        <v>21</v>
      </c>
      <c r="U20" s="2">
        <v>16</v>
      </c>
      <c r="V20" s="2">
        <f t="shared" si="7"/>
        <v>0.9725189208984375</v>
      </c>
      <c r="W20" s="2">
        <f t="shared" si="0"/>
        <v>1.1044571424312366E-5</v>
      </c>
      <c r="X20" s="2">
        <f t="shared" si="8"/>
        <v>0.9725341796875</v>
      </c>
      <c r="Y20" s="2">
        <f t="shared" si="1"/>
        <v>-4.544589651933606E-6</v>
      </c>
      <c r="Z20" s="2">
        <f t="shared" si="3"/>
        <v>0.97252655029296875</v>
      </c>
      <c r="AA20" s="2">
        <f t="shared" si="2"/>
        <v>3.2499896044368981E-6</v>
      </c>
      <c r="AB20" s="2">
        <f t="shared" si="4"/>
        <v>3.5894742314476015E-11</v>
      </c>
      <c r="AC20" s="2">
        <f t="shared" si="5"/>
        <v>-1.4769869125215722E-11</v>
      </c>
      <c r="AD20" s="2">
        <f t="shared" si="6"/>
        <v>1.52587890625E-5</v>
      </c>
      <c r="AF20" s="2">
        <v>16</v>
      </c>
      <c r="AG20" s="2">
        <f t="shared" si="13"/>
        <v>2205.0018310546875</v>
      </c>
      <c r="AH20" s="2">
        <v>-0.10900838787210887</v>
      </c>
      <c r="AI20" s="2">
        <f t="shared" si="14"/>
        <v>2205.291748046875</v>
      </c>
      <c r="AJ20" s="2">
        <v>1.5332427738485421E-2</v>
      </c>
      <c r="AK20" s="2">
        <f t="shared" si="9"/>
        <v>2205.1467895507812</v>
      </c>
      <c r="AL20" s="2">
        <v>-4.6837199563242393E-2</v>
      </c>
      <c r="AM20" s="2">
        <f t="shared" si="10"/>
        <v>5.105647616833295E-3</v>
      </c>
      <c r="AN20" s="2">
        <f t="shared" si="11"/>
        <v>-7.1812797777643495E-4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57.337717339816678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0.97252655029296875</v>
      </c>
      <c r="W21" s="2">
        <f t="shared" si="0"/>
        <v>3.2499896044368981E-6</v>
      </c>
      <c r="X21" s="2">
        <f t="shared" si="8"/>
        <v>0.9725341796875</v>
      </c>
      <c r="Y21" s="2">
        <f t="shared" si="1"/>
        <v>-4.544589651933606E-6</v>
      </c>
      <c r="Z21" s="2">
        <f t="shared" si="3"/>
        <v>0.97253036499023438</v>
      </c>
      <c r="AA21" s="2">
        <f t="shared" si="2"/>
        <v>-6.4730034421422999E-7</v>
      </c>
      <c r="AB21" s="2">
        <f t="shared" si="4"/>
        <v>-2.1037193896446732E-12</v>
      </c>
      <c r="AC21" s="2">
        <f t="shared" si="5"/>
        <v>2.9417144460090508E-12</v>
      </c>
      <c r="AD21" s="2">
        <f t="shared" si="6"/>
        <v>7.62939453125E-6</v>
      </c>
      <c r="AF21" s="2">
        <v>17</v>
      </c>
      <c r="AG21" s="2">
        <f t="shared" si="13"/>
        <v>2205.1467895507812</v>
      </c>
      <c r="AH21" s="2">
        <v>-4.6837199563242393E-2</v>
      </c>
      <c r="AI21" s="2">
        <f t="shared" si="14"/>
        <v>2205.291748046875</v>
      </c>
      <c r="AJ21" s="2">
        <v>1.5332427738485421E-2</v>
      </c>
      <c r="AK21" s="2">
        <f t="shared" si="9"/>
        <v>2205.2192687988281</v>
      </c>
      <c r="AL21" s="2">
        <v>-1.5752114095448633E-2</v>
      </c>
      <c r="AM21" s="2">
        <f t="shared" si="10"/>
        <v>7.3778491143149105E-4</v>
      </c>
      <c r="AN21" s="2">
        <f t="shared" si="11"/>
        <v>-2.415181510968438E-4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117.46589349682449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0.97252655029296875</v>
      </c>
      <c r="W22" s="2">
        <f t="shared" si="0"/>
        <v>3.2499896044368981E-6</v>
      </c>
      <c r="X22" s="2">
        <f t="shared" si="8"/>
        <v>0.97253036499023438</v>
      </c>
      <c r="Y22" s="2">
        <f t="shared" si="1"/>
        <v>-6.4730034421422999E-7</v>
      </c>
      <c r="Z22" s="2">
        <f t="shared" si="3"/>
        <v>0.97252845764160156</v>
      </c>
      <c r="AA22" s="2">
        <f t="shared" si="2"/>
        <v>1.3013445500087428E-6</v>
      </c>
      <c r="AB22" s="2">
        <f t="shared" si="4"/>
        <v>4.2293562593190276E-12</v>
      </c>
      <c r="AC22" s="2">
        <f t="shared" si="5"/>
        <v>-8.423607751619715E-13</v>
      </c>
      <c r="AD22" s="2">
        <f t="shared" si="6"/>
        <v>3.814697265625E-6</v>
      </c>
      <c r="AF22" s="2">
        <v>18</v>
      </c>
      <c r="AG22" s="2">
        <f t="shared" si="13"/>
        <v>2205.2192687988281</v>
      </c>
      <c r="AH22" s="2">
        <v>-1.5752114095448633E-2</v>
      </c>
      <c r="AI22" s="2">
        <f t="shared" si="14"/>
        <v>2205.291748046875</v>
      </c>
      <c r="AJ22" s="2">
        <v>1.5332427738485421E-2</v>
      </c>
      <c r="AK22" s="2">
        <f t="shared" si="9"/>
        <v>2205.2555084228516</v>
      </c>
      <c r="AL22" s="2">
        <v>-2.0977522467546805E-4</v>
      </c>
      <c r="AM22" s="2">
        <f t="shared" si="10"/>
        <v>3.3044032734863443E-6</v>
      </c>
      <c r="AN22" s="2">
        <f t="shared" si="11"/>
        <v>-3.2163634736611577E-6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24.875317590799099</v>
      </c>
      <c r="L23" s="6" t="s">
        <v>7</v>
      </c>
      <c r="N23" s="6" t="s">
        <v>30</v>
      </c>
      <c r="O23" s="6">
        <f xml:space="preserve"> O20 / ( $C$71 * PI() * $C$10^2 * O21^2 * $C$10^2)</f>
        <v>4.1406634618714036E-2</v>
      </c>
      <c r="U23" s="2">
        <v>19</v>
      </c>
      <c r="V23" s="2">
        <f t="shared" si="7"/>
        <v>0.97252845764160156</v>
      </c>
      <c r="W23" s="2">
        <f t="shared" si="0"/>
        <v>1.3013445500087428E-6</v>
      </c>
      <c r="X23" s="2">
        <f t="shared" si="8"/>
        <v>0.97253036499023438</v>
      </c>
      <c r="Y23" s="2">
        <f t="shared" si="1"/>
        <v>-6.4730034421422999E-7</v>
      </c>
      <c r="Z23" s="2">
        <f t="shared" si="3"/>
        <v>0.97252941131591797</v>
      </c>
      <c r="AA23" s="2">
        <f t="shared" si="2"/>
        <v>3.2702208285773082E-7</v>
      </c>
      <c r="AB23" s="2">
        <f t="shared" si="4"/>
        <v>4.2556840525941553E-13</v>
      </c>
      <c r="AC23" s="2">
        <f t="shared" si="5"/>
        <v>-2.1168150679946361E-13</v>
      </c>
      <c r="AD23" s="2">
        <f t="shared" si="6"/>
        <v>1.9073486328125E-6</v>
      </c>
      <c r="AF23" s="2">
        <v>19</v>
      </c>
      <c r="AG23" s="2">
        <f t="shared" si="13"/>
        <v>2205.2555084228516</v>
      </c>
      <c r="AH23" s="2">
        <v>-2.0977522467546805E-4</v>
      </c>
      <c r="AI23" s="2">
        <f t="shared" si="14"/>
        <v>2205.291748046875</v>
      </c>
      <c r="AJ23" s="2">
        <v>1.5332427738485421E-2</v>
      </c>
      <c r="AK23" s="2">
        <f t="shared" si="9"/>
        <v>2205.2736282348633</v>
      </c>
      <c r="AL23" s="2">
        <v>7.5613432447880768E-3</v>
      </c>
      <c r="AM23" s="2">
        <f t="shared" si="10"/>
        <v>-1.5861824780237514E-6</v>
      </c>
      <c r="AN23" s="2">
        <f t="shared" si="11"/>
        <v>1.1593374890659808E-4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8.6756328486925955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0.97252941131591797</v>
      </c>
      <c r="W24" s="2">
        <f t="shared" si="0"/>
        <v>3.2702208285773082E-7</v>
      </c>
      <c r="X24" s="2">
        <f t="shared" si="8"/>
        <v>0.97253036499023438</v>
      </c>
      <c r="Y24" s="2">
        <f t="shared" si="1"/>
        <v>-6.4730034421422999E-7</v>
      </c>
      <c r="Z24" s="2">
        <f t="shared" si="3"/>
        <v>0.97252988815307617</v>
      </c>
      <c r="AA24" s="2">
        <f t="shared" si="2"/>
        <v>-1.6013913572976435E-7</v>
      </c>
      <c r="AB24" s="2">
        <f t="shared" si="4"/>
        <v>-5.2369033713384397E-14</v>
      </c>
      <c r="AC24" s="2">
        <f t="shared" si="5"/>
        <v>1.0365811768004576E-13</v>
      </c>
      <c r="AD24" s="2">
        <f t="shared" si="6"/>
        <v>9.5367431640625E-7</v>
      </c>
      <c r="AF24" s="2">
        <v>20</v>
      </c>
      <c r="AG24" s="2">
        <f t="shared" si="13"/>
        <v>2205.2555084228516</v>
      </c>
      <c r="AH24" s="2">
        <v>-2.0977522467546805E-4</v>
      </c>
      <c r="AI24" s="2">
        <f t="shared" si="14"/>
        <v>2205.2736282348633</v>
      </c>
      <c r="AJ24" s="2">
        <v>7.5613432447880768E-3</v>
      </c>
      <c r="AK24" s="2">
        <f t="shared" si="9"/>
        <v>2205.2645683288574</v>
      </c>
      <c r="AL24" s="2">
        <v>3.6757882573965617E-3</v>
      </c>
      <c r="AM24" s="2">
        <f t="shared" si="10"/>
        <v>-7.710893075548109E-7</v>
      </c>
      <c r="AN24" s="2">
        <f t="shared" si="11"/>
        <v>2.7793896709336829E-5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25.505807620587742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0.97252941131591797</v>
      </c>
      <c r="W25" s="2">
        <f t="shared" si="0"/>
        <v>3.2702208285773082E-7</v>
      </c>
      <c r="X25" s="2">
        <f t="shared" si="8"/>
        <v>0.97252988815307617</v>
      </c>
      <c r="Y25" s="2">
        <f t="shared" si="1"/>
        <v>-1.6013913572976435E-7</v>
      </c>
      <c r="Z25" s="2">
        <f t="shared" si="3"/>
        <v>0.97252964973449707</v>
      </c>
      <c r="AA25" s="2">
        <f t="shared" si="2"/>
        <v>8.3441472398249061E-8</v>
      </c>
      <c r="AB25" s="2">
        <f t="shared" si="4"/>
        <v>2.7287204100391264E-14</v>
      </c>
      <c r="AC25" s="2">
        <f t="shared" si="5"/>
        <v>-1.3362245273874592E-14</v>
      </c>
      <c r="AD25" s="2">
        <f t="shared" si="6"/>
        <v>4.76837158203125E-7</v>
      </c>
      <c r="AF25" s="2">
        <v>21</v>
      </c>
      <c r="AG25" s="2">
        <f t="shared" si="13"/>
        <v>2205.2555084228516</v>
      </c>
      <c r="AH25" s="2">
        <v>-2.0977522467546805E-4</v>
      </c>
      <c r="AI25" s="2">
        <f t="shared" si="14"/>
        <v>2205.2645683288574</v>
      </c>
      <c r="AJ25" s="2">
        <v>3.6757882573965617E-3</v>
      </c>
      <c r="AK25" s="2">
        <f t="shared" si="9"/>
        <v>2205.2600383758545</v>
      </c>
      <c r="AL25" s="2">
        <v>1.7330075786503585E-3</v>
      </c>
      <c r="AM25" s="2">
        <f t="shared" si="10"/>
        <v>-3.6354205417566783E-7</v>
      </c>
      <c r="AN25" s="2">
        <f t="shared" si="11"/>
        <v>6.3701689075822356E-6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2701.8996706662874</v>
      </c>
      <c r="H26" s="6" t="s">
        <v>21</v>
      </c>
      <c r="J26" s="14" t="s">
        <v>65</v>
      </c>
      <c r="K26" s="6">
        <f xml:space="preserve"> $C$80 * (0.0268 * $C$5)</f>
        <v>47.281563837141135</v>
      </c>
      <c r="L26" s="6" t="s">
        <v>7</v>
      </c>
      <c r="N26" s="6" t="s">
        <v>32</v>
      </c>
      <c r="O26" s="17">
        <f>Z34</f>
        <v>0.97252973122522235</v>
      </c>
      <c r="U26" s="2">
        <v>22</v>
      </c>
      <c r="V26" s="2">
        <f t="shared" si="7"/>
        <v>0.97252964973449707</v>
      </c>
      <c r="W26" s="2">
        <f t="shared" si="0"/>
        <v>8.3441472398249061E-8</v>
      </c>
      <c r="X26" s="2">
        <f t="shared" si="8"/>
        <v>0.97252988815307617</v>
      </c>
      <c r="Y26" s="2">
        <f t="shared" si="1"/>
        <v>-1.6013913572976435E-7</v>
      </c>
      <c r="Z26" s="2">
        <f t="shared" si="3"/>
        <v>0.97252976894378662</v>
      </c>
      <c r="AA26" s="2">
        <f t="shared" si="2"/>
        <v>-3.8348831998824551E-8</v>
      </c>
      <c r="AB26" s="2">
        <f t="shared" si="4"/>
        <v>-3.1998830067350093E-15</v>
      </c>
      <c r="AC26" s="2">
        <f t="shared" si="5"/>
        <v>6.1411488125376948E-15</v>
      </c>
      <c r="AD26" s="2">
        <f t="shared" si="6"/>
        <v>2.384185791015625E-7</v>
      </c>
      <c r="AF26" s="2">
        <v>22</v>
      </c>
      <c r="AG26" s="2">
        <f t="shared" si="13"/>
        <v>2205.2555084228516</v>
      </c>
      <c r="AH26" s="2">
        <v>-2.0977522467546805E-4</v>
      </c>
      <c r="AI26" s="2">
        <f t="shared" si="14"/>
        <v>2205.2600383758545</v>
      </c>
      <c r="AJ26" s="2">
        <v>1.7330075786503585E-3</v>
      </c>
      <c r="AK26" s="2">
        <f t="shared" si="9"/>
        <v>2205.257773399353</v>
      </c>
      <c r="AL26" s="2">
        <v>7.6161644210515078E-4</v>
      </c>
      <c r="AM26" s="2">
        <f t="shared" si="10"/>
        <v>-1.5976826025913861E-7</v>
      </c>
      <c r="AN26" s="2">
        <f t="shared" si="11"/>
        <v>1.3198870661929483E-6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41.974443062365076</v>
      </c>
      <c r="H27" t="s">
        <v>97</v>
      </c>
      <c r="J27" s="14" t="s">
        <v>66</v>
      </c>
      <c r="K27" s="6">
        <f xml:space="preserve"> $C$80 * (11.5 * ($C$5*2.20462/1000)^0.4 * 0.453592)</f>
        <v>7.8554945450765672</v>
      </c>
      <c r="L27" s="6" t="s">
        <v>7</v>
      </c>
      <c r="N27" s="6" t="s">
        <v>33</v>
      </c>
      <c r="O27" s="6">
        <f xml:space="preserve"> O21 * $C$10 * O26 - $C$7 * SIN(O19/180*PI())</f>
        <v>1.4893887788017821</v>
      </c>
      <c r="P27" s="6" t="s">
        <v>10</v>
      </c>
      <c r="U27" s="2">
        <v>23</v>
      </c>
      <c r="V27" s="2">
        <f t="shared" si="7"/>
        <v>0.97252964973449707</v>
      </c>
      <c r="W27" s="2">
        <f t="shared" si="0"/>
        <v>8.3441472398249061E-8</v>
      </c>
      <c r="X27" s="2">
        <f t="shared" si="8"/>
        <v>0.97252976894378662</v>
      </c>
      <c r="Y27" s="2">
        <f t="shared" si="1"/>
        <v>-3.8348831998824551E-8</v>
      </c>
      <c r="Z27" s="2">
        <f t="shared" si="3"/>
        <v>0.97252970933914185</v>
      </c>
      <c r="AA27" s="2">
        <f t="shared" si="2"/>
        <v>2.2546320144201104E-8</v>
      </c>
      <c r="AB27" s="2">
        <f t="shared" si="4"/>
        <v>1.8812981499944432E-15</v>
      </c>
      <c r="AC27" s="2">
        <f t="shared" si="5"/>
        <v>-8.6462504340168183E-16</v>
      </c>
      <c r="AD27" s="2">
        <f t="shared" si="6"/>
        <v>1.1920928955078125E-7</v>
      </c>
      <c r="AF27" s="2">
        <v>23</v>
      </c>
      <c r="AG27" s="2">
        <f t="shared" si="13"/>
        <v>2205.2555084228516</v>
      </c>
      <c r="AH27" s="2">
        <v>-2.0977522467546805E-4</v>
      </c>
      <c r="AI27" s="2">
        <f t="shared" si="14"/>
        <v>2205.257773399353</v>
      </c>
      <c r="AJ27" s="2">
        <v>7.6161644210515078E-4</v>
      </c>
      <c r="AK27" s="2">
        <f t="shared" si="9"/>
        <v>2205.2566409111023</v>
      </c>
      <c r="AL27" s="2">
        <v>2.7592067522164143E-4</v>
      </c>
      <c r="AM27" s="2">
        <f t="shared" si="10"/>
        <v>-5.7881321637226685E-8</v>
      </c>
      <c r="AN27" s="2">
        <f t="shared" si="11"/>
        <v>2.1014572296555737E-7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6.5673796358821805</v>
      </c>
      <c r="H28" s="6" t="s">
        <v>172</v>
      </c>
      <c r="J28" s="14" t="s">
        <v>67</v>
      </c>
      <c r="K28" s="6">
        <f xml:space="preserve"> $C$80 * (8 * ($C$5/1000))</f>
        <v>14.113899652877951</v>
      </c>
      <c r="L28" s="6" t="s">
        <v>7</v>
      </c>
      <c r="N28" s="6" t="s">
        <v>34</v>
      </c>
      <c r="O28" s="6">
        <f xml:space="preserve"> 1/$C$31 - O25 * SQRT( (2*$C$71*PI()*$C$10^2) / O20^3 )</f>
        <v>1.1695050306024941</v>
      </c>
      <c r="U28" s="2">
        <v>24</v>
      </c>
      <c r="V28" s="2">
        <f t="shared" si="7"/>
        <v>0.97252970933914185</v>
      </c>
      <c r="W28" s="2">
        <f t="shared" si="0"/>
        <v>2.2546320144201104E-8</v>
      </c>
      <c r="X28" s="2">
        <f t="shared" si="8"/>
        <v>0.97252976894378662</v>
      </c>
      <c r="Y28" s="2">
        <f t="shared" si="1"/>
        <v>-3.8348831998824551E-8</v>
      </c>
      <c r="Z28" s="2">
        <f t="shared" si="3"/>
        <v>0.97252973914146423</v>
      </c>
      <c r="AA28" s="2">
        <f t="shared" si="2"/>
        <v>-7.9012559828228746E-9</v>
      </c>
      <c r="AB28" s="2">
        <f t="shared" si="4"/>
        <v>-1.7814424693000887E-16</v>
      </c>
      <c r="AC28" s="2">
        <f t="shared" si="5"/>
        <v>3.0300393826498176E-16</v>
      </c>
      <c r="AD28" s="2">
        <f t="shared" si="6"/>
        <v>5.9604644775390625E-8</v>
      </c>
      <c r="AF28" s="2">
        <v>24</v>
      </c>
      <c r="AG28" s="2">
        <f t="shared" si="13"/>
        <v>2205.2555084228516</v>
      </c>
      <c r="AH28" s="2">
        <v>-2.0977522467546805E-4</v>
      </c>
      <c r="AI28" s="2">
        <f t="shared" si="14"/>
        <v>2205.2566409111023</v>
      </c>
      <c r="AJ28" s="2">
        <v>2.7592067522164143E-4</v>
      </c>
      <c r="AK28" s="2">
        <f t="shared" si="9"/>
        <v>2205.2560746669769</v>
      </c>
      <c r="AL28" s="2">
        <v>3.3072742098738672E-5</v>
      </c>
      <c r="AM28" s="2">
        <f t="shared" si="10"/>
        <v>-6.9378419043967155E-9</v>
      </c>
      <c r="AN28" s="2">
        <f t="shared" si="11"/>
        <v>9.1254533313151815E-9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335.79554449892061</v>
      </c>
      <c r="H29" s="22" t="s">
        <v>97</v>
      </c>
      <c r="J29" s="14" t="s">
        <v>68</v>
      </c>
      <c r="K29" s="6">
        <f xml:space="preserve"> $C$80 * (13 * ($C$5*2.20462/1000)^1.3 * 0.453592)</f>
        <v>36.858678321275342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0.97252970933914185</v>
      </c>
      <c r="W29" s="2">
        <f t="shared" si="0"/>
        <v>2.2546320144201104E-8</v>
      </c>
      <c r="X29" s="2">
        <f t="shared" si="8"/>
        <v>0.97252973914146423</v>
      </c>
      <c r="Y29" s="2">
        <f t="shared" si="1"/>
        <v>-7.9012559828228746E-9</v>
      </c>
      <c r="Z29" s="2">
        <f t="shared" si="3"/>
        <v>0.97252972424030304</v>
      </c>
      <c r="AA29" s="2">
        <f t="shared" si="2"/>
        <v>7.3225320251779635E-9</v>
      </c>
      <c r="AB29" s="2">
        <f t="shared" si="4"/>
        <v>1.6509615130582763E-16</v>
      </c>
      <c r="AC29" s="2">
        <f t="shared" si="5"/>
        <v>-5.7857199973349484E-17</v>
      </c>
      <c r="AD29" s="2">
        <f t="shared" si="6"/>
        <v>2.9802322387695312E-8</v>
      </c>
      <c r="AF29" s="2">
        <v>25</v>
      </c>
      <c r="AG29" s="2">
        <f t="shared" si="13"/>
        <v>2205.2555084228516</v>
      </c>
      <c r="AH29" s="2">
        <v>-2.0977522467546805E-4</v>
      </c>
      <c r="AI29" s="2">
        <f t="shared" si="14"/>
        <v>2205.2560746669769</v>
      </c>
      <c r="AJ29" s="2">
        <v>3.3072742098738672E-5</v>
      </c>
      <c r="AK29" s="2">
        <f t="shared" si="9"/>
        <v>2205.2557915449142</v>
      </c>
      <c r="AL29" s="2">
        <v>-8.8658022150411853E-5</v>
      </c>
      <c r="AM29" s="2">
        <f t="shared" si="10"/>
        <v>1.8598256515885269E-8</v>
      </c>
      <c r="AN29" s="2">
        <f t="shared" si="11"/>
        <v>-2.9321639015648317E-9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1.7507892127468949E-2</v>
      </c>
      <c r="L30" s="9" t="s">
        <v>7</v>
      </c>
      <c r="N30" s="6" t="s">
        <v>36</v>
      </c>
      <c r="O30" s="6">
        <f xml:space="preserve"> 1/$C$77 * LN( EXP($C$77 * O28) + EXP($C$77 * O29) )</f>
        <v>1.1842641935404083</v>
      </c>
      <c r="U30" s="2">
        <v>26</v>
      </c>
      <c r="V30" s="2">
        <f>IF(AB29&gt;0, Z29, V29)</f>
        <v>0.97252972424030304</v>
      </c>
      <c r="W30" s="2">
        <f t="shared" si="0"/>
        <v>7.3225320251779635E-9</v>
      </c>
      <c r="X30" s="2">
        <f t="shared" si="8"/>
        <v>0.97252973914146423</v>
      </c>
      <c r="Y30" s="2">
        <f t="shared" si="1"/>
        <v>-7.9012559828228746E-9</v>
      </c>
      <c r="Z30" s="2">
        <f t="shared" si="3"/>
        <v>0.97252973169088364</v>
      </c>
      <c r="AA30" s="2">
        <f t="shared" si="2"/>
        <v>-2.8936197882245551E-10</v>
      </c>
      <c r="AB30" s="2">
        <f t="shared" si="4"/>
        <v>-2.1188623567962982E-18</v>
      </c>
      <c r="AC30" s="2">
        <f t="shared" si="5"/>
        <v>2.2863230663723925E-18</v>
      </c>
      <c r="AD30" s="2">
        <f t="shared" si="6"/>
        <v>1.4901161193847656E-8</v>
      </c>
      <c r="AF30" s="2">
        <v>26</v>
      </c>
      <c r="AG30" s="2">
        <f t="shared" si="13"/>
        <v>2205.2557915449142</v>
      </c>
      <c r="AH30" s="2">
        <v>-8.8658022150411853E-5</v>
      </c>
      <c r="AI30" s="2">
        <f t="shared" si="14"/>
        <v>2205.2560746669769</v>
      </c>
      <c r="AJ30" s="2">
        <v>3.3072742098738672E-5</v>
      </c>
      <c r="AK30" s="2">
        <f t="shared" si="9"/>
        <v>2205.2559331059456</v>
      </c>
      <c r="AL30" s="2">
        <v>-2.7485853934194893E-5</v>
      </c>
      <c r="AM30" s="2">
        <f t="shared" si="10"/>
        <v>2.4368414469208356E-9</v>
      </c>
      <c r="AN30" s="2">
        <f t="shared" si="11"/>
        <v>-9.0903255852922938E-10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0.97252972424030304</v>
      </c>
      <c r="W31" s="2">
        <f t="shared" si="0"/>
        <v>7.3225320251779635E-9</v>
      </c>
      <c r="X31" s="2">
        <f t="shared" si="8"/>
        <v>0.97252973169088364</v>
      </c>
      <c r="Y31" s="2">
        <f t="shared" si="1"/>
        <v>-2.8936197882245551E-10</v>
      </c>
      <c r="Z31" s="2">
        <f t="shared" si="3"/>
        <v>0.97252972796559334</v>
      </c>
      <c r="AA31" s="2">
        <f t="shared" si="2"/>
        <v>3.516585023177754E-9</v>
      </c>
      <c r="AB31" s="2">
        <f t="shared" si="4"/>
        <v>2.5750306451480295E-17</v>
      </c>
      <c r="AC31" s="2">
        <f t="shared" si="5"/>
        <v>-1.0175660010041255E-18</v>
      </c>
      <c r="AD31" s="2">
        <f t="shared" si="6"/>
        <v>7.4505805969238281E-9</v>
      </c>
      <c r="AF31" s="2">
        <v>27</v>
      </c>
      <c r="AG31" s="2">
        <f t="shared" si="13"/>
        <v>2205.2559331059456</v>
      </c>
      <c r="AH31" s="2">
        <v>-2.7485853934194893E-5</v>
      </c>
      <c r="AI31" s="2">
        <f t="shared" si="14"/>
        <v>2205.2560746669769</v>
      </c>
      <c r="AJ31" s="2">
        <v>3.3072742098738672E-5</v>
      </c>
      <c r="AK31" s="2">
        <f t="shared" si="9"/>
        <v>2205.2560038864613</v>
      </c>
      <c r="AL31" s="2">
        <v>2.4866587864380563E-6</v>
      </c>
      <c r="AM31" s="2">
        <f t="shared" si="10"/>
        <v>-6.8347940188218746E-11</v>
      </c>
      <c r="AN31" s="2">
        <f t="shared" si="11"/>
        <v>8.2240624731428321E-11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0.97252972796559334</v>
      </c>
      <c r="W32" s="2">
        <f t="shared" si="0"/>
        <v>3.516585023177754E-9</v>
      </c>
      <c r="X32" s="2">
        <f t="shared" si="8"/>
        <v>0.97252973169088364</v>
      </c>
      <c r="Y32" s="2">
        <f t="shared" si="1"/>
        <v>-2.8936197882245551E-10</v>
      </c>
      <c r="Z32" s="2">
        <f t="shared" si="3"/>
        <v>0.97252972982823849</v>
      </c>
      <c r="AA32" s="2">
        <f t="shared" si="2"/>
        <v>1.6136115776888005E-9</v>
      </c>
      <c r="AB32" s="2">
        <f t="shared" si="4"/>
        <v>5.6744023073266627E-18</v>
      </c>
      <c r="AC32" s="2">
        <f t="shared" si="5"/>
        <v>-4.6691783917085571E-19</v>
      </c>
      <c r="AD32" s="2">
        <f t="shared" si="6"/>
        <v>3.7252902984619141E-9</v>
      </c>
      <c r="AF32" s="2">
        <v>28</v>
      </c>
      <c r="AG32" s="2">
        <f t="shared" si="13"/>
        <v>2205.2559331059456</v>
      </c>
      <c r="AH32" s="2">
        <v>-2.7485853934194893E-5</v>
      </c>
      <c r="AI32" s="2">
        <f t="shared" si="14"/>
        <v>2205.2560038864613</v>
      </c>
      <c r="AJ32" s="2">
        <v>2.4866587864380563E-6</v>
      </c>
      <c r="AK32" s="2">
        <f t="shared" si="9"/>
        <v>2205.2559684962034</v>
      </c>
      <c r="AL32" s="2">
        <v>-1.2806382528651739E-5</v>
      </c>
      <c r="AM32" s="2">
        <f t="shared" si="10"/>
        <v>3.5199435960794713E-10</v>
      </c>
      <c r="AN32" s="2">
        <f t="shared" si="11"/>
        <v>-3.1845103637358659E-11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118.16082471698699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0.97252972982823849</v>
      </c>
      <c r="W33" s="2">
        <f t="shared" si="0"/>
        <v>1.6136115776888005E-9</v>
      </c>
      <c r="X33" s="2">
        <f t="shared" si="8"/>
        <v>0.97252973169088364</v>
      </c>
      <c r="Y33" s="2">
        <f t="shared" si="1"/>
        <v>-2.8936197882245551E-10</v>
      </c>
      <c r="Z33" s="2">
        <f t="shared" si="3"/>
        <v>0.97252973075956106</v>
      </c>
      <c r="AA33" s="2">
        <f t="shared" si="2"/>
        <v>6.6212479943317248E-10</v>
      </c>
      <c r="AB33" s="2">
        <f t="shared" si="4"/>
        <v>1.068412242240242E-18</v>
      </c>
      <c r="AC33" s="2">
        <f t="shared" si="5"/>
        <v>-1.9159374219140426E-19</v>
      </c>
      <c r="AD33" s="2">
        <f t="shared" si="6"/>
        <v>1.862645149230957E-9</v>
      </c>
      <c r="AF33" s="2">
        <v>29</v>
      </c>
      <c r="AG33" s="2">
        <f t="shared" si="13"/>
        <v>2205.2559684962034</v>
      </c>
      <c r="AH33" s="2">
        <v>-1.2806382528651739E-5</v>
      </c>
      <c r="AI33" s="2">
        <f t="shared" si="14"/>
        <v>2205.2560038864613</v>
      </c>
      <c r="AJ33" s="2">
        <v>2.4866587864380563E-6</v>
      </c>
      <c r="AK33" s="2">
        <f t="shared" si="9"/>
        <v>2205.2559861913323</v>
      </c>
      <c r="AL33" s="2">
        <v>-5.1598617574200034E-6</v>
      </c>
      <c r="AM33" s="2">
        <f t="shared" si="10"/>
        <v>6.6079163460481787E-11</v>
      </c>
      <c r="AN33" s="2">
        <f t="shared" si="11"/>
        <v>-1.2830815575894162E-11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27.21</v>
      </c>
      <c r="L34" s="6" t="s">
        <v>59</v>
      </c>
      <c r="U34" s="2">
        <v>30</v>
      </c>
      <c r="V34" s="2">
        <f t="shared" si="7"/>
        <v>0.97252973075956106</v>
      </c>
      <c r="W34" s="2">
        <f t="shared" si="0"/>
        <v>6.6212479943317248E-10</v>
      </c>
      <c r="X34" s="2">
        <f t="shared" si="8"/>
        <v>0.97252973169088364</v>
      </c>
      <c r="Y34" s="2">
        <f t="shared" si="1"/>
        <v>-2.8936197882245551E-10</v>
      </c>
      <c r="Z34" s="2">
        <f t="shared" si="3"/>
        <v>0.97252973122522235</v>
      </c>
      <c r="AA34" s="2">
        <f t="shared" si="2"/>
        <v>1.8638146581650972E-10</v>
      </c>
      <c r="AB34" s="2">
        <f t="shared" si="4"/>
        <v>1.2340779067181719E-19</v>
      </c>
      <c r="AC34" s="2">
        <f t="shared" si="5"/>
        <v>-5.3931709764495101E-20</v>
      </c>
      <c r="AD34" s="2">
        <f t="shared" si="6"/>
        <v>9.3132257461547852E-10</v>
      </c>
      <c r="AF34" s="2">
        <v>30</v>
      </c>
      <c r="AG34" s="2">
        <f t="shared" si="13"/>
        <v>2205.2559861913323</v>
      </c>
      <c r="AH34" s="2">
        <v>-5.1598617574200034E-6</v>
      </c>
      <c r="AI34" s="2">
        <f t="shared" si="14"/>
        <v>2205.2560038864613</v>
      </c>
      <c r="AJ34" s="2">
        <v>2.4866587864380563E-6</v>
      </c>
      <c r="AK34" s="2">
        <f t="shared" si="9"/>
        <v>2205.2559950388968</v>
      </c>
      <c r="AL34" s="2">
        <v>-1.3366015991778113E-6</v>
      </c>
      <c r="AM34" s="2">
        <f t="shared" si="10"/>
        <v>6.8966794765040084E-12</v>
      </c>
      <c r="AN34" s="2">
        <f t="shared" si="11"/>
        <v>-3.3236721105626615E-12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31.42</v>
      </c>
      <c r="L35" s="6" t="s">
        <v>59</v>
      </c>
      <c r="AF35" s="2">
        <v>31</v>
      </c>
      <c r="AG35" s="2">
        <f t="shared" si="13"/>
        <v>2205.2559950388968</v>
      </c>
      <c r="AH35" s="2">
        <v>-1.3366015991778113E-6</v>
      </c>
      <c r="AI35" s="2">
        <f t="shared" si="14"/>
        <v>2205.2560038864613</v>
      </c>
      <c r="AJ35" s="2">
        <v>2.4866587864380563E-6</v>
      </c>
      <c r="AK35" s="2">
        <f t="shared" si="9"/>
        <v>2205.255999462679</v>
      </c>
      <c r="AL35" s="2">
        <v>5.7502893469063565E-7</v>
      </c>
      <c r="AM35" s="2">
        <f t="shared" si="10"/>
        <v>-7.6858459368101682E-13</v>
      </c>
      <c r="AN35" s="2">
        <f t="shared" si="11"/>
        <v>1.4299007529045844E-12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16.21</v>
      </c>
      <c r="L36" s="6" t="s">
        <v>59</v>
      </c>
      <c r="AF36" s="2">
        <v>32</v>
      </c>
      <c r="AG36" s="2">
        <f t="shared" si="13"/>
        <v>2205.2559950388968</v>
      </c>
      <c r="AH36" s="2">
        <v>-1.3366015991778113E-6</v>
      </c>
      <c r="AI36" s="2">
        <f t="shared" si="14"/>
        <v>2205.255999462679</v>
      </c>
      <c r="AJ36" s="2">
        <v>5.7502893469063565E-7</v>
      </c>
      <c r="AK36" s="2">
        <f t="shared" si="9"/>
        <v>2205.2559972507879</v>
      </c>
      <c r="AL36" s="2">
        <v>-3.8078587749623694E-7</v>
      </c>
      <c r="AM36" s="2">
        <f t="shared" si="10"/>
        <v>5.0895901280579643E-13</v>
      </c>
      <c r="AN36" s="2">
        <f t="shared" si="11"/>
        <v>-2.1896289748190002E-13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20.350000000000001</v>
      </c>
      <c r="L37" s="6" t="s">
        <v>59</v>
      </c>
      <c r="AF37" s="2">
        <v>33</v>
      </c>
      <c r="AG37" s="2">
        <f t="shared" si="13"/>
        <v>2205.2559972507879</v>
      </c>
      <c r="AH37" s="2">
        <v>-3.8078587749623694E-7</v>
      </c>
      <c r="AI37" s="2">
        <f t="shared" si="14"/>
        <v>2205.255999462679</v>
      </c>
      <c r="AJ37" s="2">
        <v>5.7502893469063565E-7</v>
      </c>
      <c r="AK37" s="2">
        <f t="shared" si="9"/>
        <v>2205.2559983567335</v>
      </c>
      <c r="AL37" s="2">
        <v>9.7120846476173028E-8</v>
      </c>
      <c r="AM37" s="2">
        <f t="shared" si="10"/>
        <v>-3.6982246748606857E-14</v>
      </c>
      <c r="AN37" s="2">
        <f t="shared" si="11"/>
        <v>5.5847296885446552E-14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4.8099999999999996</v>
      </c>
      <c r="L38" s="6" t="s">
        <v>59</v>
      </c>
      <c r="AF38" s="2">
        <v>34</v>
      </c>
      <c r="AG38" s="2">
        <f t="shared" si="13"/>
        <v>2205.2559972507879</v>
      </c>
      <c r="AH38" s="2">
        <v>-3.8078587749623694E-7</v>
      </c>
      <c r="AI38" s="2">
        <f t="shared" si="14"/>
        <v>2205.2559983567335</v>
      </c>
      <c r="AJ38" s="2">
        <v>9.7120846476173028E-8</v>
      </c>
      <c r="AK38" s="2">
        <f t="shared" si="9"/>
        <v>2205.2559978037607</v>
      </c>
      <c r="AL38" s="2">
        <v>-1.4183251551003195E-7</v>
      </c>
      <c r="AM38" s="2">
        <f t="shared" si="10"/>
        <v>5.4007818875986153E-14</v>
      </c>
      <c r="AN38" s="2">
        <f t="shared" si="11"/>
        <v>-1.3774893964179243E-14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2205.2559978037607</v>
      </c>
      <c r="AH39" s="2">
        <v>-1.4183251551003195E-7</v>
      </c>
      <c r="AI39" s="2">
        <f t="shared" si="14"/>
        <v>2205.2559983567335</v>
      </c>
      <c r="AJ39" s="2">
        <v>9.7120846476173028E-8</v>
      </c>
      <c r="AK39" s="2">
        <f t="shared" si="9"/>
        <v>2205.2559980802471</v>
      </c>
      <c r="AL39" s="2">
        <v>-2.2355379769578576E-8</v>
      </c>
      <c r="AM39" s="2">
        <f t="shared" si="10"/>
        <v>3.170719747901408E-15</v>
      </c>
      <c r="AN39" s="2">
        <f t="shared" si="11"/>
        <v>-2.1711734065177853E-15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2205.2559980802471</v>
      </c>
      <c r="AH40" s="2">
        <v>-2.2355379769578576E-8</v>
      </c>
      <c r="AI40" s="2">
        <f t="shared" si="14"/>
        <v>2205.2559983567335</v>
      </c>
      <c r="AJ40" s="2">
        <v>9.7120846476173028E-8</v>
      </c>
      <c r="AK40" s="2">
        <f t="shared" si="9"/>
        <v>2205.2559982184903</v>
      </c>
      <c r="AL40" s="2">
        <v>3.7382960726972669E-8</v>
      </c>
      <c r="AM40" s="2">
        <f t="shared" si="10"/>
        <v>-8.3571028396271523E-16</v>
      </c>
      <c r="AN40" s="2">
        <f t="shared" si="11"/>
        <v>3.6306647895891183E-15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2205.2559980802471</v>
      </c>
      <c r="AH41" s="2">
        <v>-2.2355379769578576E-8</v>
      </c>
      <c r="AI41" s="2">
        <f t="shared" si="14"/>
        <v>2205.2559982184903</v>
      </c>
      <c r="AJ41" s="2">
        <v>3.7382960726972669E-8</v>
      </c>
      <c r="AK41" s="2">
        <f t="shared" si="9"/>
        <v>2205.2559981493687</v>
      </c>
      <c r="AL41" s="2">
        <v>7.5133357313461602E-9</v>
      </c>
      <c r="AM41" s="2">
        <f t="shared" si="10"/>
        <v>-1.679634736105878E-16</v>
      </c>
      <c r="AN41" s="2">
        <f t="shared" si="11"/>
        <v>2.8087073457347398E-16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2205.2559980802471</v>
      </c>
      <c r="AH42" s="2">
        <v>-2.2355379769578576E-8</v>
      </c>
      <c r="AI42" s="2">
        <f t="shared" si="14"/>
        <v>2205.2559981493687</v>
      </c>
      <c r="AJ42" s="2">
        <v>7.5133357313461602E-9</v>
      </c>
      <c r="AK42" s="2">
        <f t="shared" si="9"/>
        <v>2205.2559981148079</v>
      </c>
      <c r="AL42" s="2">
        <v>-7.4212493927916512E-9</v>
      </c>
      <c r="AM42" s="2">
        <f t="shared" si="10"/>
        <v>1.6590484854061177E-16</v>
      </c>
      <c r="AN42" s="2">
        <f t="shared" si="11"/>
        <v>-5.5758338234092508E-17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692.86</v>
      </c>
      <c r="L43" s="6" t="s">
        <v>7</v>
      </c>
      <c r="AF43" s="2">
        <v>39</v>
      </c>
      <c r="AG43" s="2">
        <f t="shared" si="13"/>
        <v>2205.2559981148079</v>
      </c>
      <c r="AH43" s="2">
        <v>-7.4212493927916512E-9</v>
      </c>
      <c r="AI43" s="2">
        <f t="shared" si="14"/>
        <v>2205.2559981493687</v>
      </c>
      <c r="AJ43" s="2">
        <v>7.5133357313461602E-9</v>
      </c>
      <c r="AK43" s="2">
        <f t="shared" si="9"/>
        <v>2205.2559981320883</v>
      </c>
      <c r="AL43" s="2">
        <v>4.638422979041934E-11</v>
      </c>
      <c r="AM43" s="2">
        <f t="shared" si="10"/>
        <v>-3.4422893716725795E-19</v>
      </c>
      <c r="AN43" s="2">
        <f t="shared" si="11"/>
        <v>3.4850029105532864E-19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357.47</v>
      </c>
      <c r="L44" s="6" t="s">
        <v>7</v>
      </c>
      <c r="AF44" s="2">
        <v>40</v>
      </c>
      <c r="AG44" s="2">
        <f t="shared" si="13"/>
        <v>2205.2559981148079</v>
      </c>
      <c r="AH44" s="2">
        <v>-7.4212493927916512E-9</v>
      </c>
      <c r="AI44" s="2">
        <f t="shared" si="14"/>
        <v>2205.2559981320883</v>
      </c>
      <c r="AJ44" s="2">
        <v>4.638422979041934E-11</v>
      </c>
      <c r="AK44" s="5">
        <f t="shared" si="9"/>
        <v>2205.2559981234481</v>
      </c>
      <c r="AL44" s="2">
        <v>-3.6873188946628943E-9</v>
      </c>
      <c r="AM44" s="2">
        <f t="shared" si="10"/>
        <v>2.7364513108046187E-17</v>
      </c>
      <c r="AN44" s="2">
        <f t="shared" si="11"/>
        <v>-1.7103344692059873E-19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448.84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106.11</v>
      </c>
      <c r="L46" s="6" t="s">
        <v>7</v>
      </c>
    </row>
    <row r="47" spans="2:41" x14ac:dyDescent="0.2">
      <c r="J47" s="9" t="s">
        <v>60</v>
      </c>
      <c r="K47" s="9">
        <f>SUM(K42:K46)</f>
        <v>2205.2800000000002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47" priority="7" operator="containsText" text="FALSE">
      <formula>NOT(ISERROR(SEARCH("FALSE",K31)))</formula>
    </cfRule>
    <cfRule type="containsText" dxfId="46" priority="8" operator="containsText" text="TRUE">
      <formula>NOT(ISERROR(SEARCH("TRUE",K31)))</formula>
    </cfRule>
    <cfRule type="cellIs" dxfId="45" priority="9" operator="equal">
      <formula>1</formula>
    </cfRule>
    <cfRule type="cellIs" dxfId="44" priority="10" operator="equal">
      <formula>TRUE</formula>
    </cfRule>
    <cfRule type="containsText" dxfId="43" priority="11" operator="containsText" text="YES">
      <formula>NOT(ISERROR(SEARCH("YES",K31)))</formula>
    </cfRule>
    <cfRule type="cellIs" dxfId="42" priority="12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393.22269355323635</v>
      </c>
      <c r="L4" s="6" t="s">
        <v>97</v>
      </c>
      <c r="N4" s="6" t="s">
        <v>131</v>
      </c>
      <c r="O4" s="6">
        <f xml:space="preserve"> $C$5 * $C$74</f>
        <v>16881.61524419612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1.1746350027162171</v>
      </c>
      <c r="X4" s="3">
        <v>1</v>
      </c>
      <c r="Y4" s="2">
        <f t="shared" ref="Y4:Y34" si="1" xml:space="preserve"> $O$22 * TAN($O$19/180*PI()) + $O$23 / (2 * SQRT($O$22^2 + X4^2)) - X4</f>
        <v>-3.0158389679370012E-2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0.48798760540431652</v>
      </c>
      <c r="AB4" s="2">
        <f>W4*AA4</f>
        <v>0.57320732219957959</v>
      </c>
      <c r="AC4" s="2">
        <f>Y4*AA4</f>
        <v>-1.4716920362486025E-2</v>
      </c>
      <c r="AD4" s="2">
        <f>X4-V4</f>
        <v>1</v>
      </c>
      <c r="AF4" s="2">
        <v>0</v>
      </c>
      <c r="AH4" s="2">
        <f>K30</f>
        <v>-1.9149727722833632E-4</v>
      </c>
      <c r="AJ4" s="2">
        <f>K30</f>
        <v>-1.9149727722833632E-4</v>
      </c>
      <c r="AL4" s="2">
        <f>K30</f>
        <v>-1.9149727722833632E-4</v>
      </c>
    </row>
    <row r="5" spans="2:41" x14ac:dyDescent="0.2">
      <c r="B5" s="9" t="s">
        <v>38</v>
      </c>
      <c r="C5" s="9">
        <v>1722.5164844440901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49.152836694154544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0.48798760540431652</v>
      </c>
      <c r="X5" s="2">
        <f>IF(AC4&gt;0, Z4, X4)</f>
        <v>1</v>
      </c>
      <c r="Y5" s="2">
        <f t="shared" si="1"/>
        <v>-3.0158389679370012E-2</v>
      </c>
      <c r="Z5" s="2">
        <f t="shared" ref="Z5:Z34" si="3" xml:space="preserve"> (V5 + X5)/2</f>
        <v>0.75</v>
      </c>
      <c r="AA5" s="2">
        <f t="shared" si="2"/>
        <v>0.2259499532800392</v>
      </c>
      <c r="AB5" s="2">
        <f t="shared" ref="AB5:AB34" si="4">W5*AA5</f>
        <v>0.11026077664234352</v>
      </c>
      <c r="AC5" s="2">
        <f t="shared" ref="AC5:AC34" si="5">Y5*AA5</f>
        <v>-6.8142867390548704E-3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-727.4698260643454</v>
      </c>
      <c r="AI5" s="3">
        <v>10000</v>
      </c>
      <c r="AJ5" s="2">
        <f t="dataTable" ref="AJ5:AJ44" dt2D="0" dtr="0" r1="C5" ca="1"/>
        <v>3717.0210896682174</v>
      </c>
      <c r="AK5" s="2">
        <f>(AG5+AI5)/2</f>
        <v>5250</v>
      </c>
      <c r="AL5" s="2">
        <f t="dataTable" ref="AL5:AL44" dt2D="0" dtr="0" r1="C5" ca="1"/>
        <v>1503.9543633526237</v>
      </c>
      <c r="AM5" s="2">
        <f>AH5*AL5</f>
        <v>-1094081.4191168465</v>
      </c>
      <c r="AN5" s="2">
        <f>AJ5*AL5</f>
        <v>5590230.0864802394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159.09848457703316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0.18814911201404841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0.2259499532800392</v>
      </c>
      <c r="X6" s="2">
        <f t="shared" ref="X6:X34" si="8">IF(AC5&gt;0, Z5, X5)</f>
        <v>1</v>
      </c>
      <c r="Y6" s="2">
        <f t="shared" si="1"/>
        <v>-3.0158389679370012E-2</v>
      </c>
      <c r="Z6" s="2">
        <f t="shared" si="3"/>
        <v>0.875</v>
      </c>
      <c r="AA6" s="2">
        <f t="shared" si="2"/>
        <v>9.7465420207097586E-2</v>
      </c>
      <c r="AB6" s="2">
        <f t="shared" si="4"/>
        <v>2.2022307142213086E-2</v>
      </c>
      <c r="AC6" s="2">
        <f t="shared" si="5"/>
        <v>-2.9394001228691931E-3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-727.4698260643454</v>
      </c>
      <c r="AI6" s="2">
        <f>IF(AN5&gt;0,AK5,AI5)</f>
        <v>5250</v>
      </c>
      <c r="AJ6" s="2">
        <v>1503.9543633526237</v>
      </c>
      <c r="AK6" s="2">
        <f t="shared" ref="AK6:AK44" si="9">(AG6+AI6)/2</f>
        <v>2875</v>
      </c>
      <c r="AL6" s="2">
        <v>591.9755279294352</v>
      </c>
      <c r="AM6" s="2">
        <f t="shared" ref="AM6:AM44" si="10">AH6*AL6</f>
        <v>-430644.33433717524</v>
      </c>
      <c r="AN6" s="2">
        <f t="shared" ref="AN6:AN44" si="11">AJ6*AL6</f>
        <v>890304.17822744697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2110.4037688805224</v>
      </c>
      <c r="H7" s="6" t="s">
        <v>21</v>
      </c>
      <c r="J7" s="6" t="s">
        <v>133</v>
      </c>
      <c r="K7" s="6">
        <f>K6/$C$28</f>
        <v>159.09848457703316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9.7465420207097586E-2</v>
      </c>
      <c r="X7" s="2">
        <f t="shared" si="8"/>
        <v>1</v>
      </c>
      <c r="Y7" s="2">
        <f t="shared" si="1"/>
        <v>-3.0158389679370012E-2</v>
      </c>
      <c r="Z7" s="2">
        <f t="shared" si="3"/>
        <v>0.9375</v>
      </c>
      <c r="AA7" s="2">
        <f t="shared" si="2"/>
        <v>3.3567083851781643E-2</v>
      </c>
      <c r="AB7" s="2">
        <f t="shared" si="4"/>
        <v>3.2716299327407777E-3</v>
      </c>
      <c r="AC7" s="2">
        <f t="shared" si="5"/>
        <v>-1.0123291952021192E-3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-727.4698260643454</v>
      </c>
      <c r="AI7" s="2">
        <f t="shared" ref="AI7:AI44" si="14">IF(AN6&gt;0,AK6,AI6)</f>
        <v>2875</v>
      </c>
      <c r="AJ7" s="2">
        <v>591.9755279294352</v>
      </c>
      <c r="AK7" s="2">
        <f t="shared" si="9"/>
        <v>1687.5</v>
      </c>
      <c r="AL7" s="2">
        <v>-19.505322210525264</v>
      </c>
      <c r="AM7" s="2">
        <f t="shared" si="10"/>
        <v>14189.533355819827</v>
      </c>
      <c r="AN7" s="2">
        <f t="shared" si="11"/>
        <v>-11546.673413009432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32.768557796103032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3.3567083851781643E-2</v>
      </c>
      <c r="X8" s="2">
        <f t="shared" si="8"/>
        <v>1</v>
      </c>
      <c r="Y8" s="2">
        <f t="shared" si="1"/>
        <v>-3.0158389679370012E-2</v>
      </c>
      <c r="Z8" s="2">
        <f t="shared" si="3"/>
        <v>0.96875</v>
      </c>
      <c r="AA8" s="2">
        <f t="shared" si="2"/>
        <v>1.6847987743814352E-3</v>
      </c>
      <c r="AB8" s="2">
        <f t="shared" si="4"/>
        <v>5.6553781733040576E-5</v>
      </c>
      <c r="AC8" s="2">
        <f t="shared" si="5"/>
        <v>-5.0810817969120324E-5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-19.505322210525264</v>
      </c>
      <c r="AI8" s="2">
        <f t="shared" si="14"/>
        <v>2875</v>
      </c>
      <c r="AJ8" s="2">
        <v>591.9755279294352</v>
      </c>
      <c r="AK8" s="2">
        <f t="shared" si="9"/>
        <v>2281.25</v>
      </c>
      <c r="AL8" s="2">
        <v>299.16635229501867</v>
      </c>
      <c r="AM8" s="2">
        <f t="shared" si="10"/>
        <v>-5835.3360960618538</v>
      </c>
      <c r="AN8" s="2">
        <f t="shared" si="11"/>
        <v>177099.15933856709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6.570767071754295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1.6847987743814352E-3</v>
      </c>
      <c r="X9" s="2">
        <f t="shared" si="8"/>
        <v>1</v>
      </c>
      <c r="Y9" s="2">
        <f t="shared" si="1"/>
        <v>-3.0158389679370012E-2</v>
      </c>
      <c r="Z9" s="2">
        <f t="shared" si="3"/>
        <v>0.984375</v>
      </c>
      <c r="AA9" s="2">
        <f t="shared" si="2"/>
        <v>-1.4241453164010376E-2</v>
      </c>
      <c r="AB9" s="2">
        <f t="shared" si="4"/>
        <v>-2.3993982836135294E-5</v>
      </c>
      <c r="AC9" s="2">
        <f t="shared" si="5"/>
        <v>4.2949929412072193E-4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-19.505322210525264</v>
      </c>
      <c r="AI9" s="2">
        <f t="shared" si="14"/>
        <v>2281.25</v>
      </c>
      <c r="AJ9" s="2">
        <v>299.16635229501867</v>
      </c>
      <c r="AK9" s="2">
        <f t="shared" si="9"/>
        <v>1984.375</v>
      </c>
      <c r="AL9" s="2">
        <v>143.04714585750799</v>
      </c>
      <c r="AM9" s="2">
        <f t="shared" si="10"/>
        <v>-2790.1806712466978</v>
      </c>
      <c r="AN9" s="2">
        <f t="shared" si="11"/>
        <v>42794.892832404155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262.14846236882426</v>
      </c>
      <c r="H10" s="22" t="s">
        <v>97</v>
      </c>
      <c r="J10" s="6" t="s">
        <v>92</v>
      </c>
      <c r="K10" s="6">
        <f xml:space="preserve"> $C$18 * (G10*G6 + G20*G13 + G29*G25 + G33*G32)/3600</f>
        <v>99.397719146474032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1.6847987743814352E-3</v>
      </c>
      <c r="X10" s="2">
        <f t="shared" si="8"/>
        <v>0.984375</v>
      </c>
      <c r="Y10" s="2">
        <f t="shared" si="1"/>
        <v>-1.4241453164010376E-2</v>
      </c>
      <c r="Z10" s="2">
        <f t="shared" si="3"/>
        <v>0.9765625</v>
      </c>
      <c r="AA10" s="2">
        <f t="shared" si="2"/>
        <v>-6.2795191675328876E-3</v>
      </c>
      <c r="AB10" s="2">
        <f t="shared" si="4"/>
        <v>-1.0579726197164139E-5</v>
      </c>
      <c r="AC10" s="2">
        <f t="shared" si="5"/>
        <v>8.9429478116925039E-5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-19.505322210525264</v>
      </c>
      <c r="AI10" s="2">
        <f t="shared" si="14"/>
        <v>1984.375</v>
      </c>
      <c r="AJ10" s="2">
        <v>143.04714585750799</v>
      </c>
      <c r="AK10" s="2">
        <f t="shared" si="9"/>
        <v>1835.9375</v>
      </c>
      <c r="AL10" s="2">
        <v>62.570512873519647</v>
      </c>
      <c r="AM10" s="2">
        <f t="shared" si="10"/>
        <v>-1220.4580144758197</v>
      </c>
      <c r="AN10" s="2">
        <f t="shared" si="11"/>
        <v>8950.5332813974455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1.6847987743814352E-3</v>
      </c>
      <c r="X11" s="2">
        <f t="shared" si="8"/>
        <v>0.9765625</v>
      </c>
      <c r="Y11" s="2">
        <f t="shared" si="1"/>
        <v>-6.2795191675328876E-3</v>
      </c>
      <c r="Z11" s="2">
        <f t="shared" si="3"/>
        <v>0.97265625</v>
      </c>
      <c r="AA11" s="2">
        <f t="shared" si="2"/>
        <v>-2.2976617278996914E-3</v>
      </c>
      <c r="AB11" s="2">
        <f t="shared" si="4"/>
        <v>-3.8710976631085309E-6</v>
      </c>
      <c r="AC11" s="2">
        <f t="shared" si="5"/>
        <v>1.4428210860852846E-5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-19.505322210525264</v>
      </c>
      <c r="AI11" s="2">
        <f t="shared" si="14"/>
        <v>1835.9375</v>
      </c>
      <c r="AJ11" s="2">
        <v>62.570512873519647</v>
      </c>
      <c r="AK11" s="2">
        <f t="shared" si="9"/>
        <v>1761.71875</v>
      </c>
      <c r="AL11" s="2">
        <v>21.731659827058365</v>
      </c>
      <c r="AM11" s="2">
        <f t="shared" si="10"/>
        <v>-423.88302709630113</v>
      </c>
      <c r="AN11" s="2">
        <f t="shared" si="11"/>
        <v>1359.7611009719051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0.24817177311276686</v>
      </c>
      <c r="U12" s="2">
        <v>8</v>
      </c>
      <c r="V12" s="2">
        <f t="shared" si="7"/>
        <v>0.96875</v>
      </c>
      <c r="W12" s="2">
        <f t="shared" si="0"/>
        <v>1.6847987743814352E-3</v>
      </c>
      <c r="X12" s="2">
        <f t="shared" si="8"/>
        <v>0.97265625</v>
      </c>
      <c r="Y12" s="2">
        <f t="shared" si="1"/>
        <v>-2.2976617278996914E-3</v>
      </c>
      <c r="Z12" s="2">
        <f t="shared" si="3"/>
        <v>0.970703125</v>
      </c>
      <c r="AA12" s="2">
        <f t="shared" si="2"/>
        <v>-3.0650730797354697E-4</v>
      </c>
      <c r="AB12" s="2">
        <f t="shared" si="4"/>
        <v>-5.1640313681278506E-7</v>
      </c>
      <c r="AC12" s="2">
        <f t="shared" si="5"/>
        <v>7.0425011085238275E-7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-19.505322210525264</v>
      </c>
      <c r="AI12" s="2">
        <f t="shared" si="14"/>
        <v>1761.71875</v>
      </c>
      <c r="AJ12" s="2">
        <v>21.731659827058365</v>
      </c>
      <c r="AK12" s="2">
        <f t="shared" si="9"/>
        <v>1724.609375</v>
      </c>
      <c r="AL12" s="2">
        <v>1.162808595803881</v>
      </c>
      <c r="AM12" s="2">
        <f t="shared" si="10"/>
        <v>-22.680956330323134</v>
      </c>
      <c r="AN12" s="2">
        <f t="shared" si="11"/>
        <v>25.26976084798935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2.2207988703146449E-2</v>
      </c>
      <c r="U13" s="2">
        <v>9</v>
      </c>
      <c r="V13" s="2">
        <f t="shared" si="7"/>
        <v>0.96875</v>
      </c>
      <c r="W13" s="2">
        <f t="shared" si="0"/>
        <v>1.6847987743814352E-3</v>
      </c>
      <c r="X13" s="2">
        <f t="shared" si="8"/>
        <v>0.970703125</v>
      </c>
      <c r="Y13" s="2">
        <f t="shared" si="1"/>
        <v>-3.0650730797354697E-4</v>
      </c>
      <c r="Z13" s="2">
        <f t="shared" si="3"/>
        <v>0.9697265625</v>
      </c>
      <c r="AA13" s="2">
        <f t="shared" si="2"/>
        <v>6.8912671896459443E-4</v>
      </c>
      <c r="AB13" s="2">
        <f t="shared" si="4"/>
        <v>1.1610398515050485E-6</v>
      </c>
      <c r="AC13" s="2">
        <f t="shared" si="5"/>
        <v>-2.1122237548248089E-7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-19.505322210525264</v>
      </c>
      <c r="AI13" s="2">
        <f t="shared" si="14"/>
        <v>1724.609375</v>
      </c>
      <c r="AJ13" s="2">
        <v>1.162808595803881</v>
      </c>
      <c r="AK13" s="2">
        <f t="shared" si="9"/>
        <v>1706.0546875</v>
      </c>
      <c r="AL13" s="2">
        <v>-9.1588642983126647</v>
      </c>
      <c r="AM13" s="2">
        <f t="shared" si="10"/>
        <v>178.64659922106492</v>
      </c>
      <c r="AN13" s="2">
        <f t="shared" si="11"/>
        <v>-10.650006133879247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1722.5164844440901</v>
      </c>
      <c r="L14" s="6" t="s">
        <v>7</v>
      </c>
      <c r="N14" s="6" t="s">
        <v>40</v>
      </c>
      <c r="O14" s="6">
        <f xml:space="preserve"> O5 * O13 * $C$12</f>
        <v>1510.6743040580136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6.8912671896459443E-4</v>
      </c>
      <c r="X14" s="2">
        <f t="shared" si="8"/>
        <v>0.970703125</v>
      </c>
      <c r="Y14" s="2">
        <f t="shared" si="1"/>
        <v>-3.0650730797354697E-4</v>
      </c>
      <c r="Z14" s="2">
        <f t="shared" si="3"/>
        <v>0.97021484375</v>
      </c>
      <c r="AA14" s="2">
        <f t="shared" si="2"/>
        <v>1.9130495900765432E-4</v>
      </c>
      <c r="AB14" s="2">
        <f t="shared" si="4"/>
        <v>1.3183335872260104E-7</v>
      </c>
      <c r="AC14" s="2">
        <f t="shared" si="5"/>
        <v>-5.8636367987425883E-8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-9.1588642983126647</v>
      </c>
      <c r="AI14" s="2">
        <f t="shared" si="14"/>
        <v>1724.609375</v>
      </c>
      <c r="AJ14" s="2">
        <v>1.162808595803881</v>
      </c>
      <c r="AK14" s="2">
        <f t="shared" si="9"/>
        <v>1715.33203125</v>
      </c>
      <c r="AL14" s="2">
        <v>-3.9949276473205373</v>
      </c>
      <c r="AM14" s="2">
        <f t="shared" si="10"/>
        <v>36.589000203386277</v>
      </c>
      <c r="AN14" s="2">
        <f t="shared" si="11"/>
        <v>-4.6453362079188958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365.43279097968394</v>
      </c>
      <c r="L15" s="6" t="s">
        <v>7</v>
      </c>
      <c r="N15" s="6" t="s">
        <v>140</v>
      </c>
      <c r="O15" s="6">
        <f>O4/O14</f>
        <v>11.174887398857765</v>
      </c>
      <c r="U15" s="2">
        <v>11</v>
      </c>
      <c r="V15" s="2">
        <f t="shared" si="7"/>
        <v>0.97021484375</v>
      </c>
      <c r="W15" s="2">
        <f t="shared" si="0"/>
        <v>1.9130495900765432E-4</v>
      </c>
      <c r="X15" s="2">
        <f t="shared" si="8"/>
        <v>0.970703125</v>
      </c>
      <c r="Y15" s="2">
        <f t="shared" si="1"/>
        <v>-3.0650730797354697E-4</v>
      </c>
      <c r="Z15" s="2">
        <f t="shared" si="3"/>
        <v>0.970458984375</v>
      </c>
      <c r="AA15" s="2">
        <f t="shared" si="2"/>
        <v>-5.7602360222452909E-5</v>
      </c>
      <c r="AB15" s="2">
        <f t="shared" si="4"/>
        <v>-1.1019617161100491E-8</v>
      </c>
      <c r="AC15" s="2">
        <f t="shared" si="5"/>
        <v>1.7655544364706565E-8</v>
      </c>
      <c r="AD15" s="2">
        <f t="shared" si="6"/>
        <v>4.8828125E-4</v>
      </c>
      <c r="AF15" s="2">
        <v>11</v>
      </c>
      <c r="AG15" s="2">
        <f t="shared" si="13"/>
        <v>1715.33203125</v>
      </c>
      <c r="AH15" s="2">
        <v>-3.9949276473205373</v>
      </c>
      <c r="AI15" s="2">
        <f t="shared" si="14"/>
        <v>1724.609375</v>
      </c>
      <c r="AJ15" s="2">
        <v>1.162808595803881</v>
      </c>
      <c r="AK15" s="2">
        <f t="shared" si="9"/>
        <v>1719.970703125</v>
      </c>
      <c r="AL15" s="2">
        <v>-1.4152841997845371</v>
      </c>
      <c r="AM15" s="2">
        <f t="shared" si="10"/>
        <v>5.6539579785351703</v>
      </c>
      <c r="AN15" s="2">
        <f t="shared" si="11"/>
        <v>-1.645704633014877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1510.6743040580136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125.91567385877669</v>
      </c>
      <c r="L16" s="6" t="s">
        <v>7</v>
      </c>
      <c r="N16" s="6" t="s">
        <v>111</v>
      </c>
      <c r="O16" s="6">
        <f>(O13*$C$12)/(0.3048^2)/($C$5*2.20462/1000)^(2/3)</f>
        <v>2.9462468921236282</v>
      </c>
      <c r="U16" s="2">
        <v>12</v>
      </c>
      <c r="V16" s="2">
        <f t="shared" si="7"/>
        <v>0.97021484375</v>
      </c>
      <c r="W16" s="2">
        <f t="shared" si="0"/>
        <v>1.9130495900765432E-4</v>
      </c>
      <c r="X16" s="2">
        <f t="shared" si="8"/>
        <v>0.970458984375</v>
      </c>
      <c r="Y16" s="2">
        <f t="shared" si="1"/>
        <v>-5.7602360222452909E-5</v>
      </c>
      <c r="Z16" s="2">
        <f t="shared" si="3"/>
        <v>0.9703369140625</v>
      </c>
      <c r="AA16" s="2">
        <f t="shared" si="2"/>
        <v>6.6851002847423402E-5</v>
      </c>
      <c r="AB16" s="2">
        <f t="shared" si="4"/>
        <v>1.2788928359346917E-8</v>
      </c>
      <c r="AC16" s="2">
        <f t="shared" si="5"/>
        <v>-3.8507755472495083E-9</v>
      </c>
      <c r="AD16" s="2">
        <f t="shared" si="6"/>
        <v>2.44140625E-4</v>
      </c>
      <c r="AF16" s="2">
        <v>12</v>
      </c>
      <c r="AG16" s="2">
        <f t="shared" si="13"/>
        <v>1719.970703125</v>
      </c>
      <c r="AH16" s="2">
        <v>-1.4152841997845371</v>
      </c>
      <c r="AI16" s="2">
        <f t="shared" si="14"/>
        <v>1724.609375</v>
      </c>
      <c r="AJ16" s="2">
        <v>1.162808595803881</v>
      </c>
      <c r="AK16" s="2">
        <f t="shared" si="9"/>
        <v>1722.2900390625</v>
      </c>
      <c r="AL16" s="2">
        <v>-0.12604389193029419</v>
      </c>
      <c r="AM16" s="2">
        <f t="shared" si="10"/>
        <v>0.17838792872829509</v>
      </c>
      <c r="AN16" s="2">
        <f t="shared" si="11"/>
        <v>-0.14656492098512153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106.06565638468877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0.9703369140625</v>
      </c>
      <c r="W17" s="2">
        <f t="shared" si="0"/>
        <v>6.6851002847423402E-5</v>
      </c>
      <c r="X17" s="2">
        <f t="shared" si="8"/>
        <v>0.970458984375</v>
      </c>
      <c r="Y17" s="2">
        <f t="shared" si="1"/>
        <v>-5.7602360222452909E-5</v>
      </c>
      <c r="Z17" s="2">
        <f t="shared" si="3"/>
        <v>0.97039794921875</v>
      </c>
      <c r="AA17" s="2">
        <f t="shared" si="2"/>
        <v>4.6242471899438087E-6</v>
      </c>
      <c r="AB17" s="2">
        <f t="shared" si="4"/>
        <v>3.0913556206212322E-10</v>
      </c>
      <c r="AC17" s="2">
        <f t="shared" si="5"/>
        <v>-2.6636755239280891E-10</v>
      </c>
      <c r="AD17" s="2">
        <f t="shared" si="6"/>
        <v>1.220703125E-4</v>
      </c>
      <c r="AF17" s="2">
        <v>13</v>
      </c>
      <c r="AG17" s="2">
        <f t="shared" si="13"/>
        <v>1722.2900390625</v>
      </c>
      <c r="AH17" s="2">
        <v>-0.12604389193029419</v>
      </c>
      <c r="AI17" s="2">
        <f t="shared" si="14"/>
        <v>1724.609375</v>
      </c>
      <c r="AJ17" s="2">
        <v>1.162808595803881</v>
      </c>
      <c r="AK17" s="2">
        <f t="shared" si="9"/>
        <v>1723.44970703125</v>
      </c>
      <c r="AL17" s="2">
        <v>0.51843061059616957</v>
      </c>
      <c r="AM17" s="2">
        <f t="shared" si="10"/>
        <v>-6.5345011855340029E-2</v>
      </c>
      <c r="AN17" s="2">
        <f t="shared" si="11"/>
        <v>0.60283557032908053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1.4532671176551588</v>
      </c>
      <c r="H18" s="6" t="s">
        <v>172</v>
      </c>
      <c r="J18" s="12" t="s">
        <v>54</v>
      </c>
      <c r="K18" s="6">
        <f xml:space="preserve"> $C$78 * (0.2138 * K4 + 0.2138 * K6)</f>
        <v>94.469014307401295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0.97039794921875</v>
      </c>
      <c r="W18" s="2">
        <f t="shared" si="0"/>
        <v>4.6242471899438087E-6</v>
      </c>
      <c r="X18" s="2">
        <f t="shared" si="8"/>
        <v>0.970458984375</v>
      </c>
      <c r="Y18" s="2">
        <f t="shared" si="1"/>
        <v>-5.7602360222452909E-5</v>
      </c>
      <c r="Z18" s="2">
        <f t="shared" si="3"/>
        <v>0.970428466796875</v>
      </c>
      <c r="AA18" s="2">
        <f t="shared" si="2"/>
        <v>-2.6489075045099675E-5</v>
      </c>
      <c r="AB18" s="2">
        <f t="shared" si="4"/>
        <v>-1.2249203084151284E-10</v>
      </c>
      <c r="AC18" s="2">
        <f t="shared" si="5"/>
        <v>1.5258332427074195E-9</v>
      </c>
      <c r="AD18" s="2">
        <f t="shared" si="6"/>
        <v>6.103515625E-5</v>
      </c>
      <c r="AF18" s="2">
        <v>14</v>
      </c>
      <c r="AG18" s="2">
        <f t="shared" si="13"/>
        <v>1722.2900390625</v>
      </c>
      <c r="AH18" s="2">
        <v>-0.12604389193029419</v>
      </c>
      <c r="AI18" s="2">
        <f t="shared" si="14"/>
        <v>1723.44970703125</v>
      </c>
      <c r="AJ18" s="2">
        <v>0.51843061059616957</v>
      </c>
      <c r="AK18" s="2">
        <f t="shared" si="9"/>
        <v>1722.869873046875</v>
      </c>
      <c r="AL18" s="2">
        <v>0.19620569115772923</v>
      </c>
      <c r="AM18" s="2">
        <f t="shared" si="10"/>
        <v>-2.4730528932393504E-2</v>
      </c>
      <c r="AN18" s="2">
        <f t="shared" si="11"/>
        <v>0.10171903626934503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4.3733816579874706E-2</v>
      </c>
      <c r="J19" s="12" t="s">
        <v>73</v>
      </c>
      <c r="K19" s="6">
        <f xml:space="preserve"> $C$78 * (0.1149 * K4 + 0.1149 * K6)</f>
        <v>50.769362693734379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0.97039794921875</v>
      </c>
      <c r="W19" s="2">
        <f t="shared" si="0"/>
        <v>4.6242471899438087E-6</v>
      </c>
      <c r="X19" s="2">
        <f t="shared" si="8"/>
        <v>0.970428466796875</v>
      </c>
      <c r="Y19" s="2">
        <f t="shared" si="1"/>
        <v>-2.6489075045099675E-5</v>
      </c>
      <c r="Z19" s="2">
        <f t="shared" si="3"/>
        <v>0.9704132080078125</v>
      </c>
      <c r="AA19" s="2">
        <f t="shared" si="2"/>
        <v>-1.0932418559983503E-5</v>
      </c>
      <c r="AB19" s="2">
        <f t="shared" si="4"/>
        <v>-5.0554205805293252E-11</v>
      </c>
      <c r="AC19" s="2">
        <f t="shared" si="5"/>
        <v>2.8958965565984352E-10</v>
      </c>
      <c r="AD19" s="2">
        <f t="shared" si="6"/>
        <v>3.0517578125E-5</v>
      </c>
      <c r="AF19" s="2">
        <v>15</v>
      </c>
      <c r="AG19" s="2">
        <f t="shared" si="13"/>
        <v>1722.2900390625</v>
      </c>
      <c r="AH19" s="2">
        <v>-0.12604389193029419</v>
      </c>
      <c r="AI19" s="2">
        <f t="shared" si="14"/>
        <v>1722.869873046875</v>
      </c>
      <c r="AJ19" s="2">
        <v>0.19620569115772923</v>
      </c>
      <c r="AK19" s="2">
        <f t="shared" si="9"/>
        <v>1722.5799560546875</v>
      </c>
      <c r="AL19" s="2">
        <v>3.5083714845768554E-2</v>
      </c>
      <c r="AM19" s="2">
        <f t="shared" si="10"/>
        <v>-4.4220879625333099E-3</v>
      </c>
      <c r="AN19" s="2">
        <f t="shared" si="11"/>
        <v>6.8836245196947053E-3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106.06565638468877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207.46892579018274</v>
      </c>
      <c r="L20" s="6" t="s">
        <v>7</v>
      </c>
      <c r="N20" s="6" t="s">
        <v>20</v>
      </c>
      <c r="O20" s="6">
        <f xml:space="preserve"> O14 / $C$28</f>
        <v>1510.6743040580136</v>
      </c>
      <c r="P20" s="6" t="s">
        <v>21</v>
      </c>
      <c r="U20" s="2">
        <v>16</v>
      </c>
      <c r="V20" s="2">
        <f t="shared" si="7"/>
        <v>0.97039794921875</v>
      </c>
      <c r="W20" s="2">
        <f t="shared" si="0"/>
        <v>4.6242471899438087E-6</v>
      </c>
      <c r="X20" s="2">
        <f t="shared" si="8"/>
        <v>0.9704132080078125</v>
      </c>
      <c r="Y20" s="2">
        <f t="shared" si="1"/>
        <v>-1.0932418559983503E-5</v>
      </c>
      <c r="Z20" s="2">
        <f t="shared" si="3"/>
        <v>0.97040557861328125</v>
      </c>
      <c r="AA20" s="2">
        <f t="shared" si="2"/>
        <v>-3.1540868431489955E-6</v>
      </c>
      <c r="AB20" s="2">
        <f t="shared" si="4"/>
        <v>-1.458527722127048E-11</v>
      </c>
      <c r="AC20" s="2">
        <f t="shared" si="5"/>
        <v>3.4481797543841853E-11</v>
      </c>
      <c r="AD20" s="2">
        <f t="shared" si="6"/>
        <v>1.52587890625E-5</v>
      </c>
      <c r="AF20" s="2">
        <v>16</v>
      </c>
      <c r="AG20" s="2">
        <f t="shared" si="13"/>
        <v>1722.2900390625</v>
      </c>
      <c r="AH20" s="2">
        <v>-0.12604389193029419</v>
      </c>
      <c r="AI20" s="2">
        <f t="shared" si="14"/>
        <v>1722.5799560546875</v>
      </c>
      <c r="AJ20" s="2">
        <v>3.5083714845768554E-2</v>
      </c>
      <c r="AK20" s="2">
        <f t="shared" si="9"/>
        <v>1722.4349975585938</v>
      </c>
      <c r="AL20" s="2">
        <v>-4.5479340130668788E-2</v>
      </c>
      <c r="AM20" s="2">
        <f t="shared" si="10"/>
        <v>5.7323930324911085E-3</v>
      </c>
      <c r="AN20" s="2">
        <f t="shared" si="11"/>
        <v>-1.5955842005181021E-3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44.78542859554635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0.97039794921875</v>
      </c>
      <c r="W21" s="2">
        <f t="shared" si="0"/>
        <v>4.6242471899438087E-6</v>
      </c>
      <c r="X21" s="2">
        <f t="shared" si="8"/>
        <v>0.97040557861328125</v>
      </c>
      <c r="Y21" s="2">
        <f t="shared" si="1"/>
        <v>-3.1540868431489955E-6</v>
      </c>
      <c r="Z21" s="2">
        <f t="shared" si="3"/>
        <v>0.97040176391601562</v>
      </c>
      <c r="AA21" s="2">
        <f t="shared" si="2"/>
        <v>7.3507988385124179E-7</v>
      </c>
      <c r="AB21" s="2">
        <f t="shared" si="4"/>
        <v>3.3991910872833259E-12</v>
      </c>
      <c r="AC21" s="2">
        <f t="shared" si="5"/>
        <v>-2.3185057903186934E-12</v>
      </c>
      <c r="AD21" s="2">
        <f t="shared" si="6"/>
        <v>7.62939453125E-6</v>
      </c>
      <c r="AF21" s="2">
        <v>17</v>
      </c>
      <c r="AG21" s="2">
        <f t="shared" si="13"/>
        <v>1722.4349975585938</v>
      </c>
      <c r="AH21" s="2">
        <v>-4.5479340130668788E-2</v>
      </c>
      <c r="AI21" s="2">
        <f t="shared" si="14"/>
        <v>1722.5799560546875</v>
      </c>
      <c r="AJ21" s="2">
        <v>3.5083714845768554E-2</v>
      </c>
      <c r="AK21" s="2">
        <f t="shared" si="9"/>
        <v>1722.5074768066406</v>
      </c>
      <c r="AL21" s="2">
        <v>-5.1974471100493247E-3</v>
      </c>
      <c r="AM21" s="2">
        <f t="shared" si="10"/>
        <v>2.3637646492909476E-4</v>
      </c>
      <c r="AN21" s="2">
        <f t="shared" si="11"/>
        <v>-1.8234575233493436E-4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106.4908348171441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0.97040176391601562</v>
      </c>
      <c r="W22" s="2">
        <f t="shared" si="0"/>
        <v>7.3507988385124179E-7</v>
      </c>
      <c r="X22" s="2">
        <f t="shared" si="8"/>
        <v>0.97040557861328125</v>
      </c>
      <c r="Y22" s="2">
        <f t="shared" si="1"/>
        <v>-3.1540868431489955E-6</v>
      </c>
      <c r="Z22" s="2">
        <f t="shared" si="3"/>
        <v>0.97040367126464844</v>
      </c>
      <c r="AA22" s="2">
        <f t="shared" si="2"/>
        <v>-1.2095035519799069E-6</v>
      </c>
      <c r="AB22" s="2">
        <f t="shared" si="4"/>
        <v>-8.8908173050705436E-13</v>
      </c>
      <c r="AC22" s="2">
        <f t="shared" si="5"/>
        <v>3.8148792400418012E-12</v>
      </c>
      <c r="AD22" s="2">
        <f t="shared" si="6"/>
        <v>3.814697265625E-6</v>
      </c>
      <c r="AF22" s="2">
        <v>18</v>
      </c>
      <c r="AG22" s="2">
        <f t="shared" si="13"/>
        <v>1722.5074768066406</v>
      </c>
      <c r="AH22" s="2">
        <v>-5.1974471100493247E-3</v>
      </c>
      <c r="AI22" s="2">
        <f t="shared" si="14"/>
        <v>1722.5799560546875</v>
      </c>
      <c r="AJ22" s="2">
        <v>3.5083714845768554E-2</v>
      </c>
      <c r="AK22" s="2">
        <f t="shared" si="9"/>
        <v>1722.5437164306641</v>
      </c>
      <c r="AL22" s="2">
        <v>1.494318064487743E-2</v>
      </c>
      <c r="AM22" s="2">
        <f t="shared" si="10"/>
        <v>-7.7666391057663205E-5</v>
      </c>
      <c r="AN22" s="2">
        <f t="shared" si="11"/>
        <v>5.2426228863368765E-4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19.979760764943691</v>
      </c>
      <c r="L23" s="6" t="s">
        <v>7</v>
      </c>
      <c r="N23" s="6" t="s">
        <v>30</v>
      </c>
      <c r="O23" s="6">
        <f xml:space="preserve"> O20 / ( $C$71 * PI() * $C$10^2 * O21^2 * $C$10^2)</f>
        <v>3.7172995766906976E-2</v>
      </c>
      <c r="U23" s="2">
        <v>19</v>
      </c>
      <c r="V23" s="2">
        <f t="shared" si="7"/>
        <v>0.97040176391601562</v>
      </c>
      <c r="W23" s="2">
        <f t="shared" si="0"/>
        <v>7.3507988385124179E-7</v>
      </c>
      <c r="X23" s="2">
        <f t="shared" si="8"/>
        <v>0.97040367126464844</v>
      </c>
      <c r="Y23" s="2">
        <f t="shared" si="1"/>
        <v>-1.2095035519799069E-6</v>
      </c>
      <c r="Z23" s="2">
        <f t="shared" si="3"/>
        <v>0.97040271759033203</v>
      </c>
      <c r="AA23" s="2">
        <f t="shared" si="2"/>
        <v>-2.3721185216096785E-7</v>
      </c>
      <c r="AB23" s="2">
        <f t="shared" si="4"/>
        <v>-1.7436966073462219E-13</v>
      </c>
      <c r="AC23" s="2">
        <f t="shared" si="5"/>
        <v>2.8690857776042315E-13</v>
      </c>
      <c r="AD23" s="2">
        <f t="shared" si="6"/>
        <v>1.9073486328125E-6</v>
      </c>
      <c r="AF23" s="2">
        <v>19</v>
      </c>
      <c r="AG23" s="2">
        <f t="shared" si="13"/>
        <v>1722.5074768066406</v>
      </c>
      <c r="AH23" s="2">
        <v>-5.1974471100493247E-3</v>
      </c>
      <c r="AI23" s="2">
        <f t="shared" si="14"/>
        <v>1722.5437164306641</v>
      </c>
      <c r="AJ23" s="2">
        <v>1.494318064487743E-2</v>
      </c>
      <c r="AK23" s="2">
        <f t="shared" si="9"/>
        <v>1722.5255966186523</v>
      </c>
      <c r="AL23" s="2">
        <v>4.8727000323651737E-3</v>
      </c>
      <c r="AM23" s="2">
        <f t="shared" si="10"/>
        <v>-2.5325600701353625E-5</v>
      </c>
      <c r="AN23" s="2">
        <f t="shared" si="11"/>
        <v>7.2813636811932893E-5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7.5415390930797255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0.97040176391601562</v>
      </c>
      <c r="W24" s="2">
        <f t="shared" si="0"/>
        <v>7.3507988385124179E-7</v>
      </c>
      <c r="X24" s="2">
        <f t="shared" si="8"/>
        <v>0.97040271759033203</v>
      </c>
      <c r="Y24" s="2">
        <f t="shared" si="1"/>
        <v>-2.3721185216096785E-7</v>
      </c>
      <c r="Z24" s="2">
        <f t="shared" si="3"/>
        <v>0.97040224075317383</v>
      </c>
      <c r="AA24" s="2">
        <f t="shared" si="2"/>
        <v>2.4893401129322257E-7</v>
      </c>
      <c r="AB24" s="2">
        <f t="shared" si="4"/>
        <v>1.8298638410804575E-13</v>
      </c>
      <c r="AC24" s="2">
        <f t="shared" si="5"/>
        <v>-5.9050097884724607E-14</v>
      </c>
      <c r="AD24" s="2">
        <f t="shared" si="6"/>
        <v>9.5367431640625E-7</v>
      </c>
      <c r="AF24" s="2">
        <v>20</v>
      </c>
      <c r="AG24" s="2">
        <f t="shared" si="13"/>
        <v>1722.5074768066406</v>
      </c>
      <c r="AH24" s="2">
        <v>-5.1974471100493247E-3</v>
      </c>
      <c r="AI24" s="2">
        <f t="shared" si="14"/>
        <v>1722.5255966186523</v>
      </c>
      <c r="AJ24" s="2">
        <v>4.8727000323651737E-3</v>
      </c>
      <c r="AK24" s="2">
        <f t="shared" si="9"/>
        <v>1722.5165367126465</v>
      </c>
      <c r="AL24" s="2">
        <v>-1.6237061504398298E-4</v>
      </c>
      <c r="AM24" s="2">
        <f t="shared" si="10"/>
        <v>8.4391268391728071E-7</v>
      </c>
      <c r="AN24" s="2">
        <f t="shared" si="11"/>
        <v>-7.9118330117996902E-7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17.859388330955575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0.97040224075317383</v>
      </c>
      <c r="W25" s="2">
        <f t="shared" si="0"/>
        <v>2.4893401129322257E-7</v>
      </c>
      <c r="X25" s="2">
        <f t="shared" si="8"/>
        <v>0.97040271759033203</v>
      </c>
      <c r="Y25" s="2">
        <f t="shared" si="1"/>
        <v>-2.3721185216096785E-7</v>
      </c>
      <c r="Z25" s="2">
        <f t="shared" si="3"/>
        <v>0.97040247917175293</v>
      </c>
      <c r="AA25" s="2">
        <f t="shared" si="2"/>
        <v>5.8610784003931826E-9</v>
      </c>
      <c r="AB25" s="2">
        <f t="shared" si="4"/>
        <v>1.4590217567139394E-15</v>
      </c>
      <c r="AC25" s="2">
        <f t="shared" si="5"/>
        <v>-1.3903172630179096E-15</v>
      </c>
      <c r="AD25" s="2">
        <f t="shared" si="6"/>
        <v>4.76837158203125E-7</v>
      </c>
      <c r="AF25" s="2">
        <v>21</v>
      </c>
      <c r="AG25" s="2">
        <f t="shared" si="13"/>
        <v>1722.5165367126465</v>
      </c>
      <c r="AH25" s="2">
        <v>-1.6237061504398298E-4</v>
      </c>
      <c r="AI25" s="2">
        <f t="shared" si="14"/>
        <v>1722.5255966186523</v>
      </c>
      <c r="AJ25" s="2">
        <v>4.8727000323651737E-3</v>
      </c>
      <c r="AK25" s="2">
        <f t="shared" si="9"/>
        <v>1722.5210666656494</v>
      </c>
      <c r="AL25" s="2">
        <v>2.3551654389848409E-3</v>
      </c>
      <c r="AM25" s="2">
        <f t="shared" si="10"/>
        <v>-3.8240966085830079E-7</v>
      </c>
      <c r="AN25" s="2">
        <f t="shared" si="11"/>
        <v>1.1476014710766772E-5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2110.4037688805224</v>
      </c>
      <c r="H26" s="6" t="s">
        <v>21</v>
      </c>
      <c r="J26" s="14" t="s">
        <v>65</v>
      </c>
      <c r="K26" s="6">
        <f xml:space="preserve"> $C$80 * (0.0268 * $C$5)</f>
        <v>36.930753426481296</v>
      </c>
      <c r="L26" s="6" t="s">
        <v>7</v>
      </c>
      <c r="N26" s="6" t="s">
        <v>32</v>
      </c>
      <c r="O26" s="17">
        <f>Z34</f>
        <v>0.97040248522534966</v>
      </c>
      <c r="U26" s="2">
        <v>22</v>
      </c>
      <c r="V26" s="2">
        <f t="shared" si="7"/>
        <v>0.97040247917175293</v>
      </c>
      <c r="W26" s="2">
        <f t="shared" si="0"/>
        <v>5.8610784003931826E-9</v>
      </c>
      <c r="X26" s="2">
        <f t="shared" si="8"/>
        <v>0.97040271759033203</v>
      </c>
      <c r="Y26" s="2">
        <f t="shared" si="1"/>
        <v>-2.3721185216096785E-7</v>
      </c>
      <c r="Z26" s="2">
        <f t="shared" si="3"/>
        <v>0.97040259838104248</v>
      </c>
      <c r="AA26" s="2">
        <f t="shared" si="2"/>
        <v>-1.1567538715784309E-7</v>
      </c>
      <c r="AB26" s="2">
        <f t="shared" si="4"/>
        <v>-6.7798251312795307E-16</v>
      </c>
      <c r="AC26" s="2">
        <f t="shared" si="5"/>
        <v>2.7439572837148996E-14</v>
      </c>
      <c r="AD26" s="2">
        <f t="shared" si="6"/>
        <v>2.384185791015625E-7</v>
      </c>
      <c r="AF26" s="2">
        <v>22</v>
      </c>
      <c r="AG26" s="2">
        <f t="shared" si="13"/>
        <v>1722.5165367126465</v>
      </c>
      <c r="AH26" s="2">
        <v>-1.6237061504398298E-4</v>
      </c>
      <c r="AI26" s="2">
        <f t="shared" si="14"/>
        <v>1722.5210666656494</v>
      </c>
      <c r="AJ26" s="2">
        <v>2.3551654389848409E-3</v>
      </c>
      <c r="AK26" s="2">
        <f t="shared" si="9"/>
        <v>1722.5188016891479</v>
      </c>
      <c r="AL26" s="2">
        <v>1.0965760241106182E-3</v>
      </c>
      <c r="AM26" s="2">
        <f t="shared" si="10"/>
        <v>-1.7805172347732658E-7</v>
      </c>
      <c r="AN26" s="2">
        <f t="shared" si="11"/>
        <v>2.5826179532047353E-6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28.975400367168319</v>
      </c>
      <c r="H27" t="s">
        <v>97</v>
      </c>
      <c r="J27" s="14" t="s">
        <v>66</v>
      </c>
      <c r="K27" s="6">
        <f xml:space="preserve"> $C$80 * (11.5 * ($C$5*2.20462/1000)^0.4 * 0.453592)</f>
        <v>7.1162642347458132</v>
      </c>
      <c r="L27" s="6" t="s">
        <v>7</v>
      </c>
      <c r="N27" s="6" t="s">
        <v>33</v>
      </c>
      <c r="O27" s="6">
        <f xml:space="preserve"> O21 * $C$10 * O26 - $C$7 * SIN(O19/180*PI())</f>
        <v>1.3400153523377298</v>
      </c>
      <c r="P27" s="6" t="s">
        <v>10</v>
      </c>
      <c r="U27" s="2">
        <v>23</v>
      </c>
      <c r="V27" s="2">
        <f t="shared" si="7"/>
        <v>0.97040247917175293</v>
      </c>
      <c r="W27" s="2">
        <f t="shared" si="0"/>
        <v>5.8610784003931826E-9</v>
      </c>
      <c r="X27" s="2">
        <f t="shared" si="8"/>
        <v>0.97040259838104248</v>
      </c>
      <c r="Y27" s="2">
        <f t="shared" si="1"/>
        <v>-1.1567538715784309E-7</v>
      </c>
      <c r="Z27" s="2">
        <f t="shared" si="3"/>
        <v>0.97040253877639771</v>
      </c>
      <c r="AA27" s="2">
        <f t="shared" si="2"/>
        <v>-5.4907154378724954E-8</v>
      </c>
      <c r="AB27" s="2">
        <f t="shared" si="4"/>
        <v>-3.2181513655619879E-16</v>
      </c>
      <c r="AC27" s="2">
        <f t="shared" si="5"/>
        <v>6.3514063404944685E-15</v>
      </c>
      <c r="AD27" s="2">
        <f t="shared" si="6"/>
        <v>1.1920928955078125E-7</v>
      </c>
      <c r="AF27" s="2">
        <v>23</v>
      </c>
      <c r="AG27" s="2">
        <f t="shared" si="13"/>
        <v>1722.5165367126465</v>
      </c>
      <c r="AH27" s="2">
        <v>-1.6237061504398298E-4</v>
      </c>
      <c r="AI27" s="2">
        <f t="shared" si="14"/>
        <v>1722.5188016891479</v>
      </c>
      <c r="AJ27" s="2">
        <v>1.0965760241106182E-3</v>
      </c>
      <c r="AK27" s="2">
        <f t="shared" si="9"/>
        <v>1722.5176692008972</v>
      </c>
      <c r="AL27" s="2">
        <v>4.6692432078998536E-4</v>
      </c>
      <c r="AM27" s="2">
        <f t="shared" si="10"/>
        <v>-7.5814789145663935E-8</v>
      </c>
      <c r="AN27" s="2">
        <f t="shared" si="11"/>
        <v>5.1201801525243302E-7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7.4309434150039086</v>
      </c>
      <c r="H28" s="6" t="s">
        <v>172</v>
      </c>
      <c r="J28" s="14" t="s">
        <v>67</v>
      </c>
      <c r="K28" s="6">
        <f xml:space="preserve"> $C$80 * (8 * ($C$5/1000))</f>
        <v>11.024105500442177</v>
      </c>
      <c r="L28" s="6" t="s">
        <v>7</v>
      </c>
      <c r="N28" s="6" t="s">
        <v>34</v>
      </c>
      <c r="O28" s="6">
        <f xml:space="preserve"> 1/$C$31 - O25 * SQRT( (2*$C$71*PI()*$C$10^2) / O20^3 )</f>
        <v>1.1407350154835609</v>
      </c>
      <c r="U28" s="2">
        <v>24</v>
      </c>
      <c r="V28" s="2">
        <f t="shared" si="7"/>
        <v>0.97040247917175293</v>
      </c>
      <c r="W28" s="2">
        <f t="shared" si="0"/>
        <v>5.8610784003931826E-9</v>
      </c>
      <c r="X28" s="2">
        <f t="shared" si="8"/>
        <v>0.97040253877639771</v>
      </c>
      <c r="Y28" s="2">
        <f t="shared" si="1"/>
        <v>-5.4907154378724954E-8</v>
      </c>
      <c r="Z28" s="2">
        <f t="shared" si="3"/>
        <v>0.97040250897407532</v>
      </c>
      <c r="AA28" s="2">
        <f t="shared" si="2"/>
        <v>-2.4523038044677037E-8</v>
      </c>
      <c r="AB28" s="2">
        <f t="shared" si="4"/>
        <v>-1.4373144859567685E-16</v>
      </c>
      <c r="AC28" s="2">
        <f t="shared" si="5"/>
        <v>1.3464902357544274E-15</v>
      </c>
      <c r="AD28" s="2">
        <f t="shared" si="6"/>
        <v>5.9604644775390625E-8</v>
      </c>
      <c r="AF28" s="2">
        <v>24</v>
      </c>
      <c r="AG28" s="2">
        <f t="shared" si="13"/>
        <v>1722.5165367126465</v>
      </c>
      <c r="AH28" s="2">
        <v>-1.6237061504398298E-4</v>
      </c>
      <c r="AI28" s="2">
        <f t="shared" si="14"/>
        <v>1722.5176692008972</v>
      </c>
      <c r="AJ28" s="2">
        <v>4.6692432078998536E-4</v>
      </c>
      <c r="AK28" s="2">
        <f t="shared" si="9"/>
        <v>1722.5171029567719</v>
      </c>
      <c r="AL28" s="2">
        <v>1.524552938008128E-4</v>
      </c>
      <c r="AM28" s="2">
        <f t="shared" si="10"/>
        <v>-2.47542598211491E-8</v>
      </c>
      <c r="AN28" s="2">
        <f t="shared" si="11"/>
        <v>7.1185084508782184E-8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231.80320293734655</v>
      </c>
      <c r="H29" s="22" t="s">
        <v>97</v>
      </c>
      <c r="J29" s="14" t="s">
        <v>68</v>
      </c>
      <c r="K29" s="6">
        <f xml:space="preserve"> $C$80 * (13 * ($C$5*2.20462/1000)^1.3 * 0.453592)</f>
        <v>26.732833548249655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0.97040247917175293</v>
      </c>
      <c r="W29" s="2">
        <f t="shared" si="0"/>
        <v>5.8610784003931826E-9</v>
      </c>
      <c r="X29" s="2">
        <f t="shared" si="8"/>
        <v>0.97040250897407532</v>
      </c>
      <c r="Y29" s="2">
        <f t="shared" si="1"/>
        <v>-2.4523038044677037E-8</v>
      </c>
      <c r="Z29" s="2">
        <f t="shared" si="3"/>
        <v>0.97040249407291412</v>
      </c>
      <c r="AA29" s="2">
        <f t="shared" si="2"/>
        <v>-9.3309797666307759E-9</v>
      </c>
      <c r="AB29" s="2">
        <f t="shared" si="4"/>
        <v>-5.468960396470546E-17</v>
      </c>
      <c r="AC29" s="2">
        <f t="shared" si="5"/>
        <v>2.2882397181119818E-16</v>
      </c>
      <c r="AD29" s="2">
        <f t="shared" si="6"/>
        <v>2.9802322387695312E-8</v>
      </c>
      <c r="AF29" s="2">
        <v>25</v>
      </c>
      <c r="AG29" s="2">
        <f t="shared" si="13"/>
        <v>1722.5165367126465</v>
      </c>
      <c r="AH29" s="2">
        <v>-1.6237061504398298E-4</v>
      </c>
      <c r="AI29" s="2">
        <f t="shared" si="14"/>
        <v>1722.5171029567719</v>
      </c>
      <c r="AJ29" s="2">
        <v>1.524552938008128E-4</v>
      </c>
      <c r="AK29" s="2">
        <f t="shared" si="9"/>
        <v>1722.5168198347092</v>
      </c>
      <c r="AL29" s="2">
        <v>-4.9576578931009863E-6</v>
      </c>
      <c r="AM29" s="2">
        <f t="shared" si="10"/>
        <v>8.0497796128046396E-10</v>
      </c>
      <c r="AN29" s="2">
        <f t="shared" si="11"/>
        <v>-7.5582119065662942E-10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-1.9149727722833632E-4</v>
      </c>
      <c r="L30" s="9" t="s">
        <v>7</v>
      </c>
      <c r="N30" s="6" t="s">
        <v>36</v>
      </c>
      <c r="O30" s="6">
        <f xml:space="preserve"> 1/$C$77 * LN( EXP($C$77 * O28) + EXP($C$77 * O29) )</f>
        <v>1.1687932826393936</v>
      </c>
      <c r="U30" s="2">
        <v>26</v>
      </c>
      <c r="V30" s="2">
        <f>IF(AB29&gt;0, Z29, V29)</f>
        <v>0.97040247917175293</v>
      </c>
      <c r="W30" s="2">
        <f t="shared" si="0"/>
        <v>5.8610784003931826E-9</v>
      </c>
      <c r="X30" s="2">
        <f t="shared" si="8"/>
        <v>0.97040249407291412</v>
      </c>
      <c r="Y30" s="2">
        <f t="shared" si="1"/>
        <v>-9.3309797666307759E-9</v>
      </c>
      <c r="Z30" s="2">
        <f t="shared" si="3"/>
        <v>0.97040248662233353</v>
      </c>
      <c r="AA30" s="2">
        <f t="shared" si="2"/>
        <v>-1.7349506276076454E-9</v>
      </c>
      <c r="AB30" s="2">
        <f t="shared" si="4"/>
        <v>-1.0168681649219767E-17</v>
      </c>
      <c r="AC30" s="2">
        <f t="shared" si="5"/>
        <v>1.6188789202310305E-17</v>
      </c>
      <c r="AD30" s="2">
        <f t="shared" si="6"/>
        <v>1.4901161193847656E-8</v>
      </c>
      <c r="AF30" s="2">
        <v>26</v>
      </c>
      <c r="AG30" s="2">
        <f t="shared" si="13"/>
        <v>1722.5168198347092</v>
      </c>
      <c r="AH30" s="2">
        <v>-4.9576578931009863E-6</v>
      </c>
      <c r="AI30" s="2">
        <f t="shared" si="14"/>
        <v>1722.5171029567719</v>
      </c>
      <c r="AJ30" s="2">
        <v>1.524552938008128E-4</v>
      </c>
      <c r="AK30" s="2">
        <f t="shared" si="9"/>
        <v>1722.5169613957405</v>
      </c>
      <c r="AL30" s="2">
        <v>7.3570389304222772E-5</v>
      </c>
      <c r="AM30" s="2">
        <f t="shared" si="10"/>
        <v>-3.647368212325924E-10</v>
      </c>
      <c r="AN30" s="2">
        <f t="shared" si="11"/>
        <v>1.1216195316415458E-8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0.97040247917175293</v>
      </c>
      <c r="W31" s="2">
        <f t="shared" si="0"/>
        <v>5.8610784003931826E-9</v>
      </c>
      <c r="X31" s="2">
        <f t="shared" si="8"/>
        <v>0.97040248662233353</v>
      </c>
      <c r="Y31" s="2">
        <f t="shared" si="1"/>
        <v>-1.7349506276076454E-9</v>
      </c>
      <c r="Z31" s="2">
        <f t="shared" si="3"/>
        <v>0.97040248289704323</v>
      </c>
      <c r="AA31" s="2">
        <f t="shared" si="2"/>
        <v>2.0630639419039198E-9</v>
      </c>
      <c r="AB31" s="2">
        <f t="shared" si="4"/>
        <v>1.209177950852308E-17</v>
      </c>
      <c r="AC31" s="2">
        <f t="shared" si="5"/>
        <v>-3.5793140808009086E-18</v>
      </c>
      <c r="AD31" s="2">
        <f t="shared" si="6"/>
        <v>7.4505805969238281E-9</v>
      </c>
      <c r="AF31" s="2">
        <v>27</v>
      </c>
      <c r="AG31" s="2">
        <f t="shared" si="13"/>
        <v>1722.5168198347092</v>
      </c>
      <c r="AH31" s="2">
        <v>-4.9576578931009863E-6</v>
      </c>
      <c r="AI31" s="2">
        <f t="shared" si="14"/>
        <v>1722.5169613957405</v>
      </c>
      <c r="AJ31" s="2">
        <v>7.3570389304222772E-5</v>
      </c>
      <c r="AK31" s="2">
        <f t="shared" si="9"/>
        <v>1722.5168906152248</v>
      </c>
      <c r="AL31" s="2">
        <v>3.4484794923628215E-5</v>
      </c>
      <c r="AM31" s="2">
        <f t="shared" si="10"/>
        <v>-1.7096381574509424E-10</v>
      </c>
      <c r="AN31" s="2">
        <f t="shared" si="11"/>
        <v>2.537059787607613E-9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0.97040248289704323</v>
      </c>
      <c r="W32" s="2">
        <f t="shared" si="0"/>
        <v>2.0630639419039198E-9</v>
      </c>
      <c r="X32" s="2">
        <f t="shared" si="8"/>
        <v>0.97040248662233353</v>
      </c>
      <c r="Y32" s="2">
        <f t="shared" si="1"/>
        <v>-1.7349506276076454E-9</v>
      </c>
      <c r="Z32" s="2">
        <f t="shared" si="3"/>
        <v>0.97040248475968838</v>
      </c>
      <c r="AA32" s="2">
        <f t="shared" si="2"/>
        <v>1.6405665714813722E-10</v>
      </c>
      <c r="AB32" s="2">
        <f t="shared" si="4"/>
        <v>3.3845937379161586E-19</v>
      </c>
      <c r="AC32" s="2">
        <f t="shared" si="5"/>
        <v>-2.8463020028237297E-19</v>
      </c>
      <c r="AD32" s="2">
        <f t="shared" si="6"/>
        <v>3.7252902984619141E-9</v>
      </c>
      <c r="AF32" s="2">
        <v>28</v>
      </c>
      <c r="AG32" s="2">
        <f t="shared" si="13"/>
        <v>1722.5168198347092</v>
      </c>
      <c r="AH32" s="2">
        <v>-4.9576578931009863E-6</v>
      </c>
      <c r="AI32" s="2">
        <f t="shared" si="14"/>
        <v>1722.5168906152248</v>
      </c>
      <c r="AJ32" s="2">
        <v>3.4484794923628215E-5</v>
      </c>
      <c r="AK32" s="2">
        <f t="shared" si="9"/>
        <v>1722.516855224967</v>
      </c>
      <c r="AL32" s="2">
        <v>1.4763568515263614E-5</v>
      </c>
      <c r="AM32" s="2">
        <f t="shared" si="10"/>
        <v>-7.3192721980033866E-11</v>
      </c>
      <c r="AN32" s="2">
        <f t="shared" si="11"/>
        <v>5.0911863258980002E-10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106.06565638468877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0.97040248475968838</v>
      </c>
      <c r="W33" s="2">
        <f t="shared" si="0"/>
        <v>1.6405665714813722E-10</v>
      </c>
      <c r="X33" s="2">
        <f t="shared" si="8"/>
        <v>0.97040248662233353</v>
      </c>
      <c r="Y33" s="2">
        <f t="shared" si="1"/>
        <v>-1.7349506276076454E-9</v>
      </c>
      <c r="Z33" s="2">
        <f t="shared" si="3"/>
        <v>0.97040248569101095</v>
      </c>
      <c r="AA33" s="2">
        <f t="shared" si="2"/>
        <v>-7.8544704074090532E-10</v>
      </c>
      <c r="AB33" s="2">
        <f t="shared" si="4"/>
        <v>-1.2885781587084967E-19</v>
      </c>
      <c r="AC33" s="2">
        <f t="shared" si="5"/>
        <v>1.3627118362860015E-18</v>
      </c>
      <c r="AD33" s="2">
        <f t="shared" si="6"/>
        <v>1.862645149230957E-9</v>
      </c>
      <c r="AF33" s="2">
        <v>29</v>
      </c>
      <c r="AG33" s="2">
        <f t="shared" si="13"/>
        <v>1722.5168198347092</v>
      </c>
      <c r="AH33" s="2">
        <v>-4.9576578931009863E-6</v>
      </c>
      <c r="AI33" s="2">
        <f t="shared" si="14"/>
        <v>1722.516855224967</v>
      </c>
      <c r="AJ33" s="2">
        <v>1.4763568515263614E-5</v>
      </c>
      <c r="AK33" s="2">
        <f t="shared" si="9"/>
        <v>1722.5168375298381</v>
      </c>
      <c r="AL33" s="2">
        <v>4.9029554247681517E-6</v>
      </c>
      <c r="AM33" s="2">
        <f t="shared" si="10"/>
        <v>-2.4307175661124126E-11</v>
      </c>
      <c r="AN33" s="2">
        <f t="shared" si="11"/>
        <v>7.2385118340848025E-11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34.83</v>
      </c>
      <c r="L34" s="6" t="s">
        <v>59</v>
      </c>
      <c r="U34" s="2">
        <v>30</v>
      </c>
      <c r="V34" s="2">
        <f t="shared" si="7"/>
        <v>0.97040248475968838</v>
      </c>
      <c r="W34" s="2">
        <f t="shared" si="0"/>
        <v>1.6405665714813722E-10</v>
      </c>
      <c r="X34" s="2">
        <f t="shared" si="8"/>
        <v>0.97040248569101095</v>
      </c>
      <c r="Y34" s="2">
        <f t="shared" si="1"/>
        <v>-7.8544704074090532E-10</v>
      </c>
      <c r="Z34" s="2">
        <f t="shared" si="3"/>
        <v>0.97040248522534966</v>
      </c>
      <c r="AA34" s="2">
        <f t="shared" si="2"/>
        <v>-3.1069524730753528E-10</v>
      </c>
      <c r="AB34" s="2">
        <f t="shared" si="4"/>
        <v>-5.0971623665088019E-20</v>
      </c>
      <c r="AC34" s="2">
        <f t="shared" si="5"/>
        <v>2.4403466256996732E-19</v>
      </c>
      <c r="AD34" s="2">
        <f t="shared" si="6"/>
        <v>9.3132257461547852E-10</v>
      </c>
      <c r="AF34" s="2">
        <v>30</v>
      </c>
      <c r="AG34" s="2">
        <f t="shared" si="13"/>
        <v>1722.5168198347092</v>
      </c>
      <c r="AH34" s="2">
        <v>-4.9576578931009863E-6</v>
      </c>
      <c r="AI34" s="2">
        <f t="shared" si="14"/>
        <v>1722.5168375298381</v>
      </c>
      <c r="AJ34" s="2">
        <v>4.9029554247681517E-6</v>
      </c>
      <c r="AK34" s="2">
        <f t="shared" si="9"/>
        <v>1722.5168286822736</v>
      </c>
      <c r="AL34" s="2">
        <v>-2.7351461540092714E-8</v>
      </c>
      <c r="AM34" s="2">
        <f t="shared" si="10"/>
        <v>1.355991891920887E-13</v>
      </c>
      <c r="AN34" s="2">
        <f t="shared" si="11"/>
        <v>-1.3410299673333504E-13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21.22</v>
      </c>
      <c r="L35" s="6" t="s">
        <v>59</v>
      </c>
      <c r="AF35" s="2">
        <v>31</v>
      </c>
      <c r="AG35" s="2">
        <f t="shared" si="13"/>
        <v>1722.5168286822736</v>
      </c>
      <c r="AH35" s="2">
        <v>-2.7351461540092714E-8</v>
      </c>
      <c r="AI35" s="2">
        <f t="shared" si="14"/>
        <v>1722.5168375298381</v>
      </c>
      <c r="AJ35" s="2">
        <v>4.9029554247681517E-6</v>
      </c>
      <c r="AK35" s="2">
        <f t="shared" si="9"/>
        <v>1722.5168331060559</v>
      </c>
      <c r="AL35" s="2">
        <v>2.4378020953008672E-6</v>
      </c>
      <c r="AM35" s="2">
        <f t="shared" si="10"/>
        <v>-6.6677450251979103E-14</v>
      </c>
      <c r="AN35" s="2">
        <f t="shared" si="11"/>
        <v>1.1952435007666554E-11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15.74</v>
      </c>
      <c r="L36" s="6" t="s">
        <v>59</v>
      </c>
      <c r="AF36" s="2">
        <v>32</v>
      </c>
      <c r="AG36" s="2">
        <f t="shared" si="13"/>
        <v>1722.5168286822736</v>
      </c>
      <c r="AH36" s="2">
        <v>-2.7351461540092714E-8</v>
      </c>
      <c r="AI36" s="2">
        <f t="shared" si="14"/>
        <v>1722.5168331060559</v>
      </c>
      <c r="AJ36" s="2">
        <v>2.4378020953008672E-6</v>
      </c>
      <c r="AK36" s="2">
        <f t="shared" si="9"/>
        <v>1722.5168308941647</v>
      </c>
      <c r="AL36" s="2">
        <v>1.2052253168803873E-6</v>
      </c>
      <c r="AM36" s="2">
        <f t="shared" si="10"/>
        <v>-3.2964673901799966E-14</v>
      </c>
      <c r="AN36" s="2">
        <f t="shared" si="11"/>
        <v>2.9381008028006597E-12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23.46</v>
      </c>
      <c r="L37" s="6" t="s">
        <v>59</v>
      </c>
      <c r="AF37" s="2">
        <v>33</v>
      </c>
      <c r="AG37" s="2">
        <f t="shared" si="13"/>
        <v>1722.5168286822736</v>
      </c>
      <c r="AH37" s="2">
        <v>-2.7351461540092714E-8</v>
      </c>
      <c r="AI37" s="2">
        <f t="shared" si="14"/>
        <v>1722.5168308941647</v>
      </c>
      <c r="AJ37" s="2">
        <v>1.2052253168803873E-6</v>
      </c>
      <c r="AK37" s="2">
        <f t="shared" si="9"/>
        <v>1722.5168297882192</v>
      </c>
      <c r="AL37" s="2">
        <v>5.8893715504382271E-7</v>
      </c>
      <c r="AM37" s="2">
        <f t="shared" si="10"/>
        <v>-1.6108291945712737E-14</v>
      </c>
      <c r="AN37" s="2">
        <f t="shared" si="11"/>
        <v>7.0980196931032499E-13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1722.5168286822736</v>
      </c>
      <c r="AH38" s="2">
        <v>-2.7351461540092714E-8</v>
      </c>
      <c r="AI38" s="2">
        <f t="shared" si="14"/>
        <v>1722.5168297882192</v>
      </c>
      <c r="AJ38" s="2">
        <v>5.8893715504382271E-7</v>
      </c>
      <c r="AK38" s="2">
        <f t="shared" si="9"/>
        <v>1722.5168292352464</v>
      </c>
      <c r="AL38" s="2">
        <v>2.80792846751865E-7</v>
      </c>
      <c r="AM38" s="2">
        <f t="shared" si="10"/>
        <v>-7.6800947486667829E-15</v>
      </c>
      <c r="AN38" s="2">
        <f t="shared" si="11"/>
        <v>1.6536934032269947E-13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1722.5168286822736</v>
      </c>
      <c r="AH39" s="2">
        <v>-2.7351461540092714E-8</v>
      </c>
      <c r="AI39" s="2">
        <f t="shared" si="14"/>
        <v>1722.5168292352464</v>
      </c>
      <c r="AJ39" s="2">
        <v>2.80792846751865E-7</v>
      </c>
      <c r="AK39" s="2">
        <f t="shared" si="9"/>
        <v>1722.51682895876</v>
      </c>
      <c r="AL39" s="2">
        <v>1.2672080629272386E-7</v>
      </c>
      <c r="AM39" s="2">
        <f t="shared" si="10"/>
        <v>-3.4659992596449756E-15</v>
      </c>
      <c r="AN39" s="2">
        <f t="shared" si="11"/>
        <v>3.5582295941625582E-14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1722.5168286822736</v>
      </c>
      <c r="AH40" s="2">
        <v>-2.7351461540092714E-8</v>
      </c>
      <c r="AI40" s="2">
        <f t="shared" si="14"/>
        <v>1722.51682895876</v>
      </c>
      <c r="AJ40" s="2">
        <v>1.2672080629272386E-7</v>
      </c>
      <c r="AK40" s="2">
        <f t="shared" si="9"/>
        <v>1722.5168288205168</v>
      </c>
      <c r="AL40" s="2">
        <v>4.9684786063153297E-8</v>
      </c>
      <c r="AM40" s="2">
        <f t="shared" si="10"/>
        <v>-1.3589515151340719E-15</v>
      </c>
      <c r="AN40" s="2">
        <f t="shared" si="11"/>
        <v>6.2960961504042752E-15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1722.5168286822736</v>
      </c>
      <c r="AH41" s="2">
        <v>-2.7351461540092714E-8</v>
      </c>
      <c r="AI41" s="2">
        <f t="shared" si="14"/>
        <v>1722.5168288205168</v>
      </c>
      <c r="AJ41" s="2">
        <v>4.9684786063153297E-8</v>
      </c>
      <c r="AK41" s="2">
        <f t="shared" si="9"/>
        <v>1722.5168287513952</v>
      </c>
      <c r="AL41" s="2">
        <v>1.116654857469257E-8</v>
      </c>
      <c r="AM41" s="2">
        <f t="shared" si="10"/>
        <v>-3.0542142387628093E-16</v>
      </c>
      <c r="AN41" s="2">
        <f t="shared" si="11"/>
        <v>5.548075769974097E-16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1722.5168286822736</v>
      </c>
      <c r="AH42" s="2">
        <v>-2.7351461540092714E-8</v>
      </c>
      <c r="AI42" s="2">
        <f t="shared" si="14"/>
        <v>1722.5168287513952</v>
      </c>
      <c r="AJ42" s="2">
        <v>1.116654857469257E-8</v>
      </c>
      <c r="AK42" s="2">
        <f t="shared" si="9"/>
        <v>1722.5168287168344</v>
      </c>
      <c r="AL42" s="2">
        <v>-8.092229109024629E-9</v>
      </c>
      <c r="AM42" s="2">
        <f t="shared" si="10"/>
        <v>2.2133429324910587E-16</v>
      </c>
      <c r="AN42" s="2">
        <f t="shared" si="11"/>
        <v>-9.0362269423464694E-17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365.43</v>
      </c>
      <c r="L43" s="6" t="s">
        <v>7</v>
      </c>
      <c r="AF43" s="2">
        <v>39</v>
      </c>
      <c r="AG43" s="2">
        <f t="shared" si="13"/>
        <v>1722.5168287168344</v>
      </c>
      <c r="AH43" s="2">
        <v>-8.092229109024629E-9</v>
      </c>
      <c r="AI43" s="2">
        <f t="shared" si="14"/>
        <v>1722.5168287513952</v>
      </c>
      <c r="AJ43" s="2">
        <v>1.116654857469257E-8</v>
      </c>
      <c r="AK43" s="2">
        <f t="shared" si="9"/>
        <v>1722.5168287341148</v>
      </c>
      <c r="AL43" s="2">
        <v>1.5370460459962487E-9</v>
      </c>
      <c r="AM43" s="2">
        <f t="shared" si="10"/>
        <v>-1.2438128755322053E-17</v>
      </c>
      <c r="AN43" s="2">
        <f t="shared" si="11"/>
        <v>1.7163499334156261E-17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271.14999999999998</v>
      </c>
      <c r="L44" s="6" t="s">
        <v>7</v>
      </c>
      <c r="AF44" s="2">
        <v>40</v>
      </c>
      <c r="AG44" s="2">
        <f t="shared" si="13"/>
        <v>1722.5168287168344</v>
      </c>
      <c r="AH44" s="2">
        <v>-8.092229109024629E-9</v>
      </c>
      <c r="AI44" s="2">
        <f t="shared" si="14"/>
        <v>1722.5168287341148</v>
      </c>
      <c r="AJ44" s="2">
        <v>1.5370460459962487E-9</v>
      </c>
      <c r="AK44" s="5">
        <f t="shared" si="9"/>
        <v>1722.5168287254746</v>
      </c>
      <c r="AL44" s="2">
        <v>-3.2775915315141901E-9</v>
      </c>
      <c r="AM44" s="2">
        <f t="shared" si="10"/>
        <v>2.6523021598811744E-17</v>
      </c>
      <c r="AN44" s="2">
        <f t="shared" si="11"/>
        <v>-5.0378091039046752E-18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404.13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81.8</v>
      </c>
      <c r="L46" s="6" t="s">
        <v>7</v>
      </c>
    </row>
    <row r="47" spans="2:41" x14ac:dyDescent="0.2">
      <c r="J47" s="9" t="s">
        <v>60</v>
      </c>
      <c r="K47" s="9">
        <f>SUM(K42:K46)</f>
        <v>1722.51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41" priority="1" operator="containsText" text="FALSE">
      <formula>NOT(ISERROR(SEARCH("FALSE",K31)))</formula>
    </cfRule>
    <cfRule type="containsText" dxfId="40" priority="2" operator="containsText" text="TRUE">
      <formula>NOT(ISERROR(SEARCH("TRUE",K31)))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NOT(ISERROR(SEARCH("YES",K31)))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339.47402565429661</v>
      </c>
      <c r="L4" s="6" t="s">
        <v>97</v>
      </c>
      <c r="N4" s="6" t="s">
        <v>131</v>
      </c>
      <c r="O4" s="6">
        <f xml:space="preserve"> $C$5 * $C$74</f>
        <v>15240.555296171522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1.1672740591896811</v>
      </c>
      <c r="X4" s="3">
        <v>1</v>
      </c>
      <c r="Y4" s="2">
        <f t="shared" ref="Y4:Y34" si="1" xml:space="preserve"> $O$22 * TAN($O$19/180*PI()) + $O$23 / (2 * SQRT($O$22^2 + X4^2)) - X4</f>
        <v>-3.0768927369751897E-2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0.48677893888915735</v>
      </c>
      <c r="AB4" s="2">
        <f>W4*AA4</f>
        <v>0.56820442792519243</v>
      </c>
      <c r="AC4" s="2">
        <f>Y4*AA4</f>
        <v>-1.4977665815805379E-2</v>
      </c>
      <c r="AD4" s="2">
        <f>X4-V4</f>
        <v>1</v>
      </c>
      <c r="AF4" s="2">
        <v>0</v>
      </c>
      <c r="AH4" s="2">
        <f>K30</f>
        <v>-3.6640867051573878E-5</v>
      </c>
      <c r="AJ4" s="2">
        <f>K30</f>
        <v>-3.6640867051573878E-5</v>
      </c>
      <c r="AL4" s="2">
        <f>K30</f>
        <v>-3.6640867051573878E-5</v>
      </c>
    </row>
    <row r="5" spans="2:41" x14ac:dyDescent="0.2">
      <c r="B5" s="9" t="s">
        <v>38</v>
      </c>
      <c r="C5" s="9">
        <v>1555.0708477829201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42.434253206787076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0.48677893888915735</v>
      </c>
      <c r="X5" s="2">
        <f>IF(AC4&gt;0, Z4, X4)</f>
        <v>1</v>
      </c>
      <c r="Y5" s="2">
        <f t="shared" si="1"/>
        <v>-3.0768927369751897E-2</v>
      </c>
      <c r="Z5" s="2">
        <f t="shared" ref="Z5:Z34" si="3" xml:space="preserve"> (V5 + X5)/2</f>
        <v>0.75</v>
      </c>
      <c r="AA5" s="2">
        <f t="shared" si="2"/>
        <v>0.22513807220899407</v>
      </c>
      <c r="AB5" s="2">
        <f t="shared" ref="AB5:AB34" si="4">W5*AA5</f>
        <v>0.10959247189344462</v>
      </c>
      <c r="AC5" s="2">
        <f t="shared" ref="AC5:AC34" si="5">Y5*AA5</f>
        <v>-6.9272569919644963E-3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-658.5824891297043</v>
      </c>
      <c r="AI5" s="3">
        <v>10000</v>
      </c>
      <c r="AJ5" s="2">
        <f t="dataTable" ref="AJ5:AJ44" dt2D="0" dtr="0" r1="C5"/>
        <v>4202.4587400203718</v>
      </c>
      <c r="AK5" s="2">
        <f>(AG5+AI5)/2</f>
        <v>5250</v>
      </c>
      <c r="AL5" s="2">
        <f t="dataTable" ref="AL5:AL44" dt2D="0" dtr="0" r1="C5" ca="1"/>
        <v>1814.1796837809593</v>
      </c>
      <c r="AM5" s="2">
        <f>AH5*AL5</f>
        <v>-1194786.971873004</v>
      </c>
      <c r="AN5" s="2">
        <f>AJ5*AL5</f>
        <v>7624015.2680726871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153.86981413531268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0.17574920468617161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0.22513807220899407</v>
      </c>
      <c r="X6" s="2">
        <f t="shared" ref="X6:X34" si="8">IF(AC5&gt;0, Z5, X5)</f>
        <v>1</v>
      </c>
      <c r="Y6" s="2">
        <f t="shared" si="1"/>
        <v>-3.0768927369751897E-2</v>
      </c>
      <c r="Z6" s="2">
        <f t="shared" si="3"/>
        <v>0.875</v>
      </c>
      <c r="AA6" s="2">
        <f t="shared" si="2"/>
        <v>9.676839641790469E-2</v>
      </c>
      <c r="AB6" s="2">
        <f t="shared" si="4"/>
        <v>2.1786250220282789E-2</v>
      </c>
      <c r="AC6" s="2">
        <f t="shared" si="5"/>
        <v>-2.977459761069869E-3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-658.5824891297043</v>
      </c>
      <c r="AI6" s="2">
        <f>IF(AN5&gt;0,AK5,AI5)</f>
        <v>5250</v>
      </c>
      <c r="AJ6" s="2">
        <v>1814.1796837809593</v>
      </c>
      <c r="AK6" s="2">
        <f t="shared" ref="AK6:AK44" si="9">(AG6+AI6)/2</f>
        <v>2875</v>
      </c>
      <c r="AL6" s="2">
        <v>741.17386582669201</v>
      </c>
      <c r="AM6" s="2">
        <f t="shared" ref="AM6:AM44" si="10">AH6*AL6</f>
        <v>-488124.12943402829</v>
      </c>
      <c r="AN6" s="2">
        <f t="shared" ref="AN6:AN44" si="11">AJ6*AL6</f>
        <v>1344622.5695321793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1905.2516522629692</v>
      </c>
      <c r="H7" s="6" t="s">
        <v>21</v>
      </c>
      <c r="J7" s="6" t="s">
        <v>133</v>
      </c>
      <c r="K7" s="6">
        <f>K6/$C$28</f>
        <v>153.86981413531268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9.676839641790469E-2</v>
      </c>
      <c r="X7" s="2">
        <f t="shared" si="8"/>
        <v>1</v>
      </c>
      <c r="Y7" s="2">
        <f t="shared" si="1"/>
        <v>-3.0768927369751897E-2</v>
      </c>
      <c r="Z7" s="2">
        <f t="shared" si="3"/>
        <v>0.9375</v>
      </c>
      <c r="AA7" s="2">
        <f t="shared" si="2"/>
        <v>3.2916152066746807E-2</v>
      </c>
      <c r="AB7" s="2">
        <f t="shared" si="4"/>
        <v>3.1852432517469878E-3</v>
      </c>
      <c r="AC7" s="2">
        <f t="shared" si="5"/>
        <v>-1.0127946922334414E-3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-658.5824891297043</v>
      </c>
      <c r="AI7" s="2">
        <f t="shared" ref="AI7:AI44" si="14">IF(AN6&gt;0,AK6,AI6)</f>
        <v>2875</v>
      </c>
      <c r="AJ7" s="2">
        <v>741.17386582669201</v>
      </c>
      <c r="AK7" s="2">
        <f t="shared" si="9"/>
        <v>1687.5</v>
      </c>
      <c r="AL7" s="2">
        <v>78.953299925318674</v>
      </c>
      <c r="AM7" s="2">
        <f t="shared" si="10"/>
        <v>-51997.260789820466</v>
      </c>
      <c r="AN7" s="2">
        <f t="shared" si="11"/>
        <v>58518.122525422717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28.289502137858051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3.2916152066746807E-2</v>
      </c>
      <c r="X8" s="2">
        <f t="shared" si="8"/>
        <v>1</v>
      </c>
      <c r="Y8" s="2">
        <f t="shared" si="1"/>
        <v>-3.0768927369751897E-2</v>
      </c>
      <c r="Z8" s="2">
        <f t="shared" si="3"/>
        <v>0.96875</v>
      </c>
      <c r="AA8" s="2">
        <f t="shared" si="2"/>
        <v>1.0547083887035846E-3</v>
      </c>
      <c r="AB8" s="2">
        <f t="shared" si="4"/>
        <v>3.4716941708640691E-5</v>
      </c>
      <c r="AC8" s="2">
        <f t="shared" si="5"/>
        <v>-3.2452245808288648E-5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-658.5824891297043</v>
      </c>
      <c r="AI8" s="2">
        <f t="shared" si="14"/>
        <v>1687.5</v>
      </c>
      <c r="AJ8" s="2">
        <v>78.953299925318674</v>
      </c>
      <c r="AK8" s="2">
        <f t="shared" si="9"/>
        <v>1093.75</v>
      </c>
      <c r="AL8" s="2">
        <v>-282.47093789894302</v>
      </c>
      <c r="AM8" s="2">
        <f t="shared" si="10"/>
        <v>186030.41338828803</v>
      </c>
      <c r="AN8" s="2">
        <f t="shared" si="11"/>
        <v>-22302.012680121315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6.8712363697886856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1.0547083887035846E-3</v>
      </c>
      <c r="X9" s="2">
        <f t="shared" si="8"/>
        <v>1</v>
      </c>
      <c r="Y9" s="2">
        <f t="shared" si="1"/>
        <v>-3.0768927369751897E-2</v>
      </c>
      <c r="Z9" s="2">
        <f t="shared" si="3"/>
        <v>0.984375</v>
      </c>
      <c r="AA9" s="2">
        <f t="shared" si="2"/>
        <v>-1.4861613674415963E-2</v>
      </c>
      <c r="AB9" s="2">
        <f t="shared" si="4"/>
        <v>-1.5674668612078422E-5</v>
      </c>
      <c r="AC9" s="2">
        <f t="shared" si="5"/>
        <v>4.572759117454164E-4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-282.47093789894302</v>
      </c>
      <c r="AI9" s="2">
        <f t="shared" si="14"/>
        <v>1687.5</v>
      </c>
      <c r="AJ9" s="2">
        <v>78.953299925318674</v>
      </c>
      <c r="AK9" s="2">
        <f t="shared" si="9"/>
        <v>1390.625</v>
      </c>
      <c r="AL9" s="2">
        <v>-99.40286513835099</v>
      </c>
      <c r="AM9" s="2">
        <f t="shared" si="10"/>
        <v>28078.420545472152</v>
      </c>
      <c r="AN9" s="2">
        <f t="shared" si="11"/>
        <v>-7848.1842247042296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226.31601710286441</v>
      </c>
      <c r="H10" s="22" t="s">
        <v>97</v>
      </c>
      <c r="J10" s="6" t="s">
        <v>92</v>
      </c>
      <c r="K10" s="6">
        <f xml:space="preserve"> $C$18 * (G10*G6 + G20*G13 + G29*G25 + G33*G32)/3600</f>
        <v>93.815671262916979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1.0547083887035846E-3</v>
      </c>
      <c r="X10" s="2">
        <f t="shared" si="8"/>
        <v>0.984375</v>
      </c>
      <c r="Y10" s="2">
        <f t="shared" si="1"/>
        <v>-1.4861613674415963E-2</v>
      </c>
      <c r="Z10" s="2">
        <f t="shared" si="3"/>
        <v>0.9765625</v>
      </c>
      <c r="AA10" s="2">
        <f t="shared" si="2"/>
        <v>-6.9046053257347806E-3</v>
      </c>
      <c r="AB10" s="2">
        <f t="shared" si="4"/>
        <v>-7.2823451577399196E-6</v>
      </c>
      <c r="AC10" s="2">
        <f t="shared" si="5"/>
        <v>1.026135769253853E-4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-99.40286513835099</v>
      </c>
      <c r="AI10" s="2">
        <f t="shared" si="14"/>
        <v>1687.5</v>
      </c>
      <c r="AJ10" s="2">
        <v>78.953299925318674</v>
      </c>
      <c r="AK10" s="2">
        <f t="shared" si="9"/>
        <v>1539.0625</v>
      </c>
      <c r="AL10" s="2">
        <v>-9.6109936647519589</v>
      </c>
      <c r="AM10" s="2">
        <f t="shared" si="10"/>
        <v>955.36030710288469</v>
      </c>
      <c r="AN10" s="2">
        <f t="shared" si="11"/>
        <v>-758.81966539349912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1.0547083887035846E-3</v>
      </c>
      <c r="X11" s="2">
        <f t="shared" si="8"/>
        <v>0.9765625</v>
      </c>
      <c r="Y11" s="2">
        <f t="shared" si="1"/>
        <v>-6.9046053257347806E-3</v>
      </c>
      <c r="Z11" s="2">
        <f t="shared" si="3"/>
        <v>0.97265625</v>
      </c>
      <c r="AA11" s="2">
        <f t="shared" si="2"/>
        <v>-2.9252400607552298E-3</v>
      </c>
      <c r="AB11" s="2">
        <f t="shared" si="4"/>
        <v>-3.0852752310503243E-6</v>
      </c>
      <c r="AC11" s="2">
        <f t="shared" si="5"/>
        <v>2.0197628102543294E-5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-9.6109936647519589</v>
      </c>
      <c r="AI11" s="2">
        <f t="shared" si="14"/>
        <v>1687.5</v>
      </c>
      <c r="AJ11" s="2">
        <v>78.953299925318674</v>
      </c>
      <c r="AK11" s="2">
        <f t="shared" si="9"/>
        <v>1613.28125</v>
      </c>
      <c r="AL11" s="2">
        <v>34.826706638440669</v>
      </c>
      <c r="AM11" s="2">
        <f t="shared" si="10"/>
        <v>-334.71925686622825</v>
      </c>
      <c r="AN11" s="2">
        <f t="shared" si="11"/>
        <v>2749.6834146358929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0.22404702253680367</v>
      </c>
      <c r="U12" s="2">
        <v>8</v>
      </c>
      <c r="V12" s="2">
        <f t="shared" si="7"/>
        <v>0.96875</v>
      </c>
      <c r="W12" s="2">
        <f t="shared" si="0"/>
        <v>1.0547083887035846E-3</v>
      </c>
      <c r="X12" s="2">
        <f t="shared" si="8"/>
        <v>0.97265625</v>
      </c>
      <c r="Y12" s="2">
        <f t="shared" si="1"/>
        <v>-2.9252400607552298E-3</v>
      </c>
      <c r="Z12" s="2">
        <f t="shared" si="3"/>
        <v>0.970703125</v>
      </c>
      <c r="AA12" s="2">
        <f t="shared" si="2"/>
        <v>-9.353391676893974E-4</v>
      </c>
      <c r="AB12" s="2">
        <f t="shared" si="4"/>
        <v>-9.8651006644503628E-7</v>
      </c>
      <c r="AC12" s="2">
        <f t="shared" si="5"/>
        <v>2.7360916037184788E-6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-9.6109936647519589</v>
      </c>
      <c r="AI12" s="2">
        <f t="shared" si="14"/>
        <v>1613.28125</v>
      </c>
      <c r="AJ12" s="2">
        <v>34.826706638440669</v>
      </c>
      <c r="AK12" s="2">
        <f t="shared" si="9"/>
        <v>1576.171875</v>
      </c>
      <c r="AL12" s="2">
        <v>12.646514064416806</v>
      </c>
      <c r="AM12" s="2">
        <f t="shared" si="10"/>
        <v>-121.54556655430648</v>
      </c>
      <c r="AN12" s="2">
        <f t="shared" si="11"/>
        <v>440.43643532035804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2.1475968324962628E-2</v>
      </c>
      <c r="U13" s="2">
        <v>9</v>
      </c>
      <c r="V13" s="2">
        <f t="shared" si="7"/>
        <v>0.96875</v>
      </c>
      <c r="W13" s="2">
        <f t="shared" si="0"/>
        <v>1.0547083887035846E-3</v>
      </c>
      <c r="X13" s="2">
        <f t="shared" si="8"/>
        <v>0.970703125</v>
      </c>
      <c r="Y13" s="2">
        <f t="shared" si="1"/>
        <v>-9.353391676893974E-4</v>
      </c>
      <c r="Z13" s="2">
        <f t="shared" si="3"/>
        <v>0.9697265625</v>
      </c>
      <c r="AA13" s="2">
        <f t="shared" si="2"/>
        <v>5.9666223015675257E-5</v>
      </c>
      <c r="AB13" s="2">
        <f t="shared" si="4"/>
        <v>6.293046593689159E-8</v>
      </c>
      <c r="AC13" s="2">
        <f t="shared" si="5"/>
        <v>-5.5808155374651665E-8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-9.6109936647519589</v>
      </c>
      <c r="AI13" s="2">
        <f t="shared" si="14"/>
        <v>1576.171875</v>
      </c>
      <c r="AJ13" s="2">
        <v>12.646514064416806</v>
      </c>
      <c r="AK13" s="2">
        <f t="shared" si="9"/>
        <v>1557.6171875</v>
      </c>
      <c r="AL13" s="2">
        <v>1.5273931544937795</v>
      </c>
      <c r="AM13" s="2">
        <f t="shared" si="10"/>
        <v>-14.679765931425225</v>
      </c>
      <c r="AN13" s="2">
        <f t="shared" si="11"/>
        <v>19.316199010199533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1555.0708477829201</v>
      </c>
      <c r="L14" s="6" t="s">
        <v>7</v>
      </c>
      <c r="N14" s="6" t="s">
        <v>40</v>
      </c>
      <c r="O14" s="6">
        <f xml:space="preserve"> O5 * O13 * $C$12</f>
        <v>1460.8794131225525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5.9666223015675257E-5</v>
      </c>
      <c r="X14" s="2">
        <f t="shared" si="8"/>
        <v>0.970703125</v>
      </c>
      <c r="Y14" s="2">
        <f t="shared" si="1"/>
        <v>-9.353391676893974E-4</v>
      </c>
      <c r="Z14" s="2">
        <f t="shared" si="3"/>
        <v>0.97021484375</v>
      </c>
      <c r="AA14" s="2">
        <f t="shared" si="2"/>
        <v>-4.3784106237099163E-4</v>
      </c>
      <c r="AB14" s="2">
        <f t="shared" si="4"/>
        <v>-2.6124322472847768E-8</v>
      </c>
      <c r="AC14" s="2">
        <f t="shared" si="5"/>
        <v>4.0952989485832482E-7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-9.6109936647519589</v>
      </c>
      <c r="AI14" s="2">
        <f t="shared" si="14"/>
        <v>1557.6171875</v>
      </c>
      <c r="AJ14" s="2">
        <v>1.5273931544937795</v>
      </c>
      <c r="AK14" s="2">
        <f t="shared" si="9"/>
        <v>1548.33984375</v>
      </c>
      <c r="AL14" s="2">
        <v>-4.0393962219616242</v>
      </c>
      <c r="AM14" s="2">
        <f t="shared" si="10"/>
        <v>38.822611498696169</v>
      </c>
      <c r="AN14" s="2">
        <f t="shared" si="11"/>
        <v>-6.1697461377122202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250.84404080993843</v>
      </c>
      <c r="L15" s="6" t="s">
        <v>7</v>
      </c>
      <c r="N15" s="6" t="s">
        <v>140</v>
      </c>
      <c r="O15" s="6">
        <f>O4/O14</f>
        <v>10.432452644120463</v>
      </c>
      <c r="U15" s="2">
        <v>11</v>
      </c>
      <c r="V15" s="2">
        <f t="shared" si="7"/>
        <v>0.9697265625</v>
      </c>
      <c r="W15" s="2">
        <f t="shared" si="0"/>
        <v>5.9666223015675257E-5</v>
      </c>
      <c r="X15" s="2">
        <f t="shared" si="8"/>
        <v>0.97021484375</v>
      </c>
      <c r="Y15" s="2">
        <f t="shared" si="1"/>
        <v>-4.3784106237099163E-4</v>
      </c>
      <c r="Z15" s="2">
        <f t="shared" si="3"/>
        <v>0.969970703125</v>
      </c>
      <c r="AA15" s="2">
        <f t="shared" si="2"/>
        <v>-1.8908856804000784E-4</v>
      </c>
      <c r="AB15" s="2">
        <f t="shared" si="4"/>
        <v>-1.1282200670389792E-8</v>
      </c>
      <c r="AC15" s="2">
        <f t="shared" si="5"/>
        <v>8.2790739512846563E-8</v>
      </c>
      <c r="AD15" s="2">
        <f t="shared" si="6"/>
        <v>4.8828125E-4</v>
      </c>
      <c r="AF15" s="2">
        <v>11</v>
      </c>
      <c r="AG15" s="2">
        <f t="shared" si="13"/>
        <v>1548.33984375</v>
      </c>
      <c r="AH15" s="2">
        <v>-4.0393962219616242</v>
      </c>
      <c r="AI15" s="2">
        <f t="shared" si="14"/>
        <v>1557.6171875</v>
      </c>
      <c r="AJ15" s="2">
        <v>1.5273931544937795</v>
      </c>
      <c r="AK15" s="2">
        <f t="shared" si="9"/>
        <v>1552.978515625</v>
      </c>
      <c r="AL15" s="2">
        <v>-1.2553999058500267</v>
      </c>
      <c r="AM15" s="2">
        <f t="shared" si="10"/>
        <v>5.0710576367415765</v>
      </c>
      <c r="AN15" s="2">
        <f t="shared" si="11"/>
        <v>-1.9174892223474662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1460.8794131225525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113.06398399731994</v>
      </c>
      <c r="L16" s="6" t="s">
        <v>7</v>
      </c>
      <c r="N16" s="6" t="s">
        <v>111</v>
      </c>
      <c r="O16" s="6">
        <f>(O13*$C$12)/(0.3048^2)/($C$5*2.20462/1000)^(2/3)</f>
        <v>3.0501519055109294</v>
      </c>
      <c r="U16" s="2">
        <v>12</v>
      </c>
      <c r="V16" s="2">
        <f t="shared" si="7"/>
        <v>0.9697265625</v>
      </c>
      <c r="W16" s="2">
        <f t="shared" si="0"/>
        <v>5.9666223015675257E-5</v>
      </c>
      <c r="X16" s="2">
        <f t="shared" si="8"/>
        <v>0.969970703125</v>
      </c>
      <c r="Y16" s="2">
        <f t="shared" si="1"/>
        <v>-1.8908856804000784E-4</v>
      </c>
      <c r="Z16" s="2">
        <f t="shared" si="3"/>
        <v>0.9698486328125</v>
      </c>
      <c r="AA16" s="2">
        <f t="shared" si="2"/>
        <v>-6.4711459709543284E-5</v>
      </c>
      <c r="AB16" s="2">
        <f t="shared" si="4"/>
        <v>-3.861088386699494E-9</v>
      </c>
      <c r="AC16" s="2">
        <f t="shared" si="5"/>
        <v>1.2236197252256202E-8</v>
      </c>
      <c r="AD16" s="2">
        <f t="shared" si="6"/>
        <v>2.44140625E-4</v>
      </c>
      <c r="AF16" s="2">
        <v>12</v>
      </c>
      <c r="AG16" s="2">
        <f t="shared" si="13"/>
        <v>1552.978515625</v>
      </c>
      <c r="AH16" s="2">
        <v>-1.2553999058500267</v>
      </c>
      <c r="AI16" s="2">
        <f t="shared" si="14"/>
        <v>1557.6171875</v>
      </c>
      <c r="AJ16" s="2">
        <v>1.5273931544937795</v>
      </c>
      <c r="AK16" s="2">
        <f t="shared" si="9"/>
        <v>1555.2978515625</v>
      </c>
      <c r="AL16" s="2">
        <v>0.13614709578860129</v>
      </c>
      <c r="AM16" s="2">
        <f t="shared" si="10"/>
        <v>-0.17091905123476464</v>
      </c>
      <c r="AN16" s="2">
        <f t="shared" si="11"/>
        <v>0.2079501421117185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102.57987609020846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0.9697265625</v>
      </c>
      <c r="W17" s="2">
        <f t="shared" si="0"/>
        <v>5.9666223015675257E-5</v>
      </c>
      <c r="X17" s="2">
        <f t="shared" si="8"/>
        <v>0.9698486328125</v>
      </c>
      <c r="Y17" s="2">
        <f t="shared" si="1"/>
        <v>-6.4711459709543284E-5</v>
      </c>
      <c r="Z17" s="2">
        <f t="shared" si="3"/>
        <v>0.96978759765625</v>
      </c>
      <c r="AA17" s="2">
        <f t="shared" si="2"/>
        <v>-2.5226901596564488E-6</v>
      </c>
      <c r="AB17" s="2">
        <f t="shared" si="4"/>
        <v>-1.505193936655111E-10</v>
      </c>
      <c r="AC17" s="2">
        <f t="shared" si="5"/>
        <v>1.632469626262696E-10</v>
      </c>
      <c r="AD17" s="2">
        <f t="shared" si="6"/>
        <v>1.220703125E-4</v>
      </c>
      <c r="AF17" s="2">
        <v>13</v>
      </c>
      <c r="AG17" s="2">
        <f t="shared" si="13"/>
        <v>1552.978515625</v>
      </c>
      <c r="AH17" s="2">
        <v>-1.2553999058500267</v>
      </c>
      <c r="AI17" s="2">
        <f t="shared" si="14"/>
        <v>1555.2978515625</v>
      </c>
      <c r="AJ17" s="2">
        <v>0.13614709578860129</v>
      </c>
      <c r="AK17" s="2">
        <f t="shared" si="9"/>
        <v>1554.13818359375</v>
      </c>
      <c r="AL17" s="2">
        <v>-0.55958882795175668</v>
      </c>
      <c r="AM17" s="2">
        <f t="shared" si="10"/>
        <v>0.70250776192536213</v>
      </c>
      <c r="AN17" s="2">
        <f t="shared" si="11"/>
        <v>-7.6186393761378951E-2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1.4531203599197364</v>
      </c>
      <c r="H18" s="6" t="s">
        <v>172</v>
      </c>
      <c r="J18" s="12" t="s">
        <v>54</v>
      </c>
      <c r="K18" s="6">
        <f xml:space="preserve"> $C$78 * (0.2138 * K4 + 0.2138 * K6)</f>
        <v>84.381530357614778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0.9697265625</v>
      </c>
      <c r="W18" s="2">
        <f t="shared" si="0"/>
        <v>5.9666223015675257E-5</v>
      </c>
      <c r="X18" s="2">
        <f t="shared" si="8"/>
        <v>0.96978759765625</v>
      </c>
      <c r="Y18" s="2">
        <f t="shared" si="1"/>
        <v>-2.5226901596564488E-6</v>
      </c>
      <c r="Z18" s="2">
        <f t="shared" si="3"/>
        <v>0.969757080078125</v>
      </c>
      <c r="AA18" s="2">
        <f t="shared" si="2"/>
        <v>2.8571748473149583E-5</v>
      </c>
      <c r="AB18" s="2">
        <f t="shared" si="4"/>
        <v>1.7047683163467219E-9</v>
      </c>
      <c r="AC18" s="2">
        <f t="shared" si="5"/>
        <v>-7.2077668717393618E-11</v>
      </c>
      <c r="AD18" s="2">
        <f t="shared" si="6"/>
        <v>6.103515625E-5</v>
      </c>
      <c r="AF18" s="2">
        <v>14</v>
      </c>
      <c r="AG18" s="2">
        <f t="shared" si="13"/>
        <v>1554.13818359375</v>
      </c>
      <c r="AH18" s="2">
        <v>-0.55958882795175668</v>
      </c>
      <c r="AI18" s="2">
        <f t="shared" si="14"/>
        <v>1555.2978515625</v>
      </c>
      <c r="AJ18" s="2">
        <v>0.13614709578860129</v>
      </c>
      <c r="AK18" s="2">
        <f t="shared" si="9"/>
        <v>1554.718017578125</v>
      </c>
      <c r="AL18" s="2">
        <v>-0.21171156909201727</v>
      </c>
      <c r="AM18" s="2">
        <f t="shared" si="10"/>
        <v>0.11847142881202929</v>
      </c>
      <c r="AN18" s="2">
        <f t="shared" si="11"/>
        <v>-2.8823915276725957E-2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4.2292261228773241E-2</v>
      </c>
      <c r="J19" s="12" t="s">
        <v>73</v>
      </c>
      <c r="K19" s="6">
        <f xml:space="preserve"> $C$78 * (0.1149 * K4 + 0.1149 * K6)</f>
        <v>45.34816575346089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0.969757080078125</v>
      </c>
      <c r="W19" s="2">
        <f t="shared" si="0"/>
        <v>2.8571748473149583E-5</v>
      </c>
      <c r="X19" s="2">
        <f t="shared" si="8"/>
        <v>0.96978759765625</v>
      </c>
      <c r="Y19" s="2">
        <f t="shared" si="1"/>
        <v>-2.5226901596564488E-6</v>
      </c>
      <c r="Z19" s="2">
        <f t="shared" si="3"/>
        <v>0.9697723388671875</v>
      </c>
      <c r="AA19" s="2">
        <f t="shared" si="2"/>
        <v>1.3024524668225901E-5</v>
      </c>
      <c r="AB19" s="2">
        <f t="shared" si="4"/>
        <v>3.7213344280288244E-10</v>
      </c>
      <c r="AC19" s="2">
        <f t="shared" si="5"/>
        <v>-3.2856840214736153E-11</v>
      </c>
      <c r="AD19" s="2">
        <f t="shared" si="6"/>
        <v>3.0517578125E-5</v>
      </c>
      <c r="AF19" s="2">
        <v>15</v>
      </c>
      <c r="AG19" s="2">
        <f t="shared" si="13"/>
        <v>1554.718017578125</v>
      </c>
      <c r="AH19" s="2">
        <v>-0.21171156909201727</v>
      </c>
      <c r="AI19" s="2">
        <f t="shared" si="14"/>
        <v>1555.2978515625</v>
      </c>
      <c r="AJ19" s="2">
        <v>0.13614709578860129</v>
      </c>
      <c r="AK19" s="2">
        <f t="shared" si="9"/>
        <v>1555.0079345703125</v>
      </c>
      <c r="AL19" s="2">
        <v>-3.7780043335715163E-2</v>
      </c>
      <c r="AM19" s="2">
        <f t="shared" si="10"/>
        <v>7.9984722549686672E-3</v>
      </c>
      <c r="AN19" s="2">
        <f t="shared" si="11"/>
        <v>-5.1436431789251202E-3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102.57987609020846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204.43608547095431</v>
      </c>
      <c r="L20" s="6" t="s">
        <v>7</v>
      </c>
      <c r="N20" s="6" t="s">
        <v>20</v>
      </c>
      <c r="O20" s="6">
        <f xml:space="preserve"> O14 / $C$28</f>
        <v>1460.8794131225525</v>
      </c>
      <c r="P20" s="6" t="s">
        <v>21</v>
      </c>
      <c r="U20" s="2">
        <v>16</v>
      </c>
      <c r="V20" s="2">
        <f t="shared" si="7"/>
        <v>0.9697723388671875</v>
      </c>
      <c r="W20" s="2">
        <f t="shared" si="0"/>
        <v>1.3024524668225901E-5</v>
      </c>
      <c r="X20" s="2">
        <f t="shared" si="8"/>
        <v>0.96978759765625</v>
      </c>
      <c r="Y20" s="2">
        <f t="shared" si="1"/>
        <v>-2.5226901596564488E-6</v>
      </c>
      <c r="Z20" s="2">
        <f t="shared" si="3"/>
        <v>0.96977996826171875</v>
      </c>
      <c r="AA20" s="2">
        <f t="shared" si="2"/>
        <v>5.2509161321268039E-6</v>
      </c>
      <c r="AB20" s="2">
        <f t="shared" si="4"/>
        <v>6.8390686693670887E-11</v>
      </c>
      <c r="AC20" s="2">
        <f t="shared" si="5"/>
        <v>-1.3246434455697589E-11</v>
      </c>
      <c r="AD20" s="2">
        <f t="shared" si="6"/>
        <v>1.52587890625E-5</v>
      </c>
      <c r="AF20" s="2">
        <v>16</v>
      </c>
      <c r="AG20" s="2">
        <f t="shared" si="13"/>
        <v>1555.0079345703125</v>
      </c>
      <c r="AH20" s="2">
        <v>-3.7780043335715163E-2</v>
      </c>
      <c r="AI20" s="2">
        <f t="shared" si="14"/>
        <v>1555.2978515625</v>
      </c>
      <c r="AJ20" s="2">
        <v>0.13614709578860129</v>
      </c>
      <c r="AK20" s="2">
        <f t="shared" si="9"/>
        <v>1555.1528930664062</v>
      </c>
      <c r="AL20" s="2">
        <v>4.918423838785202E-2</v>
      </c>
      <c r="AM20" s="2">
        <f t="shared" si="10"/>
        <v>-1.8581826577271946E-3</v>
      </c>
      <c r="AN20" s="2">
        <f t="shared" si="11"/>
        <v>6.6962912150802896E-3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40.431842042355925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0.96977996826171875</v>
      </c>
      <c r="W21" s="2">
        <f t="shared" si="0"/>
        <v>5.2509161321268039E-6</v>
      </c>
      <c r="X21" s="2">
        <f t="shared" si="8"/>
        <v>0.96978759765625</v>
      </c>
      <c r="Y21" s="2">
        <f t="shared" si="1"/>
        <v>-2.5226901596564488E-6</v>
      </c>
      <c r="Z21" s="2">
        <f t="shared" si="3"/>
        <v>0.96978378295898438</v>
      </c>
      <c r="AA21" s="2">
        <f t="shared" si="2"/>
        <v>1.3641127056818192E-6</v>
      </c>
      <c r="AB21" s="2">
        <f t="shared" si="4"/>
        <v>7.1628414123038073E-12</v>
      </c>
      <c r="AC21" s="2">
        <f t="shared" si="5"/>
        <v>-3.4412336992858588E-12</v>
      </c>
      <c r="AD21" s="2">
        <f t="shared" si="6"/>
        <v>7.62939453125E-6</v>
      </c>
      <c r="AF21" s="2">
        <v>17</v>
      </c>
      <c r="AG21" s="2">
        <f t="shared" si="13"/>
        <v>1555.0079345703125</v>
      </c>
      <c r="AH21" s="2">
        <v>-3.7780043335715163E-2</v>
      </c>
      <c r="AI21" s="2">
        <f t="shared" si="14"/>
        <v>1555.1528930664062</v>
      </c>
      <c r="AJ21" s="2">
        <v>4.918423838785202E-2</v>
      </c>
      <c r="AK21" s="2">
        <f t="shared" si="9"/>
        <v>1555.0804138183594</v>
      </c>
      <c r="AL21" s="2">
        <v>5.7022427993160818E-3</v>
      </c>
      <c r="AM21" s="2">
        <f t="shared" si="10"/>
        <v>-2.154309800689313E-4</v>
      </c>
      <c r="AN21" s="2">
        <f t="shared" si="11"/>
        <v>2.8046046918697482E-4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102.25397236781426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0.96978378295898438</v>
      </c>
      <c r="W22" s="2">
        <f t="shared" si="0"/>
        <v>1.3641127056818192E-6</v>
      </c>
      <c r="X22" s="2">
        <f t="shared" si="8"/>
        <v>0.96978759765625</v>
      </c>
      <c r="Y22" s="2">
        <f t="shared" si="1"/>
        <v>-2.5226901596564488E-6</v>
      </c>
      <c r="Z22" s="2">
        <f t="shared" si="3"/>
        <v>0.96978569030761719</v>
      </c>
      <c r="AA22" s="2">
        <f t="shared" si="2"/>
        <v>-5.7928879715340997E-7</v>
      </c>
      <c r="AB22" s="2">
        <f t="shared" si="4"/>
        <v>-7.9021520845610463E-13</v>
      </c>
      <c r="AC22" s="2">
        <f t="shared" si="5"/>
        <v>1.4613661481781281E-12</v>
      </c>
      <c r="AD22" s="2">
        <f t="shared" si="6"/>
        <v>3.814697265625E-6</v>
      </c>
      <c r="AF22" s="2">
        <v>18</v>
      </c>
      <c r="AG22" s="2">
        <f t="shared" si="13"/>
        <v>1555.0079345703125</v>
      </c>
      <c r="AH22" s="2">
        <v>-3.7780043335715163E-2</v>
      </c>
      <c r="AI22" s="2">
        <f t="shared" si="14"/>
        <v>1555.0804138183594</v>
      </c>
      <c r="AJ22" s="2">
        <v>5.7022427993160818E-3</v>
      </c>
      <c r="AK22" s="2">
        <f t="shared" si="9"/>
        <v>1555.0441741943359</v>
      </c>
      <c r="AL22" s="2">
        <v>-1.603886395025711E-2</v>
      </c>
      <c r="AM22" s="2">
        <f t="shared" si="10"/>
        <v>6.059489750963533E-4</v>
      </c>
      <c r="AN22" s="2">
        <f t="shared" si="11"/>
        <v>-9.1457496469563894E-5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18.247180548719609</v>
      </c>
      <c r="L23" s="6" t="s">
        <v>7</v>
      </c>
      <c r="N23" s="6" t="s">
        <v>30</v>
      </c>
      <c r="O23" s="6">
        <f xml:space="preserve"> O20 / ( $C$71 * PI() * $C$10^2 * O21^2 * $C$10^2)</f>
        <v>3.5947698384813952E-2</v>
      </c>
      <c r="U23" s="2">
        <v>19</v>
      </c>
      <c r="V23" s="2">
        <f t="shared" si="7"/>
        <v>0.96978378295898438</v>
      </c>
      <c r="W23" s="2">
        <f t="shared" si="0"/>
        <v>1.3641127056818192E-6</v>
      </c>
      <c r="X23" s="2">
        <f t="shared" si="8"/>
        <v>0.96978569030761719</v>
      </c>
      <c r="Y23" s="2">
        <f t="shared" si="1"/>
        <v>-5.7928879715340997E-7</v>
      </c>
      <c r="Z23" s="2">
        <f t="shared" si="3"/>
        <v>0.96978473663330078</v>
      </c>
      <c r="AA23" s="2">
        <f t="shared" si="2"/>
        <v>3.9241193672268082E-7</v>
      </c>
      <c r="AB23" s="2">
        <f t="shared" si="4"/>
        <v>5.3529410874461899E-13</v>
      </c>
      <c r="AC23" s="2">
        <f t="shared" si="5"/>
        <v>-2.2731983881272179E-13</v>
      </c>
      <c r="AD23" s="2">
        <f t="shared" si="6"/>
        <v>1.9073486328125E-6</v>
      </c>
      <c r="AF23" s="2">
        <v>19</v>
      </c>
      <c r="AG23" s="2">
        <f t="shared" si="13"/>
        <v>1555.0441741943359</v>
      </c>
      <c r="AH23" s="2">
        <v>-1.603886395025711E-2</v>
      </c>
      <c r="AI23" s="2">
        <f t="shared" si="14"/>
        <v>1555.0804138183594</v>
      </c>
      <c r="AJ23" s="2">
        <v>5.7022427993160818E-3</v>
      </c>
      <c r="AK23" s="2">
        <f t="shared" si="9"/>
        <v>1555.0622940063477</v>
      </c>
      <c r="AL23" s="2">
        <v>-5.1683014958143758E-3</v>
      </c>
      <c r="AM23" s="2">
        <f t="shared" si="10"/>
        <v>8.2893684545277092E-5</v>
      </c>
      <c r="AN23" s="2">
        <f t="shared" si="11"/>
        <v>-2.9470909989202058E-5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7.1166842612464407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0.96978473663330078</v>
      </c>
      <c r="W24" s="2">
        <f t="shared" si="0"/>
        <v>3.9241193672268082E-7</v>
      </c>
      <c r="X24" s="2">
        <f t="shared" si="8"/>
        <v>0.96978569030761719</v>
      </c>
      <c r="Y24" s="2">
        <f t="shared" si="1"/>
        <v>-5.7928879715340997E-7</v>
      </c>
      <c r="Z24" s="2">
        <f t="shared" si="3"/>
        <v>0.96978521347045898</v>
      </c>
      <c r="AA24" s="2">
        <f t="shared" si="2"/>
        <v>-9.3438434545234372E-8</v>
      </c>
      <c r="AB24" s="2">
        <f t="shared" si="4"/>
        <v>-3.6666357064230862E-14</v>
      </c>
      <c r="AC24" s="2">
        <f t="shared" si="5"/>
        <v>5.4127838355606452E-14</v>
      </c>
      <c r="AD24" s="2">
        <f t="shared" si="6"/>
        <v>9.5367431640625E-7</v>
      </c>
      <c r="AF24" s="2">
        <v>20</v>
      </c>
      <c r="AG24" s="2">
        <f t="shared" si="13"/>
        <v>1555.0622940063477</v>
      </c>
      <c r="AH24" s="2">
        <v>-5.1683014958143758E-3</v>
      </c>
      <c r="AI24" s="2">
        <f t="shared" si="14"/>
        <v>1555.0804138183594</v>
      </c>
      <c r="AJ24" s="2">
        <v>5.7022427993160818E-3</v>
      </c>
      <c r="AK24" s="2">
        <f t="shared" si="9"/>
        <v>1555.0713539123535</v>
      </c>
      <c r="AL24" s="2">
        <v>2.6697292184962862E-4</v>
      </c>
      <c r="AM24" s="2">
        <f t="shared" si="10"/>
        <v>-1.37979655133737E-6</v>
      </c>
      <c r="AN24" s="2">
        <f t="shared" si="11"/>
        <v>1.5223444212294198E-6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15.41823132751632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0.96978473663330078</v>
      </c>
      <c r="W25" s="2">
        <f t="shared" si="0"/>
        <v>3.9241193672268082E-7</v>
      </c>
      <c r="X25" s="2">
        <f t="shared" si="8"/>
        <v>0.96978521347045898</v>
      </c>
      <c r="Y25" s="2">
        <f t="shared" si="1"/>
        <v>-9.3438434545234372E-8</v>
      </c>
      <c r="Z25" s="2">
        <f t="shared" si="3"/>
        <v>0.96978497505187988</v>
      </c>
      <c r="AA25" s="2">
        <f t="shared" si="2"/>
        <v>1.494867499785002E-7</v>
      </c>
      <c r="AB25" s="2">
        <f t="shared" si="4"/>
        <v>5.8660385073442432E-14</v>
      </c>
      <c r="AC25" s="2">
        <f t="shared" si="5"/>
        <v>-1.3967807903245907E-14</v>
      </c>
      <c r="AD25" s="2">
        <f t="shared" si="6"/>
        <v>4.76837158203125E-7</v>
      </c>
      <c r="AF25" s="2">
        <v>21</v>
      </c>
      <c r="AG25" s="2">
        <f t="shared" si="13"/>
        <v>1555.0622940063477</v>
      </c>
      <c r="AH25" s="2">
        <v>-5.1683014958143758E-3</v>
      </c>
      <c r="AI25" s="2">
        <f t="shared" si="14"/>
        <v>1555.0713539123535</v>
      </c>
      <c r="AJ25" s="2">
        <v>2.6697292184962862E-4</v>
      </c>
      <c r="AK25" s="2">
        <f t="shared" si="9"/>
        <v>1555.0668239593506</v>
      </c>
      <c r="AL25" s="2">
        <v>-2.4506637195145231E-3</v>
      </c>
      <c r="AM25" s="2">
        <f t="shared" si="10"/>
        <v>1.2665768967304932E-5</v>
      </c>
      <c r="AN25" s="2">
        <f t="shared" si="11"/>
        <v>-6.5426085366967093E-7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1905.2516522629692</v>
      </c>
      <c r="H26" s="6" t="s">
        <v>21</v>
      </c>
      <c r="J26" s="14" t="s">
        <v>65</v>
      </c>
      <c r="K26" s="6">
        <f xml:space="preserve"> $C$80 * (0.0268 * $C$5)</f>
        <v>33.340718976465809</v>
      </c>
      <c r="L26" s="6" t="s">
        <v>7</v>
      </c>
      <c r="N26" s="6" t="s">
        <v>32</v>
      </c>
      <c r="O26" s="17">
        <f>Z34</f>
        <v>0.96978512173518538</v>
      </c>
      <c r="U26" s="2">
        <v>22</v>
      </c>
      <c r="V26" s="2">
        <f t="shared" si="7"/>
        <v>0.96978497505187988</v>
      </c>
      <c r="W26" s="2">
        <f t="shared" si="0"/>
        <v>1.494867499785002E-7</v>
      </c>
      <c r="X26" s="2">
        <f t="shared" si="8"/>
        <v>0.96978521347045898</v>
      </c>
      <c r="Y26" s="2">
        <f t="shared" si="1"/>
        <v>-9.3438434545234372E-8</v>
      </c>
      <c r="Z26" s="2">
        <f t="shared" si="3"/>
        <v>0.96978509426116943</v>
      </c>
      <c r="AA26" s="2">
        <f t="shared" si="2"/>
        <v>2.8024157439077158E-8</v>
      </c>
      <c r="AB26" s="2">
        <f t="shared" si="4"/>
        <v>4.1892402164534535E-15</v>
      </c>
      <c r="AC26" s="2">
        <f t="shared" si="5"/>
        <v>-2.6185334005565537E-15</v>
      </c>
      <c r="AD26" s="2">
        <f t="shared" si="6"/>
        <v>2.384185791015625E-7</v>
      </c>
      <c r="AF26" s="2">
        <v>22</v>
      </c>
      <c r="AG26" s="2">
        <f t="shared" si="13"/>
        <v>1555.0668239593506</v>
      </c>
      <c r="AH26" s="2">
        <v>-2.4506637195145231E-3</v>
      </c>
      <c r="AI26" s="2">
        <f t="shared" si="14"/>
        <v>1555.0713539123535</v>
      </c>
      <c r="AJ26" s="2">
        <v>2.6697292184962862E-4</v>
      </c>
      <c r="AK26" s="2">
        <f t="shared" si="9"/>
        <v>1555.0690889358521</v>
      </c>
      <c r="AL26" s="2">
        <v>-1.0917142034259086E-3</v>
      </c>
      <c r="AM26" s="2">
        <f t="shared" si="10"/>
        <v>2.6754243904145718E-6</v>
      </c>
      <c r="AN26" s="2">
        <f t="shared" si="11"/>
        <v>-2.9145813071335467E-7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24.854763510004414</v>
      </c>
      <c r="H27" t="s">
        <v>97</v>
      </c>
      <c r="J27" s="14" t="s">
        <v>66</v>
      </c>
      <c r="K27" s="6">
        <f xml:space="preserve"> $C$80 * (11.5 * ($C$5*2.20462/1000)^0.4 * 0.453592)</f>
        <v>6.8310392826174624</v>
      </c>
      <c r="L27" s="6" t="s">
        <v>7</v>
      </c>
      <c r="N27" s="6" t="s">
        <v>33</v>
      </c>
      <c r="O27" s="6">
        <f xml:space="preserve"> O21 * $C$10 * O26 - $C$7 * SIN(O19/180*PI())</f>
        <v>1.2966646068643826</v>
      </c>
      <c r="P27" s="6" t="s">
        <v>10</v>
      </c>
      <c r="U27" s="2">
        <v>23</v>
      </c>
      <c r="V27" s="2">
        <f t="shared" si="7"/>
        <v>0.96978509426116943</v>
      </c>
      <c r="W27" s="2">
        <f t="shared" si="0"/>
        <v>2.8024157439077158E-8</v>
      </c>
      <c r="X27" s="2">
        <f t="shared" si="8"/>
        <v>0.96978521347045898</v>
      </c>
      <c r="Y27" s="2">
        <f t="shared" si="1"/>
        <v>-9.3438434545234372E-8</v>
      </c>
      <c r="Z27" s="2">
        <f t="shared" si="3"/>
        <v>0.96978515386581421</v>
      </c>
      <c r="AA27" s="2">
        <f t="shared" si="2"/>
        <v>-3.270713866410091E-8</v>
      </c>
      <c r="AB27" s="2">
        <f t="shared" si="4"/>
        <v>-9.1659000330449156E-16</v>
      </c>
      <c r="AC27" s="2">
        <f t="shared" si="5"/>
        <v>3.0561038352274974E-15</v>
      </c>
      <c r="AD27" s="2">
        <f t="shared" si="6"/>
        <v>1.1920928955078125E-7</v>
      </c>
      <c r="AF27" s="2">
        <v>23</v>
      </c>
      <c r="AG27" s="2">
        <f t="shared" si="13"/>
        <v>1555.0690889358521</v>
      </c>
      <c r="AH27" s="2">
        <v>-1.0917142034259086E-3</v>
      </c>
      <c r="AI27" s="2">
        <f t="shared" si="14"/>
        <v>1555.0713539123535</v>
      </c>
      <c r="AJ27" s="2">
        <v>2.6697292184962862E-4</v>
      </c>
      <c r="AK27" s="2">
        <f t="shared" si="9"/>
        <v>1555.0702214241028</v>
      </c>
      <c r="AL27" s="2">
        <v>-4.1250165918427228E-4</v>
      </c>
      <c r="AM27" s="2">
        <f t="shared" si="10"/>
        <v>4.5033392026822348E-7</v>
      </c>
      <c r="AN27" s="2">
        <f t="shared" si="11"/>
        <v>-1.1012677322024486E-7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7.8207887954605804</v>
      </c>
      <c r="H28" s="6" t="s">
        <v>172</v>
      </c>
      <c r="J28" s="14" t="s">
        <v>67</v>
      </c>
      <c r="K28" s="6">
        <f xml:space="preserve"> $C$80 * (8 * ($C$5/1000))</f>
        <v>9.9524534258106883</v>
      </c>
      <c r="L28" s="6" t="s">
        <v>7</v>
      </c>
      <c r="N28" s="6" t="s">
        <v>34</v>
      </c>
      <c r="O28" s="6">
        <f xml:space="preserve"> 1/$C$31 - O25 * SQRT( (2*$C$71*PI()*$C$10^2) / O20^3 )</f>
        <v>1.1308043421983953</v>
      </c>
      <c r="U28" s="2">
        <v>24</v>
      </c>
      <c r="V28" s="2">
        <f t="shared" si="7"/>
        <v>0.96978509426116943</v>
      </c>
      <c r="W28" s="2">
        <f t="shared" si="0"/>
        <v>2.8024157439077158E-8</v>
      </c>
      <c r="X28" s="2">
        <f t="shared" si="8"/>
        <v>0.96978515386581421</v>
      </c>
      <c r="Y28" s="2">
        <f t="shared" si="1"/>
        <v>-3.270713866410091E-8</v>
      </c>
      <c r="Z28" s="2">
        <f t="shared" si="3"/>
        <v>0.96978512406349182</v>
      </c>
      <c r="AA28" s="2">
        <f t="shared" si="2"/>
        <v>-2.3414905570007249E-9</v>
      </c>
      <c r="AB28" s="2">
        <f t="shared" si="4"/>
        <v>-6.5618300011500783E-17</v>
      </c>
      <c r="AC28" s="2">
        <f t="shared" si="5"/>
        <v>7.6583456328505586E-17</v>
      </c>
      <c r="AD28" s="2">
        <f t="shared" si="6"/>
        <v>5.9604644775390625E-8</v>
      </c>
      <c r="AF28" s="2">
        <v>24</v>
      </c>
      <c r="AG28" s="2">
        <f t="shared" si="13"/>
        <v>1555.0702214241028</v>
      </c>
      <c r="AH28" s="2">
        <v>-4.1250165918427228E-4</v>
      </c>
      <c r="AI28" s="2">
        <f t="shared" si="14"/>
        <v>1555.0713539123535</v>
      </c>
      <c r="AJ28" s="2">
        <v>2.6697292184962862E-4</v>
      </c>
      <c r="AK28" s="2">
        <f t="shared" si="9"/>
        <v>1555.0707876682281</v>
      </c>
      <c r="AL28" s="2">
        <v>-7.2764359856591909E-5</v>
      </c>
      <c r="AM28" s="2">
        <f t="shared" si="10"/>
        <v>3.0015419170325619E-8</v>
      </c>
      <c r="AN28" s="2">
        <f t="shared" si="11"/>
        <v>-1.9426113757432165E-8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198.83810808003531</v>
      </c>
      <c r="H29" s="22" t="s">
        <v>97</v>
      </c>
      <c r="J29" s="14" t="s">
        <v>68</v>
      </c>
      <c r="K29" s="6">
        <f xml:space="preserve"> $C$80 * (13 * ($C$5*2.20462/1000)^1.3 * 0.453592)</f>
        <v>23.404955801952269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0.96978509426116943</v>
      </c>
      <c r="W29" s="2">
        <f t="shared" si="0"/>
        <v>2.8024157439077158E-8</v>
      </c>
      <c r="X29" s="2">
        <f t="shared" si="8"/>
        <v>0.96978512406349182</v>
      </c>
      <c r="Y29" s="2">
        <f t="shared" si="1"/>
        <v>-2.3414905570007249E-9</v>
      </c>
      <c r="Z29" s="2">
        <f t="shared" si="3"/>
        <v>0.96978510916233063</v>
      </c>
      <c r="AA29" s="2">
        <f t="shared" si="2"/>
        <v>1.2841333441038216E-8</v>
      </c>
      <c r="AB29" s="2">
        <f t="shared" si="4"/>
        <v>3.5986755007934138E-16</v>
      </c>
      <c r="AC29" s="2">
        <f t="shared" si="5"/>
        <v>-3.0067860991488609E-17</v>
      </c>
      <c r="AD29" s="2">
        <f t="shared" si="6"/>
        <v>2.9802322387695312E-8</v>
      </c>
      <c r="AF29" s="2">
        <v>25</v>
      </c>
      <c r="AG29" s="2">
        <f t="shared" si="13"/>
        <v>1555.0707876682281</v>
      </c>
      <c r="AH29" s="2">
        <v>-7.2764359856591909E-5</v>
      </c>
      <c r="AI29" s="2">
        <f t="shared" si="14"/>
        <v>1555.0713539123535</v>
      </c>
      <c r="AJ29" s="2">
        <v>2.6697292184962862E-4</v>
      </c>
      <c r="AK29" s="2">
        <f t="shared" si="9"/>
        <v>1555.0710707902908</v>
      </c>
      <c r="AL29" s="2">
        <v>9.7104282986038015E-5</v>
      </c>
      <c r="AM29" s="2">
        <f t="shared" si="10"/>
        <v>-7.0657309908124053E-9</v>
      </c>
      <c r="AN29" s="2">
        <f t="shared" si="11"/>
        <v>2.592421415289575E-8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-3.6640867051573878E-5</v>
      </c>
      <c r="L30" s="9" t="s">
        <v>7</v>
      </c>
      <c r="N30" s="6" t="s">
        <v>36</v>
      </c>
      <c r="O30" s="6">
        <f xml:space="preserve"> 1/$C$77 * LN( EXP($C$77 * O28) + EXP($C$77 * O29) )</f>
        <v>1.1648701706660816</v>
      </c>
      <c r="U30" s="2">
        <v>26</v>
      </c>
      <c r="V30" s="2">
        <f>IF(AB29&gt;0, Z29, V29)</f>
        <v>0.96978510916233063</v>
      </c>
      <c r="W30" s="2">
        <f t="shared" si="0"/>
        <v>1.2841333441038216E-8</v>
      </c>
      <c r="X30" s="2">
        <f t="shared" si="8"/>
        <v>0.96978512406349182</v>
      </c>
      <c r="Y30" s="2">
        <f t="shared" si="1"/>
        <v>-2.3414905570007249E-9</v>
      </c>
      <c r="Z30" s="2">
        <f t="shared" si="3"/>
        <v>0.96978511661291122</v>
      </c>
      <c r="AA30" s="2">
        <f t="shared" si="2"/>
        <v>5.2499213865075944E-9</v>
      </c>
      <c r="AB30" s="2">
        <f t="shared" si="4"/>
        <v>6.7415991063381691E-17</v>
      </c>
      <c r="AC30" s="2">
        <f t="shared" si="5"/>
        <v>-1.2292641351503685E-17</v>
      </c>
      <c r="AD30" s="2">
        <f t="shared" si="6"/>
        <v>1.4901161193847656E-8</v>
      </c>
      <c r="AF30" s="2">
        <v>26</v>
      </c>
      <c r="AG30" s="2">
        <f t="shared" si="13"/>
        <v>1555.0707876682281</v>
      </c>
      <c r="AH30" s="2">
        <v>-7.2764359856591909E-5</v>
      </c>
      <c r="AI30" s="2">
        <f t="shared" si="14"/>
        <v>1555.0710707902908</v>
      </c>
      <c r="AJ30" s="2">
        <v>9.7104282986038015E-5</v>
      </c>
      <c r="AK30" s="2">
        <f t="shared" si="9"/>
        <v>1555.0709292292595</v>
      </c>
      <c r="AL30" s="2">
        <v>1.2301015999582887E-5</v>
      </c>
      <c r="AM30" s="2">
        <f t="shared" si="10"/>
        <v>-8.9507555479534386E-10</v>
      </c>
      <c r="AN30" s="2">
        <f t="shared" si="11"/>
        <v>1.1944813386392779E-9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0.96978511661291122</v>
      </c>
      <c r="W31" s="2">
        <f t="shared" si="0"/>
        <v>5.2499213865075944E-9</v>
      </c>
      <c r="X31" s="2">
        <f t="shared" si="8"/>
        <v>0.96978512406349182</v>
      </c>
      <c r="Y31" s="2">
        <f t="shared" si="1"/>
        <v>-2.3414905570007249E-9</v>
      </c>
      <c r="Z31" s="2">
        <f t="shared" si="3"/>
        <v>0.96978512033820152</v>
      </c>
      <c r="AA31" s="2">
        <f t="shared" si="2"/>
        <v>1.4542154147534347E-9</v>
      </c>
      <c r="AB31" s="2">
        <f t="shared" si="4"/>
        <v>7.6345166065030686E-18</v>
      </c>
      <c r="AC31" s="2">
        <f t="shared" si="5"/>
        <v>-3.4050316614900602E-18</v>
      </c>
      <c r="AD31" s="2">
        <f t="shared" si="6"/>
        <v>7.4505805969238281E-9</v>
      </c>
      <c r="AF31" s="2">
        <v>27</v>
      </c>
      <c r="AG31" s="2">
        <f t="shared" si="13"/>
        <v>1555.0707876682281</v>
      </c>
      <c r="AH31" s="2">
        <v>-7.2764359856591909E-5</v>
      </c>
      <c r="AI31" s="2">
        <f t="shared" si="14"/>
        <v>1555.0709292292595</v>
      </c>
      <c r="AJ31" s="2">
        <v>1.2301015999582887E-5</v>
      </c>
      <c r="AK31" s="2">
        <f t="shared" si="9"/>
        <v>1555.0708584487438</v>
      </c>
      <c r="AL31" s="2">
        <v>-3.0231671757974254E-5</v>
      </c>
      <c r="AM31" s="2">
        <f t="shared" si="10"/>
        <v>2.1997882428636053E-9</v>
      </c>
      <c r="AN31" s="2">
        <f t="shared" si="11"/>
        <v>-3.718802779889794E-10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0.96978512033820152</v>
      </c>
      <c r="W32" s="2">
        <f t="shared" si="0"/>
        <v>1.4542154147534347E-9</v>
      </c>
      <c r="X32" s="2">
        <f t="shared" si="8"/>
        <v>0.96978512406349182</v>
      </c>
      <c r="Y32" s="2">
        <f t="shared" si="1"/>
        <v>-2.3414905570007249E-9</v>
      </c>
      <c r="Z32" s="2">
        <f t="shared" si="3"/>
        <v>0.96978512220084667</v>
      </c>
      <c r="AA32" s="2">
        <f t="shared" si="2"/>
        <v>-4.436375711236451E-10</v>
      </c>
      <c r="AB32" s="2">
        <f t="shared" si="4"/>
        <v>-6.4514459449177797E-19</v>
      </c>
      <c r="AC32" s="2">
        <f t="shared" si="5"/>
        <v>1.0387731835167525E-18</v>
      </c>
      <c r="AD32" s="2">
        <f t="shared" si="6"/>
        <v>3.7252902984619141E-9</v>
      </c>
      <c r="AF32" s="2">
        <v>28</v>
      </c>
      <c r="AG32" s="2">
        <f t="shared" si="13"/>
        <v>1555.0708584487438</v>
      </c>
      <c r="AH32" s="2">
        <v>-3.0231671757974254E-5</v>
      </c>
      <c r="AI32" s="2">
        <f t="shared" si="14"/>
        <v>1555.0709292292595</v>
      </c>
      <c r="AJ32" s="2">
        <v>1.2301015999582887E-5</v>
      </c>
      <c r="AK32" s="2">
        <f t="shared" si="9"/>
        <v>1555.0708938390017</v>
      </c>
      <c r="AL32" s="2">
        <v>-8.9653274244483327E-6</v>
      </c>
      <c r="AM32" s="2">
        <f t="shared" si="10"/>
        <v>2.7103683589868675E-10</v>
      </c>
      <c r="AN32" s="2">
        <f t="shared" si="11"/>
        <v>-1.1028263608963818E-10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102.57987609020846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0.96978512033820152</v>
      </c>
      <c r="W33" s="2">
        <f t="shared" si="0"/>
        <v>1.4542154147534347E-9</v>
      </c>
      <c r="X33" s="2">
        <f t="shared" si="8"/>
        <v>0.96978512220084667</v>
      </c>
      <c r="Y33" s="2">
        <f t="shared" si="1"/>
        <v>-4.436375711236451E-10</v>
      </c>
      <c r="Z33" s="2">
        <f t="shared" si="3"/>
        <v>0.9697851212695241</v>
      </c>
      <c r="AA33" s="2">
        <f t="shared" si="2"/>
        <v>5.0528892181489482E-10</v>
      </c>
      <c r="AB33" s="2">
        <f t="shared" si="4"/>
        <v>7.3479893900736313E-19</v>
      </c>
      <c r="AC33" s="2">
        <f t="shared" si="5"/>
        <v>-2.2416514998964535E-19</v>
      </c>
      <c r="AD33" s="2">
        <f t="shared" si="6"/>
        <v>1.862645149230957E-9</v>
      </c>
      <c r="AF33" s="2">
        <v>29</v>
      </c>
      <c r="AG33" s="2">
        <f t="shared" si="13"/>
        <v>1555.0708938390017</v>
      </c>
      <c r="AH33" s="2">
        <v>-8.9653274244483327E-6</v>
      </c>
      <c r="AI33" s="2">
        <f t="shared" si="14"/>
        <v>1555.0709292292595</v>
      </c>
      <c r="AJ33" s="2">
        <v>1.2301015999582887E-5</v>
      </c>
      <c r="AK33" s="2">
        <f t="shared" si="9"/>
        <v>1555.0709115341306</v>
      </c>
      <c r="AL33" s="2">
        <v>1.6678438896633452E-6</v>
      </c>
      <c r="AM33" s="2">
        <f t="shared" si="10"/>
        <v>-1.4952766563697368E-11</v>
      </c>
      <c r="AN33" s="2">
        <f t="shared" si="11"/>
        <v>2.0516174371555365E-11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38.58</v>
      </c>
      <c r="L34" s="6" t="s">
        <v>59</v>
      </c>
      <c r="U34" s="2">
        <v>30</v>
      </c>
      <c r="V34" s="2">
        <f t="shared" si="7"/>
        <v>0.9697851212695241</v>
      </c>
      <c r="W34" s="2">
        <f t="shared" si="0"/>
        <v>5.0528892181489482E-10</v>
      </c>
      <c r="X34" s="2">
        <f t="shared" si="8"/>
        <v>0.96978512220084667</v>
      </c>
      <c r="Y34" s="2">
        <f t="shared" si="1"/>
        <v>-4.436375711236451E-10</v>
      </c>
      <c r="Z34" s="2">
        <f t="shared" si="3"/>
        <v>0.96978512173518538</v>
      </c>
      <c r="AA34" s="2">
        <f t="shared" si="2"/>
        <v>3.0825675345624859E-11</v>
      </c>
      <c r="AB34" s="2">
        <f t="shared" si="4"/>
        <v>1.557587225960677E-20</v>
      </c>
      <c r="AC34" s="2">
        <f t="shared" si="5"/>
        <v>-1.3675427738579042E-20</v>
      </c>
      <c r="AD34" s="2">
        <f t="shared" si="6"/>
        <v>9.3132257461547852E-10</v>
      </c>
      <c r="AF34" s="2">
        <v>30</v>
      </c>
      <c r="AG34" s="2">
        <f t="shared" si="13"/>
        <v>1555.0708938390017</v>
      </c>
      <c r="AH34" s="2">
        <v>-8.9653274244483327E-6</v>
      </c>
      <c r="AI34" s="2">
        <f t="shared" si="14"/>
        <v>1555.0709115341306</v>
      </c>
      <c r="AJ34" s="2">
        <v>1.6678438896633452E-6</v>
      </c>
      <c r="AK34" s="2">
        <f t="shared" si="9"/>
        <v>1555.0709026865661</v>
      </c>
      <c r="AL34" s="2">
        <v>-3.6487418810793315E-6</v>
      </c>
      <c r="AM34" s="2">
        <f t="shared" si="10"/>
        <v>3.2712165651173728E-11</v>
      </c>
      <c r="AN34" s="2">
        <f t="shared" si="11"/>
        <v>-6.0855318513169031E-12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16.13</v>
      </c>
      <c r="L35" s="6" t="s">
        <v>59</v>
      </c>
      <c r="AF35" s="2">
        <v>31</v>
      </c>
      <c r="AG35" s="2">
        <f t="shared" si="13"/>
        <v>1555.0709026865661</v>
      </c>
      <c r="AH35" s="2">
        <v>-3.6487418810793315E-6</v>
      </c>
      <c r="AI35" s="2">
        <f t="shared" si="14"/>
        <v>1555.0709115341306</v>
      </c>
      <c r="AJ35" s="2">
        <v>1.6678438896633452E-6</v>
      </c>
      <c r="AK35" s="2">
        <f t="shared" si="9"/>
        <v>1555.0709071103483</v>
      </c>
      <c r="AL35" s="2">
        <v>-9.9044871149089886E-7</v>
      </c>
      <c r="AM35" s="2">
        <f t="shared" si="10"/>
        <v>3.6138916946779024E-12</v>
      </c>
      <c r="AN35" s="2">
        <f t="shared" si="11"/>
        <v>-1.6519138314850291E-12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15.61</v>
      </c>
      <c r="L36" s="6" t="s">
        <v>59</v>
      </c>
      <c r="AF36" s="2">
        <v>32</v>
      </c>
      <c r="AG36" s="2">
        <f t="shared" si="13"/>
        <v>1555.0709071103483</v>
      </c>
      <c r="AH36" s="2">
        <v>-9.9044871149089886E-7</v>
      </c>
      <c r="AI36" s="2">
        <f t="shared" si="14"/>
        <v>1555.0709115341306</v>
      </c>
      <c r="AJ36" s="2">
        <v>1.6678438896633452E-6</v>
      </c>
      <c r="AK36" s="2">
        <f t="shared" si="9"/>
        <v>1555.0709093222395</v>
      </c>
      <c r="AL36" s="2">
        <v>3.3869764592964202E-7</v>
      </c>
      <c r="AM36" s="2">
        <f t="shared" si="10"/>
        <v>-3.3546264699601462E-13</v>
      </c>
      <c r="AN36" s="2">
        <f t="shared" si="11"/>
        <v>5.6489479920711262E-13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24.94</v>
      </c>
      <c r="L37" s="6" t="s">
        <v>59</v>
      </c>
      <c r="AF37" s="2">
        <v>33</v>
      </c>
      <c r="AG37" s="2">
        <f t="shared" si="13"/>
        <v>1555.0709071103483</v>
      </c>
      <c r="AH37" s="2">
        <v>-9.9044871149089886E-7</v>
      </c>
      <c r="AI37" s="2">
        <f t="shared" si="14"/>
        <v>1555.0709093222395</v>
      </c>
      <c r="AJ37" s="2">
        <v>3.3869764592964202E-7</v>
      </c>
      <c r="AK37" s="2">
        <f t="shared" si="9"/>
        <v>1555.0709082162939</v>
      </c>
      <c r="AL37" s="2">
        <v>-3.2587558962404728E-7</v>
      </c>
      <c r="AM37" s="2">
        <f t="shared" si="10"/>
        <v>3.2276305784947456E-13</v>
      </c>
      <c r="AN37" s="2">
        <f t="shared" si="11"/>
        <v>-1.1037329507159889E-13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1555.0709082162939</v>
      </c>
      <c r="AH38" s="2">
        <v>-3.2587558962404728E-7</v>
      </c>
      <c r="AI38" s="2">
        <f t="shared" si="14"/>
        <v>1555.0709093222395</v>
      </c>
      <c r="AJ38" s="2">
        <v>3.3869764592964202E-7</v>
      </c>
      <c r="AK38" s="2">
        <f t="shared" si="9"/>
        <v>1555.0709087692667</v>
      </c>
      <c r="AL38" s="2">
        <v>6.4110281527973711E-9</v>
      </c>
      <c r="AM38" s="2">
        <f t="shared" si="10"/>
        <v>-2.08919757938921E-15</v>
      </c>
      <c r="AN38" s="2">
        <f t="shared" si="11"/>
        <v>2.1714001433411309E-15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1555.0709082162939</v>
      </c>
      <c r="AH39" s="2">
        <v>-3.2587558962404728E-7</v>
      </c>
      <c r="AI39" s="2">
        <f t="shared" si="14"/>
        <v>1555.0709087692667</v>
      </c>
      <c r="AJ39" s="2">
        <v>6.4110281527973711E-9</v>
      </c>
      <c r="AK39" s="2">
        <f t="shared" si="9"/>
        <v>1555.0709084927803</v>
      </c>
      <c r="AL39" s="2">
        <v>-1.5973216704878723E-7</v>
      </c>
      <c r="AM39" s="2">
        <f t="shared" si="10"/>
        <v>5.2052814118950355E-14</v>
      </c>
      <c r="AN39" s="2">
        <f t="shared" si="11"/>
        <v>-1.0240474198571075E-15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1555.0709084927803</v>
      </c>
      <c r="AH40" s="2">
        <v>-1.5973216704878723E-7</v>
      </c>
      <c r="AI40" s="2">
        <f t="shared" si="14"/>
        <v>1555.0709087692667</v>
      </c>
      <c r="AJ40" s="2">
        <v>6.4110281527973711E-9</v>
      </c>
      <c r="AK40" s="2">
        <f t="shared" si="9"/>
        <v>1555.0709086310235</v>
      </c>
      <c r="AL40" s="2">
        <v>-7.6660398917738348E-8</v>
      </c>
      <c r="AM40" s="2">
        <f t="shared" si="10"/>
        <v>1.224513164595485E-14</v>
      </c>
      <c r="AN40" s="2">
        <f t="shared" si="11"/>
        <v>-4.9147197566629767E-16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1555.0709086310235</v>
      </c>
      <c r="AH41" s="2">
        <v>-7.6660398917738348E-8</v>
      </c>
      <c r="AI41" s="2">
        <f t="shared" si="14"/>
        <v>1555.0709087692667</v>
      </c>
      <c r="AJ41" s="2">
        <v>6.4110281527973711E-9</v>
      </c>
      <c r="AK41" s="2">
        <f t="shared" si="9"/>
        <v>1555.0709087001451</v>
      </c>
      <c r="AL41" s="2">
        <v>-3.512479906930821E-8</v>
      </c>
      <c r="AM41" s="2">
        <f t="shared" si="10"/>
        <v>2.6926811085585721E-15</v>
      </c>
      <c r="AN41" s="2">
        <f t="shared" si="11"/>
        <v>-2.2518607569468584E-16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1555.0709087001451</v>
      </c>
      <c r="AH42" s="2">
        <v>-3.512479906930821E-8</v>
      </c>
      <c r="AI42" s="2">
        <f t="shared" si="14"/>
        <v>1555.0709087692667</v>
      </c>
      <c r="AJ42" s="2">
        <v>6.4110281527973711E-9</v>
      </c>
      <c r="AK42" s="2">
        <f t="shared" si="9"/>
        <v>1555.0709087347059</v>
      </c>
      <c r="AL42" s="2">
        <v>-1.435694230167428E-8</v>
      </c>
      <c r="AM42" s="2">
        <f t="shared" si="10"/>
        <v>5.0428471359596043E-16</v>
      </c>
      <c r="AN42" s="2">
        <f t="shared" si="11"/>
        <v>-9.2042761284121299E-17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250.84</v>
      </c>
      <c r="L43" s="6" t="s">
        <v>7</v>
      </c>
      <c r="AF43" s="2">
        <v>39</v>
      </c>
      <c r="AG43" s="2">
        <f t="shared" si="13"/>
        <v>1555.0709087347059</v>
      </c>
      <c r="AH43" s="2">
        <v>-1.435694230167428E-8</v>
      </c>
      <c r="AI43" s="2">
        <f t="shared" si="14"/>
        <v>1555.0709087692667</v>
      </c>
      <c r="AJ43" s="2">
        <v>6.4110281527973711E-9</v>
      </c>
      <c r="AK43" s="2">
        <f t="shared" si="9"/>
        <v>1555.0709087519863</v>
      </c>
      <c r="AL43" s="2">
        <v>-3.9729002310195938E-9</v>
      </c>
      <c r="AM43" s="2">
        <f t="shared" si="10"/>
        <v>5.7038699387056727E-17</v>
      </c>
      <c r="AN43" s="2">
        <f t="shared" si="11"/>
        <v>-2.5470375229321795E-17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242.79</v>
      </c>
      <c r="L44" s="6" t="s">
        <v>7</v>
      </c>
      <c r="AF44" s="2">
        <v>40</v>
      </c>
      <c r="AG44" s="2">
        <f t="shared" si="13"/>
        <v>1555.0709087519863</v>
      </c>
      <c r="AH44" s="2">
        <v>-3.9729002310195938E-9</v>
      </c>
      <c r="AI44" s="2">
        <f t="shared" si="14"/>
        <v>1555.0709087692667</v>
      </c>
      <c r="AJ44" s="2">
        <v>6.4110281527973711E-9</v>
      </c>
      <c r="AK44" s="5">
        <f t="shared" si="9"/>
        <v>1555.0709087606265</v>
      </c>
      <c r="AL44" s="2">
        <v>1.2189502740511671E-9</v>
      </c>
      <c r="AM44" s="2">
        <f t="shared" si="10"/>
        <v>-4.8427678253792788E-18</v>
      </c>
      <c r="AN44" s="2">
        <f t="shared" si="11"/>
        <v>7.814724523802103E-18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387.9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73.53</v>
      </c>
      <c r="L46" s="6" t="s">
        <v>7</v>
      </c>
    </row>
    <row r="47" spans="2:41" x14ac:dyDescent="0.2">
      <c r="J47" s="9" t="s">
        <v>60</v>
      </c>
      <c r="K47" s="9">
        <f>SUM(K42:K46)</f>
        <v>1555.0600000000002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35" priority="1" operator="containsText" text="FALSE">
      <formula>NOT(ISERROR(SEARCH("FALSE",K31)))</formula>
    </cfRule>
    <cfRule type="containsText" dxfId="34" priority="2" operator="containsText" text="TRUE">
      <formula>NOT(ISERROR(SEARCH("TRUE",K31)))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NOT(ISERROR(SEARCH("YES",K31)))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D9D-F2B2-6B44-A3B6-9B79311720B3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312.67700182415854</v>
      </c>
      <c r="L4" s="6" t="s">
        <v>97</v>
      </c>
      <c r="N4" s="6" t="s">
        <v>131</v>
      </c>
      <c r="O4" s="6">
        <f xml:space="preserve"> $C$5 * $C$74</f>
        <v>14391.648602181531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1.1637614642789962</v>
      </c>
      <c r="X4" s="3">
        <v>1</v>
      </c>
      <c r="Y4" s="2">
        <f t="shared" ref="Y4:Y34" si="1" xml:space="preserve"> $O$22 * TAN($O$19/180*PI()) + $O$23 / (2 * SQRT($O$22^2 + X4^2)) - X4</f>
        <v>-3.1060272029072467E-2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0.48620217100137797</v>
      </c>
      <c r="AB4" s="2">
        <f>W4*AA4</f>
        <v>0.5658233504601905</v>
      </c>
      <c r="AC4" s="2">
        <f>Y4*AA4</f>
        <v>-1.5101571692428409E-2</v>
      </c>
      <c r="AD4" s="2">
        <f>X4-V4</f>
        <v>1</v>
      </c>
      <c r="AF4" s="2">
        <v>0</v>
      </c>
      <c r="AH4" s="2">
        <f>K30</f>
        <v>1.8741112102475199E-2</v>
      </c>
      <c r="AJ4" s="2">
        <f>K30</f>
        <v>1.8741112102475199E-2</v>
      </c>
      <c r="AL4" s="2">
        <f>K30</f>
        <v>1.8741112102475199E-2</v>
      </c>
    </row>
    <row r="5" spans="2:41" x14ac:dyDescent="0.2">
      <c r="B5" s="9" t="s">
        <v>38</v>
      </c>
      <c r="C5" s="9">
        <v>1468.45260936196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39.084625228019817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0.48620217100137797</v>
      </c>
      <c r="X5" s="2">
        <f>IF(AC4&gt;0, Z4, X4)</f>
        <v>1</v>
      </c>
      <c r="Y5" s="2">
        <f t="shared" si="1"/>
        <v>-3.1060272029072467E-2</v>
      </c>
      <c r="Z5" s="2">
        <f t="shared" ref="Z5:Z34" si="3" xml:space="preserve"> (V5 + X5)/2</f>
        <v>0.75</v>
      </c>
      <c r="AA5" s="2">
        <f t="shared" si="2"/>
        <v>0.22475064778331366</v>
      </c>
      <c r="AB5" s="2">
        <f t="shared" ref="AB5:AB34" si="4">W5*AA5</f>
        <v>0.10927425288621313</v>
      </c>
      <c r="AC5" s="2">
        <f t="shared" ref="AC5:AC34" si="5">Y5*AA5</f>
        <v>-6.9808162588599751E-3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-619.21829659562343</v>
      </c>
      <c r="AI5" s="3">
        <v>10000</v>
      </c>
      <c r="AJ5" s="2">
        <f t="dataTable" ref="AJ5:AJ44" dt2D="0" dtr="0" r1="C5" ca="1"/>
        <v>4479.8516830787466</v>
      </c>
      <c r="AK5" s="2">
        <f>(AG5+AI5)/2</f>
        <v>5250</v>
      </c>
      <c r="AL5" s="2">
        <f t="dataTable" ref="AL5:AL44" dt2D="0" dtr="0" r1="C5" ca="1"/>
        <v>1991.4512954542943</v>
      </c>
      <c r="AM5" s="2">
        <f>AH5*AL5</f>
        <v>-1233143.0789243558</v>
      </c>
      <c r="AN5" s="2">
        <f>AJ5*AL5</f>
        <v>8921406.4377102703</v>
      </c>
      <c r="AO5" s="2">
        <f>AI5-AG5</f>
        <v>9500</v>
      </c>
    </row>
    <row r="6" spans="2:41" x14ac:dyDescent="0.2">
      <c r="B6" s="6" t="s">
        <v>168</v>
      </c>
      <c r="C6" s="16">
        <v>415.75115835305098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151.3782675226031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0.16916085516658777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0.22475064778331366</v>
      </c>
      <c r="X6" s="2">
        <f t="shared" ref="X6:X34" si="8">IF(AC5&gt;0, Z5, X5)</f>
        <v>1</v>
      </c>
      <c r="Y6" s="2">
        <f t="shared" si="1"/>
        <v>-3.1060272029072467E-2</v>
      </c>
      <c r="Z6" s="2">
        <f t="shared" si="3"/>
        <v>0.875</v>
      </c>
      <c r="AA6" s="2">
        <f t="shared" si="2"/>
        <v>9.6435781148446531E-2</v>
      </c>
      <c r="AB6" s="2">
        <f t="shared" si="4"/>
        <v>2.1674004282603226E-2</v>
      </c>
      <c r="AC6" s="2">
        <f t="shared" si="5"/>
        <v>-2.9953215958068474E-3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-619.21829659562343</v>
      </c>
      <c r="AI6" s="2">
        <f>IF(AN5&gt;0,AK5,AI5)</f>
        <v>5250</v>
      </c>
      <c r="AJ6" s="2">
        <v>1991.4512954542943</v>
      </c>
      <c r="AK6" s="2">
        <f t="shared" ref="AK6:AK44" si="9">(AG6+AI6)/2</f>
        <v>2875</v>
      </c>
      <c r="AL6" s="2">
        <v>826.43005891083862</v>
      </c>
      <c r="AM6" s="2">
        <f t="shared" ref="AM6:AM44" si="10">AH6*AL6</f>
        <v>-511740.61333419022</v>
      </c>
      <c r="AN6" s="2">
        <f t="shared" ref="AN6:AN44" si="11">AJ6*AL6</f>
        <v>1645795.2114203584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1799.1281646399286</v>
      </c>
      <c r="H7" s="6" t="s">
        <v>21</v>
      </c>
      <c r="J7" s="6" t="s">
        <v>133</v>
      </c>
      <c r="K7" s="6">
        <f>K6/$C$28</f>
        <v>151.3782675226031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9.6435781148446531E-2</v>
      </c>
      <c r="X7" s="2">
        <f t="shared" si="8"/>
        <v>1</v>
      </c>
      <c r="Y7" s="2">
        <f t="shared" si="1"/>
        <v>-3.1060272029072467E-2</v>
      </c>
      <c r="Z7" s="2">
        <f t="shared" si="3"/>
        <v>0.9375</v>
      </c>
      <c r="AA7" s="2">
        <f t="shared" si="2"/>
        <v>3.2605531605242932E-2</v>
      </c>
      <c r="AB7" s="2">
        <f t="shared" si="4"/>
        <v>3.144339910111964E-3</v>
      </c>
      <c r="AC7" s="2">
        <f t="shared" si="5"/>
        <v>-1.0127366813113654E-3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-619.21829659562343</v>
      </c>
      <c r="AI7" s="2">
        <f t="shared" ref="AI7:AI44" si="14">IF(AN6&gt;0,AK6,AI6)</f>
        <v>2875</v>
      </c>
      <c r="AJ7" s="2">
        <v>826.43005891083862</v>
      </c>
      <c r="AK7" s="2">
        <f t="shared" si="9"/>
        <v>1687.5</v>
      </c>
      <c r="AL7" s="2">
        <v>135.21536971722946</v>
      </c>
      <c r="AM7" s="2">
        <f t="shared" si="10"/>
        <v>-83727.83090985028</v>
      </c>
      <c r="AN7" s="2">
        <f t="shared" si="11"/>
        <v>111746.04596106076</v>
      </c>
      <c r="AO7" s="2">
        <f t="shared" si="12"/>
        <v>2375</v>
      </c>
    </row>
    <row r="8" spans="2:41" x14ac:dyDescent="0.2">
      <c r="B8" s="6" t="s">
        <v>91</v>
      </c>
      <c r="C8" s="16">
        <v>1.7454279323503299</v>
      </c>
      <c r="D8" s="6" t="s">
        <v>8</v>
      </c>
      <c r="F8" t="s">
        <v>93</v>
      </c>
      <c r="G8" s="6">
        <f>G10/$C$21</f>
        <v>26.056416818679878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3.2605531605242932E-2</v>
      </c>
      <c r="X8" s="2">
        <f t="shared" si="8"/>
        <v>1</v>
      </c>
      <c r="Y8" s="2">
        <f t="shared" si="1"/>
        <v>-3.1060272029072467E-2</v>
      </c>
      <c r="Z8" s="2">
        <f t="shared" si="3"/>
        <v>0.96875</v>
      </c>
      <c r="AA8" s="2">
        <f t="shared" si="2"/>
        <v>7.5403330893630827E-4</v>
      </c>
      <c r="AB8" s="2">
        <f t="shared" si="4"/>
        <v>2.4585656885928707E-5</v>
      </c>
      <c r="AC8" s="2">
        <f t="shared" si="5"/>
        <v>-2.3420479694543374E-5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-619.21829659562343</v>
      </c>
      <c r="AI8" s="2">
        <f t="shared" si="14"/>
        <v>1687.5</v>
      </c>
      <c r="AJ8" s="2">
        <v>135.21536971722946</v>
      </c>
      <c r="AK8" s="2">
        <f t="shared" si="9"/>
        <v>1093.75</v>
      </c>
      <c r="AL8" s="2">
        <v>-236.27434255427806</v>
      </c>
      <c r="AM8" s="2">
        <f t="shared" si="10"/>
        <v>146305.39592571088</v>
      </c>
      <c r="AN8" s="2">
        <f t="shared" si="11"/>
        <v>-31947.922583172032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7.0445824323263455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7.5403330893630827E-4</v>
      </c>
      <c r="X9" s="2">
        <f t="shared" si="8"/>
        <v>1</v>
      </c>
      <c r="Y9" s="2">
        <f t="shared" si="1"/>
        <v>-3.1060272029072467E-2</v>
      </c>
      <c r="Z9" s="2">
        <f t="shared" si="3"/>
        <v>0.984375</v>
      </c>
      <c r="AA9" s="2">
        <f t="shared" si="2"/>
        <v>-1.5157550281564958E-2</v>
      </c>
      <c r="AB9" s="2">
        <f t="shared" si="4"/>
        <v>-1.1429297794176896E-5</v>
      </c>
      <c r="AC9" s="2">
        <f t="shared" si="5"/>
        <v>4.7079763503975154E-4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-236.27434255427806</v>
      </c>
      <c r="AI9" s="2">
        <f t="shared" si="14"/>
        <v>1687.5</v>
      </c>
      <c r="AJ9" s="2">
        <v>135.21536971722946</v>
      </c>
      <c r="AK9" s="2">
        <f t="shared" si="9"/>
        <v>1390.625</v>
      </c>
      <c r="AL9" s="2">
        <v>-48.557907148643721</v>
      </c>
      <c r="AM9" s="2">
        <f t="shared" si="10"/>
        <v>11472.987587357475</v>
      </c>
      <c r="AN9" s="2">
        <f t="shared" si="11"/>
        <v>-6565.7753677987603</v>
      </c>
      <c r="AO9" s="2">
        <f t="shared" si="12"/>
        <v>593.75</v>
      </c>
    </row>
    <row r="10" spans="2:41" x14ac:dyDescent="0.2">
      <c r="B10" s="6" t="s">
        <v>134</v>
      </c>
      <c r="C10" s="16">
        <v>1.6128483780265099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208.45133454943903</v>
      </c>
      <c r="H10" s="22" t="s">
        <v>97</v>
      </c>
      <c r="J10" s="6" t="s">
        <v>92</v>
      </c>
      <c r="K10" s="6">
        <f xml:space="preserve"> $C$18 * (G10*G6 + G20*G13 + G29*G25 + G33*G32)/3600</f>
        <v>91.092117783526845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7.5403330893630827E-4</v>
      </c>
      <c r="X10" s="2">
        <f t="shared" si="8"/>
        <v>0.984375</v>
      </c>
      <c r="Y10" s="2">
        <f t="shared" si="1"/>
        <v>-1.5157550281564958E-2</v>
      </c>
      <c r="Z10" s="2">
        <f t="shared" si="3"/>
        <v>0.9765625</v>
      </c>
      <c r="AA10" s="2">
        <f t="shared" si="2"/>
        <v>-7.2028924203340061E-3</v>
      </c>
      <c r="AB10" s="2">
        <f t="shared" si="4"/>
        <v>-5.431220805616705E-6</v>
      </c>
      <c r="AC10" s="2">
        <f t="shared" si="5"/>
        <v>1.0917820403391581E-4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-48.557907148643721</v>
      </c>
      <c r="AI10" s="2">
        <f t="shared" si="14"/>
        <v>1687.5</v>
      </c>
      <c r="AJ10" s="2">
        <v>135.21536971722946</v>
      </c>
      <c r="AK10" s="2">
        <f t="shared" si="9"/>
        <v>1539.0625</v>
      </c>
      <c r="AL10" s="2">
        <v>43.848046787055409</v>
      </c>
      <c r="AM10" s="2">
        <f t="shared" si="10"/>
        <v>-2129.1693845352224</v>
      </c>
      <c r="AN10" s="2">
        <f t="shared" si="11"/>
        <v>5928.9298576900728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0.88077356270100793</v>
      </c>
      <c r="U11" s="2">
        <v>7</v>
      </c>
      <c r="V11" s="2">
        <f t="shared" si="7"/>
        <v>0.96875</v>
      </c>
      <c r="W11" s="2">
        <f t="shared" si="0"/>
        <v>7.5403330893630827E-4</v>
      </c>
      <c r="X11" s="2">
        <f t="shared" si="8"/>
        <v>0.9765625</v>
      </c>
      <c r="Y11" s="2">
        <f t="shared" si="1"/>
        <v>-7.2028924203340061E-3</v>
      </c>
      <c r="Z11" s="2">
        <f t="shared" si="3"/>
        <v>0.97265625</v>
      </c>
      <c r="AA11" s="2">
        <f t="shared" si="2"/>
        <v>-3.2247164050712707E-3</v>
      </c>
      <c r="AB11" s="2">
        <f t="shared" si="4"/>
        <v>-2.431543581297087E-6</v>
      </c>
      <c r="AC11" s="2">
        <f t="shared" si="5"/>
        <v>2.3227285351814582E-5</v>
      </c>
      <c r="AD11" s="2">
        <f t="shared" si="6"/>
        <v>7.8125E-3</v>
      </c>
      <c r="AF11" s="2">
        <v>7</v>
      </c>
      <c r="AG11" s="2">
        <f t="shared" si="13"/>
        <v>1390.625</v>
      </c>
      <c r="AH11" s="2">
        <v>-48.557907148643721</v>
      </c>
      <c r="AI11" s="2">
        <f t="shared" si="14"/>
        <v>1539.0625</v>
      </c>
      <c r="AJ11" s="2">
        <v>43.848046787055409</v>
      </c>
      <c r="AK11" s="2">
        <f t="shared" si="9"/>
        <v>1464.84375</v>
      </c>
      <c r="AL11" s="2">
        <v>-2.227606986782348</v>
      </c>
      <c r="AM11" s="2">
        <f t="shared" si="10"/>
        <v>108.16793322784727</v>
      </c>
      <c r="AN11" s="2">
        <f t="shared" si="11"/>
        <v>-97.676215379603917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0.21156748924527086</v>
      </c>
      <c r="U12" s="2">
        <v>8</v>
      </c>
      <c r="V12" s="2">
        <f t="shared" si="7"/>
        <v>0.96875</v>
      </c>
      <c r="W12" s="2">
        <f t="shared" si="0"/>
        <v>7.5403330893630827E-4</v>
      </c>
      <c r="X12" s="2">
        <f t="shared" si="8"/>
        <v>0.97265625</v>
      </c>
      <c r="Y12" s="2">
        <f t="shared" si="1"/>
        <v>-3.2247164050712707E-3</v>
      </c>
      <c r="Z12" s="2">
        <f t="shared" si="3"/>
        <v>0.970703125</v>
      </c>
      <c r="AA12" s="2">
        <f t="shared" si="2"/>
        <v>-1.2354136869615617E-3</v>
      </c>
      <c r="AB12" s="2">
        <f t="shared" si="4"/>
        <v>-9.3154307028483088E-7</v>
      </c>
      <c r="AC12" s="2">
        <f t="shared" si="5"/>
        <v>3.9838587833945312E-6</v>
      </c>
      <c r="AD12" s="2">
        <f t="shared" si="6"/>
        <v>3.90625E-3</v>
      </c>
      <c r="AF12" s="2">
        <v>8</v>
      </c>
      <c r="AG12" s="2">
        <f t="shared" si="13"/>
        <v>1464.84375</v>
      </c>
      <c r="AH12" s="2">
        <v>-2.227606986782348</v>
      </c>
      <c r="AI12" s="2">
        <f t="shared" si="14"/>
        <v>1539.0625</v>
      </c>
      <c r="AJ12" s="2">
        <v>43.848046787055409</v>
      </c>
      <c r="AK12" s="2">
        <f t="shared" si="9"/>
        <v>1501.953125</v>
      </c>
      <c r="AL12" s="2">
        <v>20.842402097366062</v>
      </c>
      <c r="AM12" s="2">
        <f t="shared" si="10"/>
        <v>-46.428680533419701</v>
      </c>
      <c r="AN12" s="2">
        <f t="shared" si="11"/>
        <v>913.8986223199289</v>
      </c>
      <c r="AO12" s="2">
        <f t="shared" si="12"/>
        <v>74.21875</v>
      </c>
    </row>
    <row r="13" spans="2:41" x14ac:dyDescent="0.2">
      <c r="B13" s="6" t="s">
        <v>136</v>
      </c>
      <c r="C13" s="16">
        <v>5.6243040010406897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2.1126652908310305E-2</v>
      </c>
      <c r="U13" s="2">
        <v>9</v>
      </c>
      <c r="V13" s="2">
        <f t="shared" si="7"/>
        <v>0.96875</v>
      </c>
      <c r="W13" s="2">
        <f t="shared" si="0"/>
        <v>7.5403330893630827E-4</v>
      </c>
      <c r="X13" s="2">
        <f t="shared" si="8"/>
        <v>0.970703125</v>
      </c>
      <c r="Y13" s="2">
        <f t="shared" si="1"/>
        <v>-1.2354136869615617E-3</v>
      </c>
      <c r="Z13" s="2">
        <f t="shared" si="3"/>
        <v>0.9697265625</v>
      </c>
      <c r="AA13" s="2">
        <f t="shared" si="2"/>
        <v>-2.4070827742406209E-4</v>
      </c>
      <c r="AB13" s="2">
        <f t="shared" si="4"/>
        <v>-1.815020589144244E-7</v>
      </c>
      <c r="AC13" s="2">
        <f t="shared" si="5"/>
        <v>2.9737430049462701E-7</v>
      </c>
      <c r="AD13" s="2">
        <f t="shared" si="6"/>
        <v>1.953125E-3</v>
      </c>
      <c r="AF13" s="2">
        <v>9</v>
      </c>
      <c r="AG13" s="2">
        <f t="shared" si="13"/>
        <v>1464.84375</v>
      </c>
      <c r="AH13" s="2">
        <v>-2.227606986782348</v>
      </c>
      <c r="AI13" s="2">
        <f t="shared" si="14"/>
        <v>1501.953125</v>
      </c>
      <c r="AJ13" s="2">
        <v>20.842402097366062</v>
      </c>
      <c r="AK13" s="2">
        <f t="shared" si="9"/>
        <v>1483.3984375</v>
      </c>
      <c r="AL13" s="2">
        <v>9.3154017116421528</v>
      </c>
      <c r="AM13" s="2">
        <f t="shared" si="10"/>
        <v>-20.751053937538302</v>
      </c>
      <c r="AN13" s="2">
        <f t="shared" si="11"/>
        <v>194.1553481725378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70.219159642562076</v>
      </c>
      <c r="H14" s="6" t="s">
        <v>10</v>
      </c>
      <c r="J14" s="9" t="s">
        <v>75</v>
      </c>
      <c r="K14" s="17">
        <f>C5</f>
        <v>1468.45260936196</v>
      </c>
      <c r="L14" s="6" t="s">
        <v>7</v>
      </c>
      <c r="N14" s="6" t="s">
        <v>40</v>
      </c>
      <c r="O14" s="6">
        <f xml:space="preserve"> O5 * O13 * $C$12</f>
        <v>1437.1176114122868</v>
      </c>
      <c r="P14" s="6" t="s">
        <v>21</v>
      </c>
      <c r="U14" s="2">
        <v>10</v>
      </c>
      <c r="V14" s="2">
        <f t="shared" si="7"/>
        <v>0.96875</v>
      </c>
      <c r="W14" s="2">
        <f t="shared" si="0"/>
        <v>7.5403330893630827E-4</v>
      </c>
      <c r="X14" s="2">
        <f t="shared" si="8"/>
        <v>0.9697265625</v>
      </c>
      <c r="Y14" s="2">
        <f t="shared" si="1"/>
        <v>-2.4070827742406209E-4</v>
      </c>
      <c r="Z14" s="2">
        <f t="shared" si="3"/>
        <v>0.96923828125</v>
      </c>
      <c r="AA14" s="2">
        <f t="shared" si="2"/>
        <v>2.5665798691909547E-4</v>
      </c>
      <c r="AB14" s="2">
        <f t="shared" si="4"/>
        <v>1.9352867114153728E-7</v>
      </c>
      <c r="AC14" s="2">
        <f t="shared" si="5"/>
        <v>-6.1779701918422937E-8</v>
      </c>
      <c r="AD14" s="2">
        <f t="shared" si="6"/>
        <v>9.765625E-4</v>
      </c>
      <c r="AF14" s="2">
        <v>10</v>
      </c>
      <c r="AG14" s="2">
        <f t="shared" si="13"/>
        <v>1464.84375</v>
      </c>
      <c r="AH14" s="2">
        <v>-2.227606986782348</v>
      </c>
      <c r="AI14" s="2">
        <f t="shared" si="14"/>
        <v>1483.3984375</v>
      </c>
      <c r="AJ14" s="2">
        <v>9.3154017116421528</v>
      </c>
      <c r="AK14" s="2">
        <f t="shared" si="9"/>
        <v>1474.12109375</v>
      </c>
      <c r="AL14" s="2">
        <v>3.5458930452435879</v>
      </c>
      <c r="AM14" s="2">
        <f t="shared" si="10"/>
        <v>-7.8988561219675528</v>
      </c>
      <c r="AN14" s="2">
        <f t="shared" si="11"/>
        <v>33.031418142962124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0.21104469181596469</v>
      </c>
      <c r="H15" s="6" t="s">
        <v>120</v>
      </c>
      <c r="J15" s="10" t="s">
        <v>53</v>
      </c>
      <c r="K15" s="6">
        <f xml:space="preserve"> 1000 * K10 / ($C$60 * $C$61 * $C$62)</f>
        <v>191.36999534354379</v>
      </c>
      <c r="L15" s="6" t="s">
        <v>7</v>
      </c>
      <c r="N15" s="6" t="s">
        <v>140</v>
      </c>
      <c r="O15" s="6">
        <f>O4/O14</f>
        <v>10.014245520266462</v>
      </c>
      <c r="U15" s="2">
        <v>11</v>
      </c>
      <c r="V15" s="2">
        <f t="shared" si="7"/>
        <v>0.96923828125</v>
      </c>
      <c r="W15" s="2">
        <f t="shared" si="0"/>
        <v>2.5665798691909547E-4</v>
      </c>
      <c r="X15" s="2">
        <f t="shared" si="8"/>
        <v>0.9697265625</v>
      </c>
      <c r="Y15" s="2">
        <f t="shared" si="1"/>
        <v>-2.4070827742406209E-4</v>
      </c>
      <c r="Z15" s="2">
        <f t="shared" si="3"/>
        <v>0.969482421875</v>
      </c>
      <c r="AA15" s="2">
        <f t="shared" si="2"/>
        <v>7.973723381127229E-6</v>
      </c>
      <c r="AB15" s="2">
        <f t="shared" si="4"/>
        <v>2.0465197912498382E-9</v>
      </c>
      <c r="AC15" s="2">
        <f t="shared" si="5"/>
        <v>-1.9193412197271034E-9</v>
      </c>
      <c r="AD15" s="2">
        <f t="shared" si="6"/>
        <v>4.8828125E-4</v>
      </c>
      <c r="AF15" s="2">
        <v>11</v>
      </c>
      <c r="AG15" s="2">
        <f t="shared" si="13"/>
        <v>1464.84375</v>
      </c>
      <c r="AH15" s="2">
        <v>-2.227606986782348</v>
      </c>
      <c r="AI15" s="2">
        <f t="shared" si="14"/>
        <v>1474.12109375</v>
      </c>
      <c r="AJ15" s="2">
        <v>3.5458930452435879</v>
      </c>
      <c r="AK15" s="2">
        <f t="shared" si="9"/>
        <v>1469.482421875</v>
      </c>
      <c r="AL15" s="2">
        <v>0.65964120973671925</v>
      </c>
      <c r="AM15" s="2">
        <f t="shared" si="10"/>
        <v>-1.4694213675790759</v>
      </c>
      <c r="AN15" s="2">
        <f t="shared" si="11"/>
        <v>2.3390171779614999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1437.1176114122868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106.43108625684104</v>
      </c>
      <c r="L16" s="6" t="s">
        <v>7</v>
      </c>
      <c r="N16" s="6" t="s">
        <v>111</v>
      </c>
      <c r="O16" s="6">
        <f>(O13*$C$12)/(0.3048^2)/($C$5*2.20462/1000)^(2/3)</f>
        <v>3.1174027045345798</v>
      </c>
      <c r="U16" s="2">
        <v>12</v>
      </c>
      <c r="V16" s="2">
        <f t="shared" si="7"/>
        <v>0.969482421875</v>
      </c>
      <c r="W16" s="2">
        <f t="shared" si="0"/>
        <v>7.973723381127229E-6</v>
      </c>
      <c r="X16" s="2">
        <f t="shared" si="8"/>
        <v>0.9697265625</v>
      </c>
      <c r="Y16" s="2">
        <f t="shared" si="1"/>
        <v>-2.4070827742406209E-4</v>
      </c>
      <c r="Z16" s="2">
        <f t="shared" si="3"/>
        <v>0.9696044921875</v>
      </c>
      <c r="AA16" s="2">
        <f t="shared" si="2"/>
        <v>-1.1636755975785729E-4</v>
      </c>
      <c r="AB16" s="2">
        <f t="shared" si="4"/>
        <v>-9.2788273204594663E-10</v>
      </c>
      <c r="AC16" s="2">
        <f t="shared" si="5"/>
        <v>2.8010634857355434E-8</v>
      </c>
      <c r="AD16" s="2">
        <f t="shared" si="6"/>
        <v>2.44140625E-4</v>
      </c>
      <c r="AF16" s="2">
        <v>12</v>
      </c>
      <c r="AG16" s="2">
        <f t="shared" si="13"/>
        <v>1464.84375</v>
      </c>
      <c r="AH16" s="2">
        <v>-2.227606986782348</v>
      </c>
      <c r="AI16" s="2">
        <f t="shared" si="14"/>
        <v>1469.482421875</v>
      </c>
      <c r="AJ16" s="2">
        <v>0.65964120973671925</v>
      </c>
      <c r="AK16" s="2">
        <f t="shared" si="9"/>
        <v>1467.1630859375</v>
      </c>
      <c r="AL16" s="2">
        <v>-0.78385840377700333</v>
      </c>
      <c r="AM16" s="2">
        <f t="shared" si="10"/>
        <v>1.7461284569017115</v>
      </c>
      <c r="AN16" s="2">
        <f t="shared" si="11"/>
        <v>-0.51706530572975617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100.91884501506874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0.969482421875</v>
      </c>
      <c r="W17" s="2">
        <f t="shared" si="0"/>
        <v>7.973723381127229E-6</v>
      </c>
      <c r="X17" s="2">
        <f t="shared" si="8"/>
        <v>0.9696044921875</v>
      </c>
      <c r="Y17" s="2">
        <f t="shared" si="1"/>
        <v>-1.1636755975785729E-4</v>
      </c>
      <c r="Z17" s="2">
        <f t="shared" si="3"/>
        <v>0.96954345703125</v>
      </c>
      <c r="AA17" s="2">
        <f t="shared" si="2"/>
        <v>-5.4196988885646391E-5</v>
      </c>
      <c r="AB17" s="2">
        <f t="shared" si="4"/>
        <v>-4.3215179746417118E-10</v>
      </c>
      <c r="AC17" s="2">
        <f t="shared" si="5"/>
        <v>6.3067713428463838E-9</v>
      </c>
      <c r="AD17" s="2">
        <f t="shared" si="6"/>
        <v>1.220703125E-4</v>
      </c>
      <c r="AF17" s="2">
        <v>13</v>
      </c>
      <c r="AG17" s="2">
        <f t="shared" si="13"/>
        <v>1467.1630859375</v>
      </c>
      <c r="AH17" s="2">
        <v>-0.78385840377700333</v>
      </c>
      <c r="AI17" s="2">
        <f t="shared" si="14"/>
        <v>1469.482421875</v>
      </c>
      <c r="AJ17" s="2">
        <v>0.65964120973671925</v>
      </c>
      <c r="AK17" s="2">
        <f t="shared" si="9"/>
        <v>1468.32275390625</v>
      </c>
      <c r="AL17" s="2">
        <v>-6.2077491376498983E-2</v>
      </c>
      <c r="AM17" s="2">
        <f t="shared" si="10"/>
        <v>4.8659963300863182E-2</v>
      </c>
      <c r="AN17" s="2">
        <f t="shared" si="11"/>
        <v>-4.0948871509014544E-2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1.4530127626463081</v>
      </c>
      <c r="H18" s="6" t="s">
        <v>172</v>
      </c>
      <c r="J18" s="12" t="s">
        <v>54</v>
      </c>
      <c r="K18" s="6">
        <f xml:space="preserve"> $C$78 * (0.2138 * K4 + 0.2138 * K6)</f>
        <v>79.372013269070109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0.969482421875</v>
      </c>
      <c r="W18" s="2">
        <f t="shared" si="0"/>
        <v>7.973723381127229E-6</v>
      </c>
      <c r="X18" s="2">
        <f t="shared" si="8"/>
        <v>0.96954345703125</v>
      </c>
      <c r="Y18" s="2">
        <f t="shared" si="1"/>
        <v>-5.4196988885646391E-5</v>
      </c>
      <c r="Z18" s="2">
        <f t="shared" si="3"/>
        <v>0.969512939453125</v>
      </c>
      <c r="AA18" s="2">
        <f t="shared" si="2"/>
        <v>-2.3111650428231378E-5</v>
      </c>
      <c r="AB18" s="2">
        <f t="shared" si="4"/>
        <v>-1.8428590739602767E-10</v>
      </c>
      <c r="AC18" s="2">
        <f t="shared" si="5"/>
        <v>1.2525818613878007E-9</v>
      </c>
      <c r="AD18" s="2">
        <f t="shared" si="6"/>
        <v>6.103515625E-5</v>
      </c>
      <c r="AF18" s="2">
        <v>14</v>
      </c>
      <c r="AG18" s="2">
        <f t="shared" si="13"/>
        <v>1468.32275390625</v>
      </c>
      <c r="AH18" s="2">
        <v>-6.2077491376498983E-2</v>
      </c>
      <c r="AI18" s="2">
        <f t="shared" si="14"/>
        <v>1469.482421875</v>
      </c>
      <c r="AJ18" s="2">
        <v>0.65964120973671925</v>
      </c>
      <c r="AK18" s="2">
        <f t="shared" si="9"/>
        <v>1468.902587890625</v>
      </c>
      <c r="AL18" s="2">
        <v>0.29878976916666034</v>
      </c>
      <c r="AM18" s="2">
        <f t="shared" si="10"/>
        <v>-1.8548119318829479E-2</v>
      </c>
      <c r="AN18" s="2">
        <f t="shared" si="11"/>
        <v>0.19709404479005091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4.1604360286252001E-2</v>
      </c>
      <c r="J19" s="12" t="s">
        <v>73</v>
      </c>
      <c r="K19" s="6">
        <f xml:space="preserve"> $C$78 * (0.1149 * K4 + 0.1149 * K6)</f>
        <v>42.655960358354335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0.969482421875</v>
      </c>
      <c r="W19" s="2">
        <f t="shared" si="0"/>
        <v>7.973723381127229E-6</v>
      </c>
      <c r="X19" s="2">
        <f t="shared" si="8"/>
        <v>0.969512939453125</v>
      </c>
      <c r="Y19" s="2">
        <f t="shared" si="1"/>
        <v>-2.3111650428231378E-5</v>
      </c>
      <c r="Z19" s="2">
        <f t="shared" si="3"/>
        <v>0.9694976806640625</v>
      </c>
      <c r="AA19" s="2">
        <f t="shared" si="2"/>
        <v>-7.5689679427393131E-6</v>
      </c>
      <c r="AB19" s="2">
        <f t="shared" si="4"/>
        <v>-6.0352856656022918E-11</v>
      </c>
      <c r="AC19" s="2">
        <f t="shared" si="5"/>
        <v>1.7493134119508062E-10</v>
      </c>
      <c r="AD19" s="2">
        <f t="shared" si="6"/>
        <v>3.0517578125E-5</v>
      </c>
      <c r="AF19" s="2">
        <v>15</v>
      </c>
      <c r="AG19" s="2">
        <f t="shared" si="13"/>
        <v>1468.32275390625</v>
      </c>
      <c r="AH19" s="2">
        <v>-6.2077491376498983E-2</v>
      </c>
      <c r="AI19" s="2">
        <f t="shared" si="14"/>
        <v>1468.902587890625</v>
      </c>
      <c r="AJ19" s="2">
        <v>0.29878976916666034</v>
      </c>
      <c r="AK19" s="2">
        <f t="shared" si="9"/>
        <v>1468.6126708984375</v>
      </c>
      <c r="AL19" s="2">
        <v>0.11835816910092944</v>
      </c>
      <c r="AM19" s="2">
        <f t="shared" si="10"/>
        <v>-7.3473782217011556E-3</v>
      </c>
      <c r="AN19" s="2">
        <f t="shared" si="11"/>
        <v>3.5364210024655257E-2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100.91884501506874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202.75583495735552</v>
      </c>
      <c r="L20" s="6" t="s">
        <v>7</v>
      </c>
      <c r="N20" s="6" t="s">
        <v>20</v>
      </c>
      <c r="O20" s="6">
        <f xml:space="preserve"> O14 / $C$28</f>
        <v>1437.1176114122868</v>
      </c>
      <c r="P20" s="6" t="s">
        <v>21</v>
      </c>
      <c r="U20" s="2">
        <v>16</v>
      </c>
      <c r="V20" s="2">
        <f t="shared" si="7"/>
        <v>0.969482421875</v>
      </c>
      <c r="W20" s="2">
        <f t="shared" si="0"/>
        <v>7.973723381127229E-6</v>
      </c>
      <c r="X20" s="2">
        <f t="shared" si="8"/>
        <v>0.9694976806640625</v>
      </c>
      <c r="Y20" s="2">
        <f t="shared" si="1"/>
        <v>-7.5689679427393131E-6</v>
      </c>
      <c r="Z20" s="2">
        <f t="shared" si="3"/>
        <v>0.96949005126953125</v>
      </c>
      <c r="AA20" s="2">
        <f t="shared" si="2"/>
        <v>2.0237661435551502E-7</v>
      </c>
      <c r="AB20" s="2">
        <f t="shared" si="4"/>
        <v>1.6136951416799384E-12</v>
      </c>
      <c r="AC20" s="2">
        <f t="shared" si="5"/>
        <v>-1.5317821064170099E-12</v>
      </c>
      <c r="AD20" s="2">
        <f t="shared" si="6"/>
        <v>1.52587890625E-5</v>
      </c>
      <c r="AF20" s="2">
        <v>16</v>
      </c>
      <c r="AG20" s="2">
        <f t="shared" si="13"/>
        <v>1468.32275390625</v>
      </c>
      <c r="AH20" s="2">
        <v>-6.2077491376498983E-2</v>
      </c>
      <c r="AI20" s="2">
        <f t="shared" si="14"/>
        <v>1468.6126708984375</v>
      </c>
      <c r="AJ20" s="2">
        <v>0.11835816910092944</v>
      </c>
      <c r="AK20" s="2">
        <f t="shared" si="9"/>
        <v>1468.4677124023438</v>
      </c>
      <c r="AL20" s="2">
        <v>2.8140925715092635E-2</v>
      </c>
      <c r="AM20" s="2">
        <f t="shared" si="10"/>
        <v>-1.7469180734053615E-3</v>
      </c>
      <c r="AN20" s="2">
        <f t="shared" si="11"/>
        <v>3.3307084444436281E-3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38.179767843410964</v>
      </c>
      <c r="L21" s="6" t="s">
        <v>7</v>
      </c>
      <c r="N21" s="6" t="s">
        <v>27</v>
      </c>
      <c r="O21" s="6">
        <f>$C$6*2*PI()/60</f>
        <v>43.537359493446388</v>
      </c>
      <c r="P21" s="6" t="s">
        <v>28</v>
      </c>
      <c r="U21" s="2">
        <v>17</v>
      </c>
      <c r="V21" s="2">
        <f t="shared" si="7"/>
        <v>0.96949005126953125</v>
      </c>
      <c r="W21" s="2">
        <f t="shared" si="0"/>
        <v>2.0237661435551502E-7</v>
      </c>
      <c r="X21" s="2">
        <f t="shared" si="8"/>
        <v>0.9694976806640625</v>
      </c>
      <c r="Y21" s="2">
        <f t="shared" si="1"/>
        <v>-7.5689679427393131E-6</v>
      </c>
      <c r="Z21" s="2">
        <f t="shared" si="3"/>
        <v>0.96949386596679688</v>
      </c>
      <c r="AA21" s="2">
        <f t="shared" si="2"/>
        <v>-3.6832959403598764E-6</v>
      </c>
      <c r="AB21" s="2">
        <f t="shared" si="4"/>
        <v>-7.4541296207944474E-13</v>
      </c>
      <c r="AC21" s="2">
        <f t="shared" si="5"/>
        <v>2.7878748896205758E-11</v>
      </c>
      <c r="AD21" s="2">
        <f t="shared" si="6"/>
        <v>7.62939453125E-6</v>
      </c>
      <c r="AF21" s="2">
        <v>17</v>
      </c>
      <c r="AG21" s="2">
        <f t="shared" si="13"/>
        <v>1468.32275390625</v>
      </c>
      <c r="AH21" s="2">
        <v>-6.2077491376498983E-2</v>
      </c>
      <c r="AI21" s="2">
        <f t="shared" si="14"/>
        <v>1468.4677124023438</v>
      </c>
      <c r="AJ21" s="2">
        <v>2.8140925715092635E-2</v>
      </c>
      <c r="AK21" s="2">
        <f t="shared" si="9"/>
        <v>1468.3952331542969</v>
      </c>
      <c r="AL21" s="2">
        <v>-1.6968162562193356E-2</v>
      </c>
      <c r="AM21" s="2">
        <f t="shared" si="10"/>
        <v>1.0533409651295909E-3</v>
      </c>
      <c r="AN21" s="2">
        <f t="shared" si="11"/>
        <v>-4.7749980218429917E-4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99.953673832377291</v>
      </c>
      <c r="L22" s="6" t="s">
        <v>7</v>
      </c>
      <c r="N22" s="6" t="s">
        <v>29</v>
      </c>
      <c r="O22" s="6">
        <f xml:space="preserve"> $C$7 * COS(O19/180*PI()) / (O21 * $C$10)</f>
        <v>8.322964153140551E-2</v>
      </c>
      <c r="U22" s="2">
        <v>18</v>
      </c>
      <c r="V22" s="2">
        <f t="shared" si="7"/>
        <v>0.96949005126953125</v>
      </c>
      <c r="W22" s="2">
        <f t="shared" si="0"/>
        <v>2.0237661435551502E-7</v>
      </c>
      <c r="X22" s="2">
        <f t="shared" si="8"/>
        <v>0.96949386596679688</v>
      </c>
      <c r="Y22" s="2">
        <f t="shared" si="1"/>
        <v>-3.6832959403598764E-6</v>
      </c>
      <c r="Z22" s="2">
        <f t="shared" si="3"/>
        <v>0.96949195861816406</v>
      </c>
      <c r="AA22" s="2">
        <f t="shared" si="2"/>
        <v>-1.740459732113564E-6</v>
      </c>
      <c r="AB22" s="2">
        <f t="shared" si="4"/>
        <v>-3.5222834800724972E-13</v>
      </c>
      <c r="AC22" s="2">
        <f t="shared" si="5"/>
        <v>6.4106282656537278E-12</v>
      </c>
      <c r="AD22" s="2">
        <f t="shared" si="6"/>
        <v>3.814697265625E-6</v>
      </c>
      <c r="AF22" s="2">
        <v>18</v>
      </c>
      <c r="AG22" s="2">
        <f t="shared" si="13"/>
        <v>1468.3952331542969</v>
      </c>
      <c r="AH22" s="2">
        <v>-1.6968162562193356E-2</v>
      </c>
      <c r="AI22" s="2">
        <f t="shared" si="14"/>
        <v>1468.4677124023438</v>
      </c>
      <c r="AJ22" s="2">
        <v>2.8140925715092635E-2</v>
      </c>
      <c r="AK22" s="2">
        <f t="shared" si="9"/>
        <v>1468.4314727783203</v>
      </c>
      <c r="AL22" s="2">
        <v>5.5863058789782372E-3</v>
      </c>
      <c r="AM22" s="2">
        <f t="shared" si="10"/>
        <v>-9.4789346276639175E-5</v>
      </c>
      <c r="AN22" s="2">
        <f t="shared" si="11"/>
        <v>1.5720381876211184E-4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17.342756333458588</v>
      </c>
      <c r="L23" s="6" t="s">
        <v>7</v>
      </c>
      <c r="N23" s="6" t="s">
        <v>30</v>
      </c>
      <c r="O23" s="6">
        <f xml:space="preserve"> O20 / ( $C$71 * PI() * $C$10^2 * O21^2 * $C$10^2)</f>
        <v>3.5362994354291251E-2</v>
      </c>
      <c r="U23" s="2">
        <v>19</v>
      </c>
      <c r="V23" s="2">
        <f t="shared" si="7"/>
        <v>0.96949005126953125</v>
      </c>
      <c r="W23" s="2">
        <f t="shared" si="0"/>
        <v>2.0237661435551502E-7</v>
      </c>
      <c r="X23" s="2">
        <f t="shared" si="8"/>
        <v>0.96949195861816406</v>
      </c>
      <c r="Y23" s="2">
        <f t="shared" si="1"/>
        <v>-1.740459732113564E-6</v>
      </c>
      <c r="Z23" s="2">
        <f t="shared" si="3"/>
        <v>0.96949100494384766</v>
      </c>
      <c r="AA23" s="2">
        <f t="shared" si="2"/>
        <v>-7.6904157608748136E-7</v>
      </c>
      <c r="AB23" s="2">
        <f t="shared" si="4"/>
        <v>-1.5563603046721366E-13</v>
      </c>
      <c r="AC23" s="2">
        <f t="shared" si="5"/>
        <v>1.3384858955014109E-12</v>
      </c>
      <c r="AD23" s="2">
        <f t="shared" si="6"/>
        <v>1.9073486328125E-6</v>
      </c>
      <c r="AF23" s="2">
        <v>19</v>
      </c>
      <c r="AG23" s="2">
        <f t="shared" si="13"/>
        <v>1468.3952331542969</v>
      </c>
      <c r="AH23" s="2">
        <v>-1.6968162562193356E-2</v>
      </c>
      <c r="AI23" s="2">
        <f t="shared" si="14"/>
        <v>1468.4314727783203</v>
      </c>
      <c r="AJ23" s="2">
        <v>5.5863058789782372E-3</v>
      </c>
      <c r="AK23" s="2">
        <f t="shared" si="9"/>
        <v>1468.4133529663086</v>
      </c>
      <c r="AL23" s="2">
        <v>-5.6908150601202578E-3</v>
      </c>
      <c r="AM23" s="2">
        <f t="shared" si="10"/>
        <v>9.6562675051498696E-5</v>
      </c>
      <c r="AN23" s="2">
        <f t="shared" si="11"/>
        <v>-3.179063362652769E-5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6.8891387175277448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0.96949005126953125</v>
      </c>
      <c r="W24" s="2">
        <f t="shared" si="0"/>
        <v>2.0237661435551502E-7</v>
      </c>
      <c r="X24" s="2">
        <f t="shared" si="8"/>
        <v>0.96949100494384766</v>
      </c>
      <c r="Y24" s="2">
        <f t="shared" si="1"/>
        <v>-7.6904157608748136E-7</v>
      </c>
      <c r="Z24" s="2">
        <f t="shared" si="3"/>
        <v>0.96949052810668945</v>
      </c>
      <c r="AA24" s="2">
        <f t="shared" si="2"/>
        <v>-2.8333248525136412E-7</v>
      </c>
      <c r="AB24" s="2">
        <f t="shared" si="4"/>
        <v>-5.7339869102104959E-14</v>
      </c>
      <c r="AC24" s="2">
        <f t="shared" si="5"/>
        <v>2.1789446101449214E-13</v>
      </c>
      <c r="AD24" s="2">
        <f t="shared" si="6"/>
        <v>9.5367431640625E-7</v>
      </c>
      <c r="AF24" s="2">
        <v>20</v>
      </c>
      <c r="AG24" s="2">
        <f t="shared" si="13"/>
        <v>1468.4133529663086</v>
      </c>
      <c r="AH24" s="2">
        <v>-5.6908150601202578E-3</v>
      </c>
      <c r="AI24" s="2">
        <f t="shared" si="14"/>
        <v>1468.4314727783203</v>
      </c>
      <c r="AJ24" s="2">
        <v>5.5863058789782372E-3</v>
      </c>
      <c r="AK24" s="2">
        <f t="shared" si="9"/>
        <v>1468.4224128723145</v>
      </c>
      <c r="AL24" s="2">
        <v>-5.2358476295921719E-5</v>
      </c>
      <c r="AM24" s="2">
        <f t="shared" si="10"/>
        <v>2.9796240542978086E-7</v>
      </c>
      <c r="AN24" s="2">
        <f t="shared" si="11"/>
        <v>-2.9249046394625018E-7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14.201164096803412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2785.336964454295</v>
      </c>
      <c r="P25" s="6" t="s">
        <v>19</v>
      </c>
      <c r="U25" s="2">
        <v>21</v>
      </c>
      <c r="V25" s="2">
        <f t="shared" si="7"/>
        <v>0.96949005126953125</v>
      </c>
      <c r="W25" s="2">
        <f t="shared" si="0"/>
        <v>2.0237661435551502E-7</v>
      </c>
      <c r="X25" s="2">
        <f t="shared" si="8"/>
        <v>0.96949052810668945</v>
      </c>
      <c r="Y25" s="2">
        <f t="shared" si="1"/>
        <v>-2.8333248525136412E-7</v>
      </c>
      <c r="Z25" s="2">
        <f t="shared" si="3"/>
        <v>0.96949028968811035</v>
      </c>
      <c r="AA25" s="2">
        <f t="shared" si="2"/>
        <v>-4.0477936558147576E-8</v>
      </c>
      <c r="AB25" s="2">
        <f t="shared" si="4"/>
        <v>-8.1917877567352354E-15</v>
      </c>
      <c r="AC25" s="2">
        <f t="shared" si="5"/>
        <v>1.1468714362867E-14</v>
      </c>
      <c r="AD25" s="2">
        <f t="shared" si="6"/>
        <v>4.76837158203125E-7</v>
      </c>
      <c r="AF25" s="2">
        <v>21</v>
      </c>
      <c r="AG25" s="2">
        <f t="shared" si="13"/>
        <v>1468.4224128723145</v>
      </c>
      <c r="AH25" s="2">
        <v>-5.2358476295921719E-5</v>
      </c>
      <c r="AI25" s="2">
        <f t="shared" si="14"/>
        <v>1468.4314727783203</v>
      </c>
      <c r="AJ25" s="2">
        <v>5.5863058789782372E-3</v>
      </c>
      <c r="AK25" s="2">
        <f t="shared" si="9"/>
        <v>1468.4269428253174</v>
      </c>
      <c r="AL25" s="2">
        <v>2.7669741707541107E-3</v>
      </c>
      <c r="AM25" s="2">
        <f t="shared" si="10"/>
        <v>-1.4487455153085677E-7</v>
      </c>
      <c r="AN25" s="2">
        <f t="shared" si="11"/>
        <v>1.5457164077064623E-5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1799.1281646399286</v>
      </c>
      <c r="H26" s="6" t="s">
        <v>21</v>
      </c>
      <c r="J26" s="14" t="s">
        <v>65</v>
      </c>
      <c r="K26" s="6">
        <f xml:space="preserve"> $C$80 * (0.0268 * $C$5)</f>
        <v>31.483623944720421</v>
      </c>
      <c r="L26" s="6" t="s">
        <v>7</v>
      </c>
      <c r="N26" s="6" t="s">
        <v>32</v>
      </c>
      <c r="O26" s="17">
        <f>Z34</f>
        <v>0.96949025010690093</v>
      </c>
      <c r="U26" s="2">
        <v>22</v>
      </c>
      <c r="V26" s="2">
        <f t="shared" si="7"/>
        <v>0.96949005126953125</v>
      </c>
      <c r="W26" s="2">
        <f t="shared" si="0"/>
        <v>2.0237661435551502E-7</v>
      </c>
      <c r="X26" s="2">
        <f t="shared" si="8"/>
        <v>0.96949028968811035</v>
      </c>
      <c r="Y26" s="2">
        <f t="shared" si="1"/>
        <v>-4.0477936558147576E-8</v>
      </c>
      <c r="Z26" s="2">
        <f t="shared" si="3"/>
        <v>0.9694901704788208</v>
      </c>
      <c r="AA26" s="2">
        <f t="shared" si="2"/>
        <v>8.0949338676639115E-8</v>
      </c>
      <c r="AB26" s="2">
        <f t="shared" si="4"/>
        <v>1.6382253095696171E-14</v>
      </c>
      <c r="AC26" s="2">
        <f t="shared" si="5"/>
        <v>-3.2766621953770001E-15</v>
      </c>
      <c r="AD26" s="2">
        <f t="shared" si="6"/>
        <v>2.384185791015625E-7</v>
      </c>
      <c r="AF26" s="2">
        <v>22</v>
      </c>
      <c r="AG26" s="2">
        <f t="shared" si="13"/>
        <v>1468.4224128723145</v>
      </c>
      <c r="AH26" s="2">
        <v>-5.2358476295921719E-5</v>
      </c>
      <c r="AI26" s="2">
        <f t="shared" si="14"/>
        <v>1468.4269428253174</v>
      </c>
      <c r="AJ26" s="2">
        <v>2.7669741707541107E-3</v>
      </c>
      <c r="AK26" s="2">
        <f t="shared" si="9"/>
        <v>1468.4246778488159</v>
      </c>
      <c r="AL26" s="2">
        <v>1.3573079647812847E-3</v>
      </c>
      <c r="AM26" s="2">
        <f t="shared" si="10"/>
        <v>-7.1066576900266646E-8</v>
      </c>
      <c r="AN26" s="2">
        <f t="shared" si="11"/>
        <v>3.7556360803086449E-6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22.807320646864035</v>
      </c>
      <c r="H27" t="s">
        <v>97</v>
      </c>
      <c r="J27" s="14" t="s">
        <v>66</v>
      </c>
      <c r="K27" s="6">
        <f xml:space="preserve"> $C$80 * (11.5 * ($C$5*2.20462/1000)^0.4 * 0.453592)</f>
        <v>6.6762206994977085</v>
      </c>
      <c r="L27" s="6" t="s">
        <v>7</v>
      </c>
      <c r="N27" s="6" t="s">
        <v>33</v>
      </c>
      <c r="O27" s="6">
        <f xml:space="preserve"> O21 * $C$10 * O26 - $C$7 * SIN(O19/180*PI())</f>
        <v>1.2759589689238169</v>
      </c>
      <c r="P27" s="6" t="s">
        <v>10</v>
      </c>
      <c r="U27" s="2">
        <v>23</v>
      </c>
      <c r="V27" s="2">
        <f t="shared" si="7"/>
        <v>0.9694901704788208</v>
      </c>
      <c r="W27" s="2">
        <f t="shared" si="0"/>
        <v>8.0949338676639115E-8</v>
      </c>
      <c r="X27" s="2">
        <f t="shared" si="8"/>
        <v>0.96949028968811035</v>
      </c>
      <c r="Y27" s="2">
        <f t="shared" si="1"/>
        <v>-4.0477936558147576E-8</v>
      </c>
      <c r="Z27" s="2">
        <f t="shared" si="3"/>
        <v>0.96949023008346558</v>
      </c>
      <c r="AA27" s="2">
        <f t="shared" si="2"/>
        <v>2.0235701003734619E-8</v>
      </c>
      <c r="AB27" s="2">
        <f t="shared" si="4"/>
        <v>1.6380666139105198E-15</v>
      </c>
      <c r="AC27" s="2">
        <f t="shared" si="5"/>
        <v>-8.1909942143881311E-16</v>
      </c>
      <c r="AD27" s="2">
        <f t="shared" si="6"/>
        <v>1.1920928955078125E-7</v>
      </c>
      <c r="AF27" s="2">
        <v>23</v>
      </c>
      <c r="AG27" s="2">
        <f t="shared" si="13"/>
        <v>1468.4224128723145</v>
      </c>
      <c r="AH27" s="2">
        <v>-5.2358476295921719E-5</v>
      </c>
      <c r="AI27" s="2">
        <f t="shared" si="14"/>
        <v>1468.4246778488159</v>
      </c>
      <c r="AJ27" s="2">
        <v>1.3573079647812847E-3</v>
      </c>
      <c r="AK27" s="2">
        <f t="shared" si="9"/>
        <v>1468.4235453605652</v>
      </c>
      <c r="AL27" s="2">
        <v>6.5247477357388561E-4</v>
      </c>
      <c r="AM27" s="2">
        <f t="shared" si="10"/>
        <v>-3.4162584965855178E-8</v>
      </c>
      <c r="AN27" s="2">
        <f t="shared" si="11"/>
        <v>8.856092069907002E-7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8.0481429192114984</v>
      </c>
      <c r="H28" s="6" t="s">
        <v>172</v>
      </c>
      <c r="J28" s="14" t="s">
        <v>67</v>
      </c>
      <c r="K28" s="6">
        <f xml:space="preserve"> $C$80 * (8 * ($C$5/1000))</f>
        <v>9.3980966999165432</v>
      </c>
      <c r="L28" s="6" t="s">
        <v>7</v>
      </c>
      <c r="N28" s="6" t="s">
        <v>34</v>
      </c>
      <c r="O28" s="6">
        <f xml:space="preserve"> 1/$C$31 - O25 * SQRT( (2*$C$71*PI()*$C$10^2) / O20^3 )</f>
        <v>1.125760608926446</v>
      </c>
      <c r="U28" s="2">
        <v>24</v>
      </c>
      <c r="V28" s="2">
        <f t="shared" si="7"/>
        <v>0.96949023008346558</v>
      </c>
      <c r="W28" s="2">
        <f t="shared" si="0"/>
        <v>2.0235701003734619E-8</v>
      </c>
      <c r="X28" s="2">
        <f t="shared" si="8"/>
        <v>0.96949028968811035</v>
      </c>
      <c r="Y28" s="2">
        <f t="shared" si="1"/>
        <v>-4.0477936558147576E-8</v>
      </c>
      <c r="Z28" s="2">
        <f t="shared" si="3"/>
        <v>0.96949025988578796</v>
      </c>
      <c r="AA28" s="2">
        <f t="shared" si="2"/>
        <v>-1.0121117721695327E-8</v>
      </c>
      <c r="AB28" s="2">
        <f t="shared" si="4"/>
        <v>-2.0480791203982637E-16</v>
      </c>
      <c r="AC28" s="2">
        <f t="shared" si="5"/>
        <v>4.096819610363266E-16</v>
      </c>
      <c r="AD28" s="2">
        <f t="shared" si="6"/>
        <v>5.9604644775390625E-8</v>
      </c>
      <c r="AF28" s="2">
        <v>24</v>
      </c>
      <c r="AG28" s="2">
        <f t="shared" si="13"/>
        <v>1468.4224128723145</v>
      </c>
      <c r="AH28" s="2">
        <v>-5.2358476295921719E-5</v>
      </c>
      <c r="AI28" s="2">
        <f t="shared" si="14"/>
        <v>1468.4235453605652</v>
      </c>
      <c r="AJ28" s="2">
        <v>6.5247477357388561E-4</v>
      </c>
      <c r="AK28" s="2">
        <f t="shared" si="9"/>
        <v>1468.4229791164398</v>
      </c>
      <c r="AL28" s="2">
        <v>3.0005815597178298E-4</v>
      </c>
      <c r="AM28" s="2">
        <f t="shared" si="10"/>
        <v>-1.5710587846846582E-8</v>
      </c>
      <c r="AN28" s="2">
        <f t="shared" si="11"/>
        <v>1.9578037737668676E-7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182.45856517491228</v>
      </c>
      <c r="H29" s="22" t="s">
        <v>97</v>
      </c>
      <c r="J29" s="14" t="s">
        <v>68</v>
      </c>
      <c r="K29" s="6">
        <f xml:space="preserve"> $C$80 * (13 * ($C$5*2.20462/1000)^1.3 * 0.453592)</f>
        <v>21.72453589697998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0.96949023008346558</v>
      </c>
      <c r="W29" s="2">
        <f t="shared" si="0"/>
        <v>2.0235701003734619E-8</v>
      </c>
      <c r="X29" s="2">
        <f t="shared" si="8"/>
        <v>0.96949025988578796</v>
      </c>
      <c r="Y29" s="2">
        <f t="shared" si="1"/>
        <v>-1.0121117721695327E-8</v>
      </c>
      <c r="Z29" s="2">
        <f t="shared" si="3"/>
        <v>0.96949024498462677</v>
      </c>
      <c r="AA29" s="2">
        <f t="shared" si="2"/>
        <v>5.0572915855084943E-9</v>
      </c>
      <c r="AB29" s="2">
        <f t="shared" si="4"/>
        <v>1.0233784041305288E-16</v>
      </c>
      <c r="AC29" s="2">
        <f t="shared" si="5"/>
        <v>-5.1185443489870682E-17</v>
      </c>
      <c r="AD29" s="2">
        <f t="shared" si="6"/>
        <v>2.9802322387695312E-8</v>
      </c>
      <c r="AF29" s="2">
        <v>25</v>
      </c>
      <c r="AG29" s="2">
        <f t="shared" si="13"/>
        <v>1468.4224128723145</v>
      </c>
      <c r="AH29" s="2">
        <v>-5.2358476295921719E-5</v>
      </c>
      <c r="AI29" s="2">
        <f t="shared" si="14"/>
        <v>1468.4229791164398</v>
      </c>
      <c r="AJ29" s="2">
        <v>3.0005815597178298E-4</v>
      </c>
      <c r="AK29" s="2">
        <f t="shared" si="9"/>
        <v>1468.4226959943771</v>
      </c>
      <c r="AL29" s="2">
        <v>1.2384984165692003E-4</v>
      </c>
      <c r="AM29" s="2">
        <f t="shared" si="10"/>
        <v>-6.4845889986475063E-9</v>
      </c>
      <c r="AN29" s="2">
        <f t="shared" si="11"/>
        <v>3.7162155104972739E-8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1.8741112102475199E-2</v>
      </c>
      <c r="L30" s="9" t="s">
        <v>7</v>
      </c>
      <c r="N30" s="6" t="s">
        <v>36</v>
      </c>
      <c r="O30" s="6">
        <f xml:space="preserve"> 1/$C$77 * LN( EXP($C$77 * O28) + EXP($C$77 * O29) )</f>
        <v>1.1631416157461225</v>
      </c>
      <c r="U30" s="2">
        <v>26</v>
      </c>
      <c r="V30" s="2">
        <f>IF(AB29&gt;0, Z29, V29)</f>
        <v>0.96949024498462677</v>
      </c>
      <c r="W30" s="2">
        <f t="shared" si="0"/>
        <v>5.0572915855084943E-9</v>
      </c>
      <c r="X30" s="2">
        <f t="shared" si="8"/>
        <v>0.96949025988578796</v>
      </c>
      <c r="Y30" s="2">
        <f t="shared" si="1"/>
        <v>-1.0121117721695327E-8</v>
      </c>
      <c r="Z30" s="2">
        <f t="shared" si="3"/>
        <v>0.96949025243520737</v>
      </c>
      <c r="AA30" s="2">
        <f t="shared" si="2"/>
        <v>-2.5319131236045678E-9</v>
      </c>
      <c r="AB30" s="2">
        <f t="shared" si="4"/>
        <v>-1.2804622935243909E-17</v>
      </c>
      <c r="AC30" s="2">
        <f t="shared" si="5"/>
        <v>2.5625790785107163E-17</v>
      </c>
      <c r="AD30" s="2">
        <f t="shared" si="6"/>
        <v>1.4901161193847656E-8</v>
      </c>
      <c r="AF30" s="2">
        <v>26</v>
      </c>
      <c r="AG30" s="2">
        <f t="shared" si="13"/>
        <v>1468.4224128723145</v>
      </c>
      <c r="AH30" s="2">
        <v>-5.2358476295921719E-5</v>
      </c>
      <c r="AI30" s="2">
        <f t="shared" si="14"/>
        <v>1468.4226959943771</v>
      </c>
      <c r="AJ30" s="2">
        <v>1.2384984165692003E-4</v>
      </c>
      <c r="AK30" s="2">
        <f t="shared" si="9"/>
        <v>1468.4225544333458</v>
      </c>
      <c r="AL30" s="2">
        <v>3.5851448160428845E-5</v>
      </c>
      <c r="AM30" s="2">
        <f t="shared" si="10"/>
        <v>-1.8771271986822798E-9</v>
      </c>
      <c r="AN30" s="2">
        <f t="shared" si="11"/>
        <v>4.4401961778403898E-9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0.96949024498462677</v>
      </c>
      <c r="W31" s="2">
        <f t="shared" si="0"/>
        <v>5.0572915855084943E-9</v>
      </c>
      <c r="X31" s="2">
        <f t="shared" si="8"/>
        <v>0.96949025243520737</v>
      </c>
      <c r="Y31" s="2">
        <f t="shared" si="1"/>
        <v>-2.5319131236045678E-9</v>
      </c>
      <c r="Z31" s="2">
        <f t="shared" si="3"/>
        <v>0.96949024870991707</v>
      </c>
      <c r="AA31" s="2">
        <f t="shared" si="2"/>
        <v>1.2626892864631145E-9</v>
      </c>
      <c r="AB31" s="2">
        <f t="shared" si="4"/>
        <v>6.3857879035416338E-18</v>
      </c>
      <c r="AC31" s="2">
        <f t="shared" si="5"/>
        <v>-3.1970195754308471E-18</v>
      </c>
      <c r="AD31" s="2">
        <f t="shared" si="6"/>
        <v>7.4505805969238281E-9</v>
      </c>
      <c r="AF31" s="2">
        <v>27</v>
      </c>
      <c r="AG31" s="2">
        <f t="shared" si="13"/>
        <v>1468.4224128723145</v>
      </c>
      <c r="AH31" s="2">
        <v>-5.2358476295921719E-5</v>
      </c>
      <c r="AI31" s="2">
        <f t="shared" si="14"/>
        <v>1468.4225544333458</v>
      </c>
      <c r="AJ31" s="2">
        <v>3.5851448160428845E-5</v>
      </c>
      <c r="AK31" s="2">
        <f t="shared" si="9"/>
        <v>1468.4224836528301</v>
      </c>
      <c r="AL31" s="2">
        <v>-8.2535140109030181E-6</v>
      </c>
      <c r="AM31" s="2">
        <f t="shared" si="10"/>
        <v>4.3214141769792346E-10</v>
      </c>
      <c r="AN31" s="2">
        <f t="shared" si="11"/>
        <v>-2.9590042970326269E-10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0.96949024870991707</v>
      </c>
      <c r="W32" s="2">
        <f t="shared" si="0"/>
        <v>1.2626892864631145E-9</v>
      </c>
      <c r="X32" s="2">
        <f t="shared" si="8"/>
        <v>0.96949025243520737</v>
      </c>
      <c r="Y32" s="2">
        <f t="shared" si="1"/>
        <v>-2.5319131236045678E-9</v>
      </c>
      <c r="Z32" s="2">
        <f t="shared" si="3"/>
        <v>0.96949025057256222</v>
      </c>
      <c r="AA32" s="2">
        <f t="shared" si="2"/>
        <v>-6.3461191857072663E-10</v>
      </c>
      <c r="AB32" s="2">
        <f t="shared" si="4"/>
        <v>-8.0131767064105894E-19</v>
      </c>
      <c r="AC32" s="2">
        <f t="shared" si="5"/>
        <v>1.6067822450250961E-18</v>
      </c>
      <c r="AD32" s="2">
        <f t="shared" si="6"/>
        <v>3.7252902984619141E-9</v>
      </c>
      <c r="AF32" s="2">
        <v>28</v>
      </c>
      <c r="AG32" s="2">
        <f t="shared" si="13"/>
        <v>1468.4224836528301</v>
      </c>
      <c r="AH32" s="2">
        <v>-8.2535140109030181E-6</v>
      </c>
      <c r="AI32" s="2">
        <f t="shared" si="14"/>
        <v>1468.4225544333458</v>
      </c>
      <c r="AJ32" s="2">
        <v>3.5851448160428845E-5</v>
      </c>
      <c r="AK32" s="2">
        <f t="shared" si="9"/>
        <v>1468.422519043088</v>
      </c>
      <c r="AL32" s="2">
        <v>1.3798966961076076E-5</v>
      </c>
      <c r="AM32" s="2">
        <f t="shared" si="10"/>
        <v>-1.1388996714922923E-10</v>
      </c>
      <c r="AN32" s="2">
        <f t="shared" si="11"/>
        <v>4.9471294867248932E-10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100.91884501506874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0.96949024870991707</v>
      </c>
      <c r="W33" s="2">
        <f t="shared" si="0"/>
        <v>1.2626892864631145E-9</v>
      </c>
      <c r="X33" s="2">
        <f t="shared" si="8"/>
        <v>0.96949025057256222</v>
      </c>
      <c r="Y33" s="2">
        <f t="shared" si="1"/>
        <v>-6.3461191857072663E-10</v>
      </c>
      <c r="Z33" s="2">
        <f t="shared" si="3"/>
        <v>0.96949024964123964</v>
      </c>
      <c r="AA33" s="2">
        <f t="shared" si="2"/>
        <v>3.1403868394619394E-10</v>
      </c>
      <c r="AB33" s="2">
        <f t="shared" si="4"/>
        <v>3.9653328175383516E-19</v>
      </c>
      <c r="AC33" s="2">
        <f t="shared" si="5"/>
        <v>-1.9929269172452019E-19</v>
      </c>
      <c r="AD33" s="2">
        <f t="shared" si="6"/>
        <v>1.862645149230957E-9</v>
      </c>
      <c r="AF33" s="2">
        <v>29</v>
      </c>
      <c r="AG33" s="2">
        <f t="shared" si="13"/>
        <v>1468.4224836528301</v>
      </c>
      <c r="AH33" s="2">
        <v>-8.2535140109030181E-6</v>
      </c>
      <c r="AI33" s="2">
        <f t="shared" si="14"/>
        <v>1468.422519043088</v>
      </c>
      <c r="AJ33" s="2">
        <v>1.3798966961076076E-5</v>
      </c>
      <c r="AK33" s="2">
        <f t="shared" si="9"/>
        <v>1468.422501347959</v>
      </c>
      <c r="AL33" s="2">
        <v>2.7727265887733665E-6</v>
      </c>
      <c r="AM33" s="2">
        <f t="shared" si="10"/>
        <v>-2.2884737748844312E-11</v>
      </c>
      <c r="AN33" s="2">
        <f t="shared" si="11"/>
        <v>3.8260762590580855E-11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40.86</v>
      </c>
      <c r="L34" s="6" t="s">
        <v>59</v>
      </c>
      <c r="U34" s="2">
        <v>30</v>
      </c>
      <c r="V34" s="2">
        <f t="shared" si="7"/>
        <v>0.96949024964123964</v>
      </c>
      <c r="W34" s="2">
        <f t="shared" si="0"/>
        <v>3.1403868394619394E-10</v>
      </c>
      <c r="X34" s="2">
        <f t="shared" si="8"/>
        <v>0.96949025057256222</v>
      </c>
      <c r="Y34" s="2">
        <f t="shared" si="1"/>
        <v>-6.3461191857072663E-10</v>
      </c>
      <c r="Z34" s="2">
        <f t="shared" si="3"/>
        <v>0.96949025010690093</v>
      </c>
      <c r="AA34" s="2">
        <f t="shared" si="2"/>
        <v>-1.6028667282341758E-10</v>
      </c>
      <c r="AB34" s="2">
        <f t="shared" si="4"/>
        <v>-5.0336215787580226E-20</v>
      </c>
      <c r="AC34" s="2">
        <f t="shared" si="5"/>
        <v>1.0171983296178738E-19</v>
      </c>
      <c r="AD34" s="2">
        <f t="shared" si="6"/>
        <v>9.3132257461547852E-10</v>
      </c>
      <c r="AF34" s="2">
        <v>30</v>
      </c>
      <c r="AG34" s="2">
        <f t="shared" si="13"/>
        <v>1468.4224836528301</v>
      </c>
      <c r="AH34" s="2">
        <v>-8.2535140109030181E-6</v>
      </c>
      <c r="AI34" s="2">
        <f t="shared" si="14"/>
        <v>1468.422501347959</v>
      </c>
      <c r="AJ34" s="2">
        <v>2.7727265887733665E-6</v>
      </c>
      <c r="AK34" s="2">
        <f t="shared" si="9"/>
        <v>1468.4224925003946</v>
      </c>
      <c r="AL34" s="2">
        <v>-2.740393597377988E-6</v>
      </c>
      <c r="AM34" s="2">
        <f t="shared" si="10"/>
        <v>2.2617876951348149E-11</v>
      </c>
      <c r="AN34" s="2">
        <f t="shared" si="11"/>
        <v>-7.5983621911542432E-12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13.03</v>
      </c>
      <c r="L35" s="6" t="s">
        <v>59</v>
      </c>
      <c r="AF35" s="2">
        <v>31</v>
      </c>
      <c r="AG35" s="2">
        <f t="shared" si="13"/>
        <v>1468.4224925003946</v>
      </c>
      <c r="AH35" s="2">
        <v>-2.740393597377988E-6</v>
      </c>
      <c r="AI35" s="2">
        <f t="shared" si="14"/>
        <v>1468.422501347959</v>
      </c>
      <c r="AJ35" s="2">
        <v>2.7727265887733665E-6</v>
      </c>
      <c r="AK35" s="2">
        <f t="shared" si="9"/>
        <v>1468.4224969241768</v>
      </c>
      <c r="AL35" s="2">
        <v>1.6166495697689243E-8</v>
      </c>
      <c r="AM35" s="2">
        <f t="shared" si="10"/>
        <v>-4.430256130198639E-14</v>
      </c>
      <c r="AN35" s="2">
        <f t="shared" si="11"/>
        <v>4.48252724682732E-14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15.56</v>
      </c>
      <c r="L36" s="6" t="s">
        <v>59</v>
      </c>
      <c r="AF36" s="2">
        <v>32</v>
      </c>
      <c r="AG36" s="2">
        <f t="shared" si="13"/>
        <v>1468.4224925003946</v>
      </c>
      <c r="AH36" s="2">
        <v>-2.740393597377988E-6</v>
      </c>
      <c r="AI36" s="2">
        <f t="shared" si="14"/>
        <v>1468.4224969241768</v>
      </c>
      <c r="AJ36" s="2">
        <v>1.6166495697689243E-8</v>
      </c>
      <c r="AK36" s="2">
        <f t="shared" si="9"/>
        <v>1468.4224947122857</v>
      </c>
      <c r="AL36" s="2">
        <v>-1.362113721370406E-6</v>
      </c>
      <c r="AM36" s="2">
        <f t="shared" si="10"/>
        <v>3.7327277209441653E-12</v>
      </c>
      <c r="AN36" s="2">
        <f t="shared" si="11"/>
        <v>-2.2020605616298152E-14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25.83</v>
      </c>
      <c r="L37" s="6" t="s">
        <v>59</v>
      </c>
      <c r="AF37" s="2">
        <v>33</v>
      </c>
      <c r="AG37" s="2">
        <f t="shared" si="13"/>
        <v>1468.4224947122857</v>
      </c>
      <c r="AH37" s="2">
        <v>-1.362113721370406E-6</v>
      </c>
      <c r="AI37" s="2">
        <f t="shared" si="14"/>
        <v>1468.4224969241768</v>
      </c>
      <c r="AJ37" s="2">
        <v>1.6166495697689243E-8</v>
      </c>
      <c r="AK37" s="2">
        <f t="shared" si="9"/>
        <v>1468.4224958182313</v>
      </c>
      <c r="AL37" s="2">
        <v>-6.7297378336661495E-7</v>
      </c>
      <c r="AM37" s="2">
        <f t="shared" si="10"/>
        <v>9.1666682444622132E-13</v>
      </c>
      <c r="AN37" s="2">
        <f t="shared" si="11"/>
        <v>-1.0879627773454033E-14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4.72</v>
      </c>
      <c r="L38" s="6" t="s">
        <v>59</v>
      </c>
      <c r="AF38" s="2">
        <v>34</v>
      </c>
      <c r="AG38" s="2">
        <f t="shared" si="13"/>
        <v>1468.4224958182313</v>
      </c>
      <c r="AH38" s="2">
        <v>-6.7297378336661495E-7</v>
      </c>
      <c r="AI38" s="2">
        <f t="shared" si="14"/>
        <v>1468.4224969241768</v>
      </c>
      <c r="AJ38" s="2">
        <v>1.6166495697689243E-8</v>
      </c>
      <c r="AK38" s="2">
        <f t="shared" si="9"/>
        <v>1468.422496371204</v>
      </c>
      <c r="AL38" s="2">
        <v>-3.2840353014762513E-7</v>
      </c>
      <c r="AM38" s="2">
        <f t="shared" si="10"/>
        <v>2.2100696615439948E-13</v>
      </c>
      <c r="AN38" s="2">
        <f t="shared" si="11"/>
        <v>-5.3091342572375412E-15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1468.422496371204</v>
      </c>
      <c r="AH39" s="2">
        <v>-3.2840353014762513E-7</v>
      </c>
      <c r="AI39" s="2">
        <f t="shared" si="14"/>
        <v>1468.4224969241768</v>
      </c>
      <c r="AJ39" s="2">
        <v>1.6166495697689243E-8</v>
      </c>
      <c r="AK39" s="2">
        <f t="shared" si="9"/>
        <v>1468.4224966476904</v>
      </c>
      <c r="AL39" s="2">
        <v>-1.5611851722496795E-7</v>
      </c>
      <c r="AM39" s="2">
        <f t="shared" si="10"/>
        <v>5.1269872178092294E-14</v>
      </c>
      <c r="AN39" s="2">
        <f t="shared" si="11"/>
        <v>-2.5238893370470682E-15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1468.4224966476904</v>
      </c>
      <c r="AH40" s="2">
        <v>-1.5611851722496795E-7</v>
      </c>
      <c r="AI40" s="2">
        <f t="shared" si="14"/>
        <v>1468.4224969241768</v>
      </c>
      <c r="AJ40" s="2">
        <v>1.6166495697689243E-8</v>
      </c>
      <c r="AK40" s="2">
        <f t="shared" si="9"/>
        <v>1468.4224967859336</v>
      </c>
      <c r="AL40" s="2">
        <v>-6.9976067607058212E-8</v>
      </c>
      <c r="AM40" s="2">
        <f t="shared" si="10"/>
        <v>1.0924559916048039E-14</v>
      </c>
      <c r="AN40" s="2">
        <f t="shared" si="11"/>
        <v>-1.1312677959107182E-15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1468.4224967859336</v>
      </c>
      <c r="AH41" s="2">
        <v>-6.9976067607058212E-8</v>
      </c>
      <c r="AI41" s="2">
        <f t="shared" si="14"/>
        <v>1468.4224969241768</v>
      </c>
      <c r="AJ41" s="2">
        <v>1.6166495697689243E-8</v>
      </c>
      <c r="AK41" s="2">
        <f t="shared" si="9"/>
        <v>1468.4224968550552</v>
      </c>
      <c r="AL41" s="2">
        <v>-2.6904785954684485E-8</v>
      </c>
      <c r="AM41" s="2">
        <f t="shared" si="10"/>
        <v>1.8826911209184317E-15</v>
      </c>
      <c r="AN41" s="2">
        <f t="shared" si="11"/>
        <v>-4.3495610638365669E-16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1468.4224968550552</v>
      </c>
      <c r="AH42" s="2">
        <v>-2.6904785954684485E-8</v>
      </c>
      <c r="AI42" s="2">
        <f t="shared" si="14"/>
        <v>1468.4224969241768</v>
      </c>
      <c r="AJ42" s="2">
        <v>1.6166495697689243E-8</v>
      </c>
      <c r="AK42" s="2">
        <f t="shared" si="9"/>
        <v>1468.422496889616</v>
      </c>
      <c r="AL42" s="2">
        <v>-5.3692019719164819E-9</v>
      </c>
      <c r="AM42" s="2">
        <f t="shared" si="10"/>
        <v>1.444572298018828E-16</v>
      </c>
      <c r="AN42" s="2">
        <f t="shared" si="11"/>
        <v>-8.6801180579012402E-17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191.37</v>
      </c>
      <c r="L43" s="6" t="s">
        <v>7</v>
      </c>
      <c r="AF43" s="2">
        <v>39</v>
      </c>
      <c r="AG43" s="2">
        <f t="shared" si="13"/>
        <v>1468.422496889616</v>
      </c>
      <c r="AH43" s="2">
        <v>-5.3692019719164819E-9</v>
      </c>
      <c r="AI43" s="2">
        <f t="shared" si="14"/>
        <v>1468.4224969241768</v>
      </c>
      <c r="AJ43" s="2">
        <v>1.6166495697689243E-8</v>
      </c>
      <c r="AK43" s="2">
        <f t="shared" si="9"/>
        <v>1468.4224969068964</v>
      </c>
      <c r="AL43" s="2">
        <v>5.3988742365618236E-9</v>
      </c>
      <c r="AM43" s="2">
        <f t="shared" si="10"/>
        <v>-2.8987646197076834E-17</v>
      </c>
      <c r="AN43" s="2">
        <f t="shared" si="11"/>
        <v>8.7280877117742016E-17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228.46</v>
      </c>
      <c r="L44" s="6" t="s">
        <v>7</v>
      </c>
      <c r="AF44" s="2">
        <v>40</v>
      </c>
      <c r="AG44" s="2">
        <f t="shared" si="13"/>
        <v>1468.422496889616</v>
      </c>
      <c r="AH44" s="2">
        <v>-5.3692019719164819E-9</v>
      </c>
      <c r="AI44" s="2">
        <f t="shared" si="14"/>
        <v>1468.4224969068964</v>
      </c>
      <c r="AJ44" s="2">
        <v>5.3988742365618236E-9</v>
      </c>
      <c r="AK44" s="5">
        <f t="shared" si="9"/>
        <v>1468.4224968982562</v>
      </c>
      <c r="AL44" s="2">
        <v>1.4779288903810084E-11</v>
      </c>
      <c r="AM44" s="2">
        <f t="shared" si="10"/>
        <v>-7.9352987125860482E-20</v>
      </c>
      <c r="AN44" s="2">
        <f t="shared" si="11"/>
        <v>7.9791522097484298E-20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379.32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69.28</v>
      </c>
      <c r="L46" s="6" t="s">
        <v>7</v>
      </c>
    </row>
    <row r="47" spans="2:41" x14ac:dyDescent="0.2">
      <c r="J47" s="9" t="s">
        <v>60</v>
      </c>
      <c r="K47" s="9">
        <f>SUM(K42:K46)</f>
        <v>1468.43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29" priority="1" operator="containsText" text="FALSE">
      <formula>NOT(ISERROR(SEARCH("FALSE",K31)))</formula>
    </cfRule>
    <cfRule type="containsText" dxfId="28" priority="2" operator="containsText" text="TRUE">
      <formula>NOT(ISERROR(SEARCH("TRUE",K31)))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NOT(ISERROR(SEARCH("YES",K31)))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DE5-F646-D64D-A5A6-5B909971DE1C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599.38758191330282</v>
      </c>
      <c r="L4" s="6" t="s">
        <v>97</v>
      </c>
      <c r="N4" s="6" t="s">
        <v>131</v>
      </c>
      <c r="O4" s="6">
        <f xml:space="preserve"> $C$5 * $C$74</f>
        <v>21903.114168144217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1.2113621472184914</v>
      </c>
      <c r="X4" s="3">
        <v>1</v>
      </c>
      <c r="Y4" s="2">
        <f t="shared" ref="Y4:Y34" si="1" xml:space="preserve"> $O$22 * TAN($O$19/180*PI()) + $O$23 / (2 * SQRT($O$22^2 + X4^2)) - X4</f>
        <v>-2.7134005950557705E-2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0.49399772879025472</v>
      </c>
      <c r="AB4" s="2">
        <f>W4*AA4</f>
        <v>0.59841014946842097</v>
      </c>
      <c r="AC4" s="2">
        <f>Y4*AA4</f>
        <v>-1.3404137312556763E-2</v>
      </c>
      <c r="AD4" s="2">
        <f>X4-V4</f>
        <v>1</v>
      </c>
      <c r="AF4" s="2">
        <v>0</v>
      </c>
      <c r="AH4" s="2">
        <f>K30</f>
        <v>1.9709946674311141E-2</v>
      </c>
      <c r="AJ4" s="2">
        <f>K30</f>
        <v>1.9709946674311141E-2</v>
      </c>
      <c r="AL4" s="2">
        <f>K30</f>
        <v>1.9709946674311141E-2</v>
      </c>
    </row>
    <row r="5" spans="2:41" x14ac:dyDescent="0.2">
      <c r="B5" s="9" t="s">
        <v>38</v>
      </c>
      <c r="C5" s="9">
        <v>2234.8853868269698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74.923447739162853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0.49399772879025472</v>
      </c>
      <c r="X5" s="2">
        <f>IF(AC4&gt;0, Z4, X4)</f>
        <v>1</v>
      </c>
      <c r="Y5" s="2">
        <f t="shared" si="1"/>
        <v>-2.7134005950557705E-2</v>
      </c>
      <c r="Z5" s="2">
        <f t="shared" ref="Z5:Z34" si="3" xml:space="preserve"> (V5 + X5)/2</f>
        <v>0.75</v>
      </c>
      <c r="AA5" s="2">
        <f t="shared" si="2"/>
        <v>0.22997939960676639</v>
      </c>
      <c r="AB5" s="2">
        <f t="shared" ref="AB5:AB34" si="4">W5*AA5</f>
        <v>0.113609301074289</v>
      </c>
      <c r="AC5" s="2">
        <f t="shared" ref="AC5:AC34" si="5">Y5*AA5</f>
        <v>-6.2402623974356876E-3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-872.34397432230048</v>
      </c>
      <c r="AI5" s="3">
        <v>10000</v>
      </c>
      <c r="AJ5" s="2">
        <f t="dataTable" ref="AJ5:AJ44" dt2D="0" dtr="0" r1="C5"/>
        <v>2430.7804298532856</v>
      </c>
      <c r="AK5" s="2">
        <f>(AG5+AI5)/2</f>
        <v>5250</v>
      </c>
      <c r="AL5" s="2">
        <f t="dataTable" ref="AL5:AL44" dt2D="0" dtr="0" r1="C5" ca="1"/>
        <v>1550.0759795897297</v>
      </c>
      <c r="AM5" s="2">
        <f>AH5*AL5</f>
        <v>-1352199.440536838</v>
      </c>
      <c r="AN5" s="2">
        <f>AJ5*AL5</f>
        <v>3767894.3559723762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182.001964944908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0.22381889759544848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0.22997939960676639</v>
      </c>
      <c r="X6" s="2">
        <f t="shared" ref="X6:X34" si="8">IF(AC5&gt;0, Z5, X5)</f>
        <v>1</v>
      </c>
      <c r="Y6" s="2">
        <f t="shared" si="1"/>
        <v>-2.7134005950557705E-2</v>
      </c>
      <c r="Z6" s="2">
        <f t="shared" si="3"/>
        <v>0.875</v>
      </c>
      <c r="AA6" s="2">
        <f t="shared" si="2"/>
        <v>0.10092152349499828</v>
      </c>
      <c r="AB6" s="2">
        <f t="shared" si="4"/>
        <v>2.3209871380779873E-2</v>
      </c>
      <c r="AC6" s="2">
        <f t="shared" si="5"/>
        <v>-2.7384052190526325E-3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-872.34397432230048</v>
      </c>
      <c r="AI6" s="2">
        <f>IF(AN5&gt;0,AK5,AI5)</f>
        <v>5250</v>
      </c>
      <c r="AJ6" s="2">
        <v>1550.0759795897297</v>
      </c>
      <c r="AK6" s="2">
        <f t="shared" ref="AK6:AK44" si="9">(AG6+AI6)/2</f>
        <v>2875</v>
      </c>
      <c r="AL6" s="2">
        <v>237.03670063656364</v>
      </c>
      <c r="AM6" s="2">
        <f t="shared" ref="AM6:AM44" si="10">AH6*AL6</f>
        <v>-206777.5374935453</v>
      </c>
      <c r="AN6" s="2">
        <f t="shared" ref="AN6:AN44" si="11">AJ6*AL6</f>
        <v>367424.89593793888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2738.1511793762638</v>
      </c>
      <c r="H7" s="6" t="s">
        <v>21</v>
      </c>
      <c r="J7" s="6" t="s">
        <v>133</v>
      </c>
      <c r="K7" s="6">
        <f>K6/$C$28</f>
        <v>182.001964944908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0.10092152349499828</v>
      </c>
      <c r="X7" s="2">
        <f t="shared" si="8"/>
        <v>1</v>
      </c>
      <c r="Y7" s="2">
        <f t="shared" si="1"/>
        <v>-2.7134005950557705E-2</v>
      </c>
      <c r="Z7" s="2">
        <f t="shared" si="3"/>
        <v>0.9375</v>
      </c>
      <c r="AA7" s="2">
        <f t="shared" si="2"/>
        <v>3.6793105947242388E-2</v>
      </c>
      <c r="AB7" s="2">
        <f t="shared" si="4"/>
        <v>3.7132163063085836E-3</v>
      </c>
      <c r="AC7" s="2">
        <f t="shared" si="5"/>
        <v>-9.9834435571197503E-4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-872.34397432230048</v>
      </c>
      <c r="AI7" s="2">
        <f t="shared" ref="AI7:AI44" si="14">IF(AN6&gt;0,AK6,AI6)</f>
        <v>2875</v>
      </c>
      <c r="AJ7" s="2">
        <v>237.03670063656364</v>
      </c>
      <c r="AK7" s="2">
        <f t="shared" si="9"/>
        <v>1687.5</v>
      </c>
      <c r="AL7" s="2">
        <v>-239.45273918695352</v>
      </c>
      <c r="AM7" s="2">
        <f t="shared" si="10"/>
        <v>208885.15416470831</v>
      </c>
      <c r="AN7" s="2">
        <f t="shared" si="11"/>
        <v>-56759.087255263054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49.948965159441904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3.6793105947242388E-2</v>
      </c>
      <c r="X8" s="2">
        <f t="shared" si="8"/>
        <v>1</v>
      </c>
      <c r="Y8" s="2">
        <f t="shared" si="1"/>
        <v>-2.7134005950557705E-2</v>
      </c>
      <c r="Z8" s="2">
        <f t="shared" si="3"/>
        <v>0.96875</v>
      </c>
      <c r="AA8" s="2">
        <f t="shared" si="2"/>
        <v>4.8067852117126275E-3</v>
      </c>
      <c r="AB8" s="2">
        <f t="shared" si="4"/>
        <v>1.7685655756018064E-4</v>
      </c>
      <c r="AC8" s="2">
        <f t="shared" si="5"/>
        <v>-1.3042733853766322E-4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-239.45273918695352</v>
      </c>
      <c r="AI8" s="2">
        <f t="shared" si="14"/>
        <v>2875</v>
      </c>
      <c r="AJ8" s="2">
        <v>237.03670063656364</v>
      </c>
      <c r="AK8" s="2">
        <f t="shared" si="9"/>
        <v>2281.25</v>
      </c>
      <c r="AL8" s="2">
        <v>18.741948437454766</v>
      </c>
      <c r="AM8" s="2">
        <f t="shared" si="10"/>
        <v>-4487.8108910491874</v>
      </c>
      <c r="AN8" s="2">
        <f t="shared" si="11"/>
        <v>4442.529621114877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5.5929221448657653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4.8067852117126275E-3</v>
      </c>
      <c r="X9" s="2">
        <f t="shared" si="8"/>
        <v>1</v>
      </c>
      <c r="Y9" s="2">
        <f t="shared" si="1"/>
        <v>-2.7134005950557705E-2</v>
      </c>
      <c r="Z9" s="2">
        <f t="shared" si="3"/>
        <v>0.984375</v>
      </c>
      <c r="AA9" s="2">
        <f t="shared" si="2"/>
        <v>-1.1169034459547755E-2</v>
      </c>
      <c r="AB9" s="2">
        <f t="shared" si="4"/>
        <v>-5.3687149669262887E-5</v>
      </c>
      <c r="AC9" s="2">
        <f t="shared" si="5"/>
        <v>3.0306064748735287E-4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-239.45273918695352</v>
      </c>
      <c r="AI9" s="2">
        <f t="shared" si="14"/>
        <v>2281.25</v>
      </c>
      <c r="AJ9" s="2">
        <v>18.741948437454766</v>
      </c>
      <c r="AK9" s="2">
        <f t="shared" si="9"/>
        <v>1984.375</v>
      </c>
      <c r="AL9" s="2">
        <v>-105.35279686246167</v>
      </c>
      <c r="AM9" s="2">
        <f t="shared" si="10"/>
        <v>25227.015789723129</v>
      </c>
      <c r="AN9" s="2">
        <f t="shared" si="11"/>
        <v>-1974.5166865379031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399.59172127553524</v>
      </c>
      <c r="H10" s="22" t="s">
        <v>97</v>
      </c>
      <c r="J10" s="6" t="s">
        <v>92</v>
      </c>
      <c r="K10" s="6">
        <f xml:space="preserve"> $C$18 * (G10*G6 + G20*G13 + G29*G25 + G33*G32)/3600</f>
        <v>122.33158126422941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4.8067852117126275E-3</v>
      </c>
      <c r="X10" s="2">
        <f t="shared" si="8"/>
        <v>0.984375</v>
      </c>
      <c r="Y10" s="2">
        <f t="shared" si="1"/>
        <v>-1.1169034459547755E-2</v>
      </c>
      <c r="Z10" s="2">
        <f t="shared" si="3"/>
        <v>0.9765625</v>
      </c>
      <c r="AA10" s="2">
        <f t="shared" si="2"/>
        <v>-3.1825127235315387E-3</v>
      </c>
      <c r="AB10" s="2">
        <f t="shared" si="4"/>
        <v>-1.5297655095558677E-5</v>
      </c>
      <c r="AC10" s="2">
        <f t="shared" si="5"/>
        <v>3.5545594277072931E-5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-105.35279686246167</v>
      </c>
      <c r="AI10" s="2">
        <f t="shared" si="14"/>
        <v>2281.25</v>
      </c>
      <c r="AJ10" s="2">
        <v>18.741948437454766</v>
      </c>
      <c r="AK10" s="2">
        <f t="shared" si="9"/>
        <v>2132.8125</v>
      </c>
      <c r="AL10" s="2">
        <v>-42.056093498866176</v>
      </c>
      <c r="AM10" s="2">
        <f t="shared" si="10"/>
        <v>4430.7270752147433</v>
      </c>
      <c r="AN10" s="2">
        <f t="shared" si="11"/>
        <v>-788.21313583652648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4.8067852117126275E-3</v>
      </c>
      <c r="X11" s="2">
        <f t="shared" si="8"/>
        <v>0.9765625</v>
      </c>
      <c r="Y11" s="2">
        <f t="shared" si="1"/>
        <v>-3.1825127235315387E-3</v>
      </c>
      <c r="Z11" s="2">
        <f t="shared" si="3"/>
        <v>0.97265625</v>
      </c>
      <c r="AA11" s="2">
        <f t="shared" si="2"/>
        <v>8.1178509887436245E-4</v>
      </c>
      <c r="AB11" s="2">
        <f t="shared" si="4"/>
        <v>3.9020766083579588E-6</v>
      </c>
      <c r="AC11" s="2">
        <f t="shared" si="5"/>
        <v>-2.5835164059409668E-6</v>
      </c>
      <c r="AD11" s="2">
        <f t="shared" si="6"/>
        <v>7.8125E-3</v>
      </c>
      <c r="AF11" s="2">
        <v>7</v>
      </c>
      <c r="AG11" s="2">
        <f t="shared" si="13"/>
        <v>2132.8125</v>
      </c>
      <c r="AH11" s="2">
        <v>-42.056093498866176</v>
      </c>
      <c r="AI11" s="2">
        <f t="shared" si="14"/>
        <v>2281.25</v>
      </c>
      <c r="AJ11" s="2">
        <v>18.741948437454766</v>
      </c>
      <c r="AK11" s="2">
        <f t="shared" si="9"/>
        <v>2207.03125</v>
      </c>
      <c r="AL11" s="2">
        <v>-11.344991334306314</v>
      </c>
      <c r="AM11" s="2">
        <f t="shared" si="10"/>
        <v>477.12601629941287</v>
      </c>
      <c r="AN11" s="2">
        <f t="shared" si="11"/>
        <v>-212.6272426109401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0.32199138537223299</v>
      </c>
      <c r="U12" s="2">
        <v>8</v>
      </c>
      <c r="V12" s="2">
        <f t="shared" si="7"/>
        <v>0.97265625</v>
      </c>
      <c r="W12" s="2">
        <f t="shared" si="0"/>
        <v>8.1178509887436245E-4</v>
      </c>
      <c r="X12" s="2">
        <f t="shared" si="8"/>
        <v>0.9765625</v>
      </c>
      <c r="Y12" s="2">
        <f t="shared" si="1"/>
        <v>-3.1825127235315387E-3</v>
      </c>
      <c r="Z12" s="2">
        <f t="shared" si="3"/>
        <v>0.974609375</v>
      </c>
      <c r="AA12" s="2">
        <f t="shared" si="2"/>
        <v>-1.1854510785266337E-3</v>
      </c>
      <c r="AB12" s="2">
        <f t="shared" si="4"/>
        <v>-9.6233152099246286E-7</v>
      </c>
      <c r="AC12" s="2">
        <f t="shared" si="5"/>
        <v>3.772713140535197E-6</v>
      </c>
      <c r="AD12" s="2">
        <f t="shared" si="6"/>
        <v>3.90625E-3</v>
      </c>
      <c r="AF12" s="2">
        <v>8</v>
      </c>
      <c r="AG12" s="2">
        <f t="shared" si="13"/>
        <v>2207.03125</v>
      </c>
      <c r="AH12" s="2">
        <v>-11.344991334306314</v>
      </c>
      <c r="AI12" s="2">
        <f t="shared" si="14"/>
        <v>2281.25</v>
      </c>
      <c r="AJ12" s="2">
        <v>18.741948437454766</v>
      </c>
      <c r="AK12" s="2">
        <f t="shared" si="9"/>
        <v>2244.140625</v>
      </c>
      <c r="AL12" s="2">
        <v>3.7764645160038981</v>
      </c>
      <c r="AM12" s="2">
        <f t="shared" si="10"/>
        <v>-42.843957208379514</v>
      </c>
      <c r="AN12" s="2">
        <f t="shared" si="11"/>
        <v>70.77830323482263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2.539530484199129E-2</v>
      </c>
      <c r="U13" s="2">
        <v>9</v>
      </c>
      <c r="V13" s="2">
        <f t="shared" si="7"/>
        <v>0.97265625</v>
      </c>
      <c r="W13" s="2">
        <f t="shared" si="0"/>
        <v>8.1178509887436245E-4</v>
      </c>
      <c r="X13" s="2">
        <f t="shared" si="8"/>
        <v>0.974609375</v>
      </c>
      <c r="Y13" s="2">
        <f t="shared" si="1"/>
        <v>-1.1854510785266337E-3</v>
      </c>
      <c r="Z13" s="2">
        <f t="shared" si="3"/>
        <v>0.9736328125</v>
      </c>
      <c r="AA13" s="2">
        <f t="shared" si="2"/>
        <v>-1.8685487106884224E-4</v>
      </c>
      <c r="AB13" s="2">
        <f t="shared" si="4"/>
        <v>-1.5168599998577636E-7</v>
      </c>
      <c r="AC13" s="2">
        <f t="shared" si="5"/>
        <v>2.2150730843651412E-7</v>
      </c>
      <c r="AD13" s="2">
        <f t="shared" si="6"/>
        <v>1.953125E-3</v>
      </c>
      <c r="AF13" s="2">
        <v>9</v>
      </c>
      <c r="AG13" s="2">
        <f t="shared" si="13"/>
        <v>2207.03125</v>
      </c>
      <c r="AH13" s="2">
        <v>-11.344991334306314</v>
      </c>
      <c r="AI13" s="2">
        <f t="shared" si="14"/>
        <v>2244.140625</v>
      </c>
      <c r="AJ13" s="2">
        <v>3.7764645160038981</v>
      </c>
      <c r="AK13" s="2">
        <f t="shared" si="9"/>
        <v>2225.5859375</v>
      </c>
      <c r="AL13" s="2">
        <v>-3.7647620553630077</v>
      </c>
      <c r="AM13" s="2">
        <f t="shared" si="10"/>
        <v>42.711192893818549</v>
      </c>
      <c r="AN13" s="2">
        <f t="shared" si="11"/>
        <v>-14.217490313276301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2234.8853868269698</v>
      </c>
      <c r="L14" s="6" t="s">
        <v>7</v>
      </c>
      <c r="N14" s="6" t="s">
        <v>40</v>
      </c>
      <c r="O14" s="6">
        <f xml:space="preserve"> O5 * O13 * $C$12</f>
        <v>1727.4880216001209</v>
      </c>
      <c r="P14" s="6" t="s">
        <v>21</v>
      </c>
      <c r="U14" s="2">
        <v>10</v>
      </c>
      <c r="V14" s="2">
        <f t="shared" si="7"/>
        <v>0.97265625</v>
      </c>
      <c r="W14" s="2">
        <f t="shared" si="0"/>
        <v>8.1178509887436245E-4</v>
      </c>
      <c r="X14" s="2">
        <f t="shared" si="8"/>
        <v>0.9736328125</v>
      </c>
      <c r="Y14" s="2">
        <f t="shared" si="1"/>
        <v>-1.8685487106884224E-4</v>
      </c>
      <c r="Z14" s="2">
        <f t="shared" si="3"/>
        <v>0.97314453125</v>
      </c>
      <c r="AA14" s="2">
        <f t="shared" si="2"/>
        <v>3.1245963547754663E-4</v>
      </c>
      <c r="AB14" s="2">
        <f t="shared" si="4"/>
        <v>2.5365007608038746E-7</v>
      </c>
      <c r="AC14" s="2">
        <f t="shared" si="5"/>
        <v>-5.8384604901374421E-8</v>
      </c>
      <c r="AD14" s="2">
        <f t="shared" si="6"/>
        <v>9.765625E-4</v>
      </c>
      <c r="AF14" s="2">
        <v>10</v>
      </c>
      <c r="AG14" s="2">
        <f t="shared" si="13"/>
        <v>2225.5859375</v>
      </c>
      <c r="AH14" s="2">
        <v>-3.7647620553630077</v>
      </c>
      <c r="AI14" s="2">
        <f t="shared" si="14"/>
        <v>2244.140625</v>
      </c>
      <c r="AJ14" s="2">
        <v>3.7764645160038981</v>
      </c>
      <c r="AK14" s="2">
        <f t="shared" si="9"/>
        <v>2234.86328125</v>
      </c>
      <c r="AL14" s="2">
        <v>1.0725887689432057E-2</v>
      </c>
      <c r="AM14" s="2">
        <f t="shared" si="10"/>
        <v>-4.0380414983259012E-2</v>
      </c>
      <c r="AN14" s="2">
        <f t="shared" si="11"/>
        <v>4.05059342617832E-2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719.59753684840837</v>
      </c>
      <c r="L15" s="6" t="s">
        <v>7</v>
      </c>
      <c r="N15" s="6" t="s">
        <v>140</v>
      </c>
      <c r="O15" s="6">
        <f>O4/O14</f>
        <v>12.67916992434831</v>
      </c>
      <c r="U15" s="2">
        <v>11</v>
      </c>
      <c r="V15" s="2">
        <f t="shared" si="7"/>
        <v>0.97314453125</v>
      </c>
      <c r="W15" s="2">
        <f t="shared" si="0"/>
        <v>3.1245963547754663E-4</v>
      </c>
      <c r="X15" s="2">
        <f t="shared" si="8"/>
        <v>0.9736328125</v>
      </c>
      <c r="Y15" s="2">
        <f t="shared" si="1"/>
        <v>-1.8685487106884224E-4</v>
      </c>
      <c r="Z15" s="2">
        <f t="shared" si="3"/>
        <v>0.973388671875</v>
      </c>
      <c r="AA15" s="2">
        <f t="shared" si="2"/>
        <v>6.2801013613666967E-5</v>
      </c>
      <c r="AB15" s="2">
        <f t="shared" si="4"/>
        <v>1.9622781821346825E-8</v>
      </c>
      <c r="AC15" s="2">
        <f t="shared" si="5"/>
        <v>-1.1734675301774348E-8</v>
      </c>
      <c r="AD15" s="2">
        <f t="shared" si="6"/>
        <v>4.8828125E-4</v>
      </c>
      <c r="AF15" s="2">
        <v>11</v>
      </c>
      <c r="AG15" s="2">
        <f t="shared" si="13"/>
        <v>2225.5859375</v>
      </c>
      <c r="AH15" s="2">
        <v>-3.7647620553630077</v>
      </c>
      <c r="AI15" s="2">
        <f t="shared" si="14"/>
        <v>2234.86328125</v>
      </c>
      <c r="AJ15" s="2">
        <v>1.0725887689432057E-2</v>
      </c>
      <c r="AK15" s="2">
        <f t="shared" si="9"/>
        <v>2230.224609375</v>
      </c>
      <c r="AL15" s="2">
        <v>-1.8757996701131106</v>
      </c>
      <c r="AM15" s="2">
        <f t="shared" si="10"/>
        <v>7.0619394215042854</v>
      </c>
      <c r="AN15" s="2">
        <f t="shared" si="11"/>
        <v>-2.0119616589506926E-2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1727.4880216001209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165.73050067023777</v>
      </c>
      <c r="L16" s="6" t="s">
        <v>7</v>
      </c>
      <c r="N16" s="6" t="s">
        <v>111</v>
      </c>
      <c r="O16" s="6">
        <f>(O13*$C$12)/(0.3048^2)/($C$5*2.20462/1000)^(2/3)</f>
        <v>2.8321663640097468</v>
      </c>
      <c r="U16" s="2">
        <v>12</v>
      </c>
      <c r="V16" s="2">
        <f t="shared" si="7"/>
        <v>0.973388671875</v>
      </c>
      <c r="W16" s="2">
        <f t="shared" si="0"/>
        <v>6.2801013613666967E-5</v>
      </c>
      <c r="X16" s="2">
        <f t="shared" si="8"/>
        <v>0.9736328125</v>
      </c>
      <c r="Y16" s="2">
        <f t="shared" si="1"/>
        <v>-1.8685487106884224E-4</v>
      </c>
      <c r="Z16" s="2">
        <f t="shared" si="3"/>
        <v>0.9735107421875</v>
      </c>
      <c r="AA16" s="2">
        <f t="shared" si="2"/>
        <v>-6.2027270748443719E-5</v>
      </c>
      <c r="AB16" s="2">
        <f t="shared" si="4"/>
        <v>-3.8953754746916209E-9</v>
      </c>
      <c r="AC16" s="2">
        <f t="shared" si="5"/>
        <v>1.1590097678452621E-8</v>
      </c>
      <c r="AD16" s="2">
        <f t="shared" si="6"/>
        <v>2.44140625E-4</v>
      </c>
      <c r="AF16" s="2">
        <v>12</v>
      </c>
      <c r="AG16" s="2">
        <f t="shared" si="13"/>
        <v>2230.224609375</v>
      </c>
      <c r="AH16" s="2">
        <v>-1.8757996701131106</v>
      </c>
      <c r="AI16" s="2">
        <f t="shared" si="14"/>
        <v>2234.86328125</v>
      </c>
      <c r="AJ16" s="2">
        <v>1.0725887689432057E-2</v>
      </c>
      <c r="AK16" s="2">
        <f t="shared" si="9"/>
        <v>2232.5439453125</v>
      </c>
      <c r="AL16" s="2">
        <v>-0.93223213782175662</v>
      </c>
      <c r="AM16" s="2">
        <f t="shared" si="10"/>
        <v>1.7486807365948909</v>
      </c>
      <c r="AN16" s="2">
        <f t="shared" si="11"/>
        <v>-9.999017210755308E-3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121.33464329660534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0.973388671875</v>
      </c>
      <c r="W17" s="2">
        <f t="shared" si="0"/>
        <v>6.2801013613666967E-5</v>
      </c>
      <c r="X17" s="2">
        <f t="shared" si="8"/>
        <v>0.9735107421875</v>
      </c>
      <c r="Y17" s="2">
        <f t="shared" si="1"/>
        <v>-6.2027270748443719E-5</v>
      </c>
      <c r="Z17" s="2">
        <f t="shared" si="3"/>
        <v>0.97344970703125</v>
      </c>
      <c r="AA17" s="2">
        <f t="shared" si="2"/>
        <v>3.867859115214145E-7</v>
      </c>
      <c r="AB17" s="2">
        <f t="shared" si="4"/>
        <v>2.4290547295030939E-11</v>
      </c>
      <c r="AC17" s="2">
        <f t="shared" si="5"/>
        <v>-2.3991274455622376E-11</v>
      </c>
      <c r="AD17" s="2">
        <f t="shared" si="6"/>
        <v>1.220703125E-4</v>
      </c>
      <c r="AF17" s="2">
        <v>13</v>
      </c>
      <c r="AG17" s="2">
        <f t="shared" si="13"/>
        <v>2232.5439453125</v>
      </c>
      <c r="AH17" s="2">
        <v>-0.93223213782175662</v>
      </c>
      <c r="AI17" s="2">
        <f t="shared" si="14"/>
        <v>2234.86328125</v>
      </c>
      <c r="AJ17" s="2">
        <v>1.0725887689432057E-2</v>
      </c>
      <c r="AK17" s="2">
        <f t="shared" si="9"/>
        <v>2233.70361328125</v>
      </c>
      <c r="AL17" s="2">
        <v>-0.46067709610406382</v>
      </c>
      <c r="AM17" s="2">
        <f t="shared" si="10"/>
        <v>0.42945799414661023</v>
      </c>
      <c r="AN17" s="2">
        <f t="shared" si="11"/>
        <v>-4.9411707939058863E-3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1.452712307292481</v>
      </c>
      <c r="H18" s="6" t="s">
        <v>172</v>
      </c>
      <c r="J18" s="12" t="s">
        <v>54</v>
      </c>
      <c r="K18" s="6">
        <f xml:space="preserve"> $C$78 * (0.2138 * K4 + 0.2138 * K6)</f>
        <v>133.64886809462837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0.97344970703125</v>
      </c>
      <c r="W18" s="2">
        <f t="shared" si="0"/>
        <v>3.867859115214145E-7</v>
      </c>
      <c r="X18" s="2">
        <f t="shared" si="8"/>
        <v>0.9735107421875</v>
      </c>
      <c r="Y18" s="2">
        <f t="shared" si="1"/>
        <v>-6.2027270748443719E-5</v>
      </c>
      <c r="Z18" s="2">
        <f t="shared" si="3"/>
        <v>0.973480224609375</v>
      </c>
      <c r="AA18" s="2">
        <f t="shared" si="2"/>
        <v>-3.0820263796749181E-5</v>
      </c>
      <c r="AB18" s="2">
        <f t="shared" si="4"/>
        <v>-1.1920843825956083E-11</v>
      </c>
      <c r="AC18" s="2">
        <f t="shared" si="5"/>
        <v>1.9116968470594194E-9</v>
      </c>
      <c r="AD18" s="2">
        <f t="shared" si="6"/>
        <v>6.103515625E-5</v>
      </c>
      <c r="AF18" s="2">
        <v>14</v>
      </c>
      <c r="AG18" s="2">
        <f t="shared" si="13"/>
        <v>2233.70361328125</v>
      </c>
      <c r="AH18" s="2">
        <v>-0.46067709610406382</v>
      </c>
      <c r="AI18" s="2">
        <f t="shared" si="14"/>
        <v>2234.86328125</v>
      </c>
      <c r="AJ18" s="2">
        <v>1.0725887689432057E-2</v>
      </c>
      <c r="AK18" s="2">
        <f t="shared" si="9"/>
        <v>2234.283447265625</v>
      </c>
      <c r="AL18" s="2">
        <v>-0.22495683471834127</v>
      </c>
      <c r="AM18" s="2">
        <f t="shared" si="10"/>
        <v>0.1036324613668073</v>
      </c>
      <c r="AN18" s="2">
        <f t="shared" si="11"/>
        <v>-2.4128617441590587E-3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5.0929713895948588E-2</v>
      </c>
      <c r="J19" s="12" t="s">
        <v>73</v>
      </c>
      <c r="K19" s="6">
        <f xml:space="preserve"> $C$78 * (0.1149 * K4 + 0.1149 * K6)</f>
        <v>71.825327147206735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0.97344970703125</v>
      </c>
      <c r="W19" s="2">
        <f t="shared" si="0"/>
        <v>3.867859115214145E-7</v>
      </c>
      <c r="X19" s="2">
        <f t="shared" si="8"/>
        <v>0.973480224609375</v>
      </c>
      <c r="Y19" s="2">
        <f t="shared" si="1"/>
        <v>-3.0820263796749181E-5</v>
      </c>
      <c r="Z19" s="2">
        <f t="shared" si="3"/>
        <v>0.9734649658203125</v>
      </c>
      <c r="AA19" s="2">
        <f t="shared" si="2"/>
        <v>-1.5216744287394057E-5</v>
      </c>
      <c r="AB19" s="2">
        <f t="shared" si="4"/>
        <v>-5.8856223095879876E-12</v>
      </c>
      <c r="AC19" s="2">
        <f t="shared" si="5"/>
        <v>4.6898407306516098E-10</v>
      </c>
      <c r="AD19" s="2">
        <f t="shared" si="6"/>
        <v>3.0517578125E-5</v>
      </c>
      <c r="AF19" s="2">
        <v>15</v>
      </c>
      <c r="AG19" s="2">
        <f t="shared" si="13"/>
        <v>2234.283447265625</v>
      </c>
      <c r="AH19" s="2">
        <v>-0.22495683471834127</v>
      </c>
      <c r="AI19" s="2">
        <f t="shared" si="14"/>
        <v>2234.86328125</v>
      </c>
      <c r="AJ19" s="2">
        <v>1.0725887689432057E-2</v>
      </c>
      <c r="AK19" s="2">
        <f t="shared" si="9"/>
        <v>2234.5733642578125</v>
      </c>
      <c r="AL19" s="2">
        <v>-0.10711046434198579</v>
      </c>
      <c r="AM19" s="2">
        <f t="shared" si="10"/>
        <v>2.4095231023584882E-2</v>
      </c>
      <c r="AN19" s="2">
        <f t="shared" si="11"/>
        <v>-1.1488548108950565E-3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121.33464329660534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215.3963240923834</v>
      </c>
      <c r="L20" s="6" t="s">
        <v>7</v>
      </c>
      <c r="N20" s="6" t="s">
        <v>20</v>
      </c>
      <c r="O20" s="6">
        <f xml:space="preserve"> O14 / $C$28</f>
        <v>1727.4880216001209</v>
      </c>
      <c r="P20" s="6" t="s">
        <v>21</v>
      </c>
      <c r="U20" s="2">
        <v>16</v>
      </c>
      <c r="V20" s="2">
        <f t="shared" si="7"/>
        <v>0.97344970703125</v>
      </c>
      <c r="W20" s="2">
        <f t="shared" si="0"/>
        <v>3.867859115214145E-7</v>
      </c>
      <c r="X20" s="2">
        <f t="shared" si="8"/>
        <v>0.9734649658203125</v>
      </c>
      <c r="Y20" s="2">
        <f t="shared" si="1"/>
        <v>-1.5216744287394057E-5</v>
      </c>
      <c r="Z20" s="2">
        <f t="shared" si="3"/>
        <v>0.97345733642578125</v>
      </c>
      <c r="AA20" s="2">
        <f t="shared" si="2"/>
        <v>-7.4149805241452427E-6</v>
      </c>
      <c r="AB20" s="2">
        <f t="shared" si="4"/>
        <v>-2.8680100009450535E-12</v>
      </c>
      <c r="AC20" s="2">
        <f t="shared" si="5"/>
        <v>1.1283186253192532E-10</v>
      </c>
      <c r="AD20" s="2">
        <f t="shared" si="6"/>
        <v>1.52587890625E-5</v>
      </c>
      <c r="AF20" s="2">
        <v>16</v>
      </c>
      <c r="AG20" s="2">
        <f t="shared" si="13"/>
        <v>2234.5733642578125</v>
      </c>
      <c r="AH20" s="2">
        <v>-0.10711046434198579</v>
      </c>
      <c r="AI20" s="2">
        <f t="shared" si="14"/>
        <v>2234.86328125</v>
      </c>
      <c r="AJ20" s="2">
        <v>1.0725887689432057E-2</v>
      </c>
      <c r="AK20" s="2">
        <f t="shared" si="9"/>
        <v>2234.7183227539062</v>
      </c>
      <c r="AL20" s="2">
        <v>-4.8191115239205828E-2</v>
      </c>
      <c r="AM20" s="2">
        <f t="shared" si="10"/>
        <v>5.1617727304294836E-3</v>
      </c>
      <c r="AN20" s="2">
        <f t="shared" si="11"/>
        <v>-5.1689248968419936E-4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58.107020057501217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0.97344970703125</v>
      </c>
      <c r="W21" s="2">
        <f t="shared" si="0"/>
        <v>3.867859115214145E-7</v>
      </c>
      <c r="X21" s="2">
        <f t="shared" si="8"/>
        <v>0.97345733642578125</v>
      </c>
      <c r="Y21" s="2">
        <f t="shared" si="1"/>
        <v>-7.4149805241452427E-6</v>
      </c>
      <c r="Z21" s="2">
        <f t="shared" si="3"/>
        <v>0.97345352172851562</v>
      </c>
      <c r="AA21" s="2">
        <f t="shared" si="2"/>
        <v>-3.5140976404335333E-6</v>
      </c>
      <c r="AB21" s="2">
        <f t="shared" si="4"/>
        <v>-1.3592034590303361E-12</v>
      </c>
      <c r="AC21" s="2">
        <f t="shared" si="5"/>
        <v>2.6056965563759403E-11</v>
      </c>
      <c r="AD21" s="2">
        <f t="shared" si="6"/>
        <v>7.62939453125E-6</v>
      </c>
      <c r="AF21" s="2">
        <v>17</v>
      </c>
      <c r="AG21" s="2">
        <f t="shared" si="13"/>
        <v>2234.7183227539062</v>
      </c>
      <c r="AH21" s="2">
        <v>-4.8191115239205828E-2</v>
      </c>
      <c r="AI21" s="2">
        <f t="shared" si="14"/>
        <v>2234.86328125</v>
      </c>
      <c r="AJ21" s="2">
        <v>1.0725887689432057E-2</v>
      </c>
      <c r="AK21" s="2">
        <f t="shared" si="9"/>
        <v>2234.7908020019531</v>
      </c>
      <c r="AL21" s="2">
        <v>-1.8732637357061321E-2</v>
      </c>
      <c r="AM21" s="2">
        <f t="shared" si="10"/>
        <v>9.0274668560839423E-4</v>
      </c>
      <c r="AN21" s="2">
        <f t="shared" si="11"/>
        <v>-2.0092416441869909E-4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101.80498210166606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0.97344970703125</v>
      </c>
      <c r="W22" s="2">
        <f t="shared" si="0"/>
        <v>3.867859115214145E-7</v>
      </c>
      <c r="X22" s="2">
        <f t="shared" si="8"/>
        <v>0.97345352172851562</v>
      </c>
      <c r="Y22" s="2">
        <f t="shared" si="1"/>
        <v>-3.5140976404335333E-6</v>
      </c>
      <c r="Z22" s="2">
        <f t="shared" si="3"/>
        <v>0.97345161437988281</v>
      </c>
      <c r="AA22" s="2">
        <f t="shared" si="2"/>
        <v>-1.5636559479448309E-6</v>
      </c>
      <c r="AB22" s="2">
        <f t="shared" si="4"/>
        <v>-6.0480009113172291E-13</v>
      </c>
      <c r="AC22" s="2">
        <f t="shared" si="5"/>
        <v>5.4948396771227901E-12</v>
      </c>
      <c r="AD22" s="2">
        <f t="shared" si="6"/>
        <v>3.814697265625E-6</v>
      </c>
      <c r="AF22" s="2">
        <v>18</v>
      </c>
      <c r="AG22" s="2">
        <f t="shared" si="13"/>
        <v>2234.7908020019531</v>
      </c>
      <c r="AH22" s="2">
        <v>-1.8732637357061321E-2</v>
      </c>
      <c r="AI22" s="2">
        <f t="shared" si="14"/>
        <v>2234.86328125</v>
      </c>
      <c r="AJ22" s="2">
        <v>1.0725887689432057E-2</v>
      </c>
      <c r="AK22" s="2">
        <f t="shared" si="9"/>
        <v>2234.8270416259766</v>
      </c>
      <c r="AL22" s="2">
        <v>-4.003301518423541E-3</v>
      </c>
      <c r="AM22" s="2">
        <f t="shared" si="10"/>
        <v>7.4992395575601141E-5</v>
      </c>
      <c r="AN22" s="2">
        <f t="shared" si="11"/>
        <v>-4.2938962473543716E-5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25.17113341516211</v>
      </c>
      <c r="L23" s="6" t="s">
        <v>7</v>
      </c>
      <c r="N23" s="6" t="s">
        <v>30</v>
      </c>
      <c r="O23" s="6">
        <f xml:space="preserve"> O20 / ( $C$71 * PI() * $C$10^2 * O21^2 * $C$10^2)</f>
        <v>4.3289385357121832E-2</v>
      </c>
      <c r="U23" s="2">
        <v>19</v>
      </c>
      <c r="V23" s="2">
        <f t="shared" si="7"/>
        <v>0.97344970703125</v>
      </c>
      <c r="W23" s="2">
        <f t="shared" si="0"/>
        <v>3.867859115214145E-7</v>
      </c>
      <c r="X23" s="2">
        <f t="shared" si="8"/>
        <v>0.97345161437988281</v>
      </c>
      <c r="Y23" s="2">
        <f t="shared" si="1"/>
        <v>-1.5636559479448309E-6</v>
      </c>
      <c r="Z23" s="2">
        <f t="shared" si="3"/>
        <v>0.97345066070556641</v>
      </c>
      <c r="AA23" s="2">
        <f t="shared" si="2"/>
        <v>-5.884350391394122E-7</v>
      </c>
      <c r="AB23" s="2">
        <f t="shared" si="4"/>
        <v>-2.2759838298467679E-13</v>
      </c>
      <c r="AC23" s="2">
        <f t="shared" si="5"/>
        <v>9.2010994892949114E-13</v>
      </c>
      <c r="AD23" s="2">
        <f t="shared" si="6"/>
        <v>1.9073486328125E-6</v>
      </c>
      <c r="AF23" s="2">
        <v>19</v>
      </c>
      <c r="AG23" s="2">
        <f t="shared" si="13"/>
        <v>2234.8270416259766</v>
      </c>
      <c r="AH23" s="2">
        <v>-4.003301518423541E-3</v>
      </c>
      <c r="AI23" s="2">
        <f t="shared" si="14"/>
        <v>2234.86328125</v>
      </c>
      <c r="AJ23" s="2">
        <v>1.0725887689432057E-2</v>
      </c>
      <c r="AK23" s="2">
        <f t="shared" si="9"/>
        <v>2234.8451614379883</v>
      </c>
      <c r="AL23" s="2">
        <v>3.3613114142099221E-3</v>
      </c>
      <c r="AM23" s="2">
        <f t="shared" si="10"/>
        <v>-1.3456343088400961E-5</v>
      </c>
      <c r="AN23" s="2">
        <f t="shared" si="11"/>
        <v>3.6053048718021657E-5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8.7414419202012787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0.97344970703125</v>
      </c>
      <c r="W24" s="2">
        <f t="shared" si="0"/>
        <v>3.867859115214145E-7</v>
      </c>
      <c r="X24" s="2">
        <f t="shared" si="8"/>
        <v>0.97345066070556641</v>
      </c>
      <c r="Y24" s="2">
        <f t="shared" si="1"/>
        <v>-5.884350391394122E-7</v>
      </c>
      <c r="Z24" s="2">
        <f t="shared" si="3"/>
        <v>0.9734501838684082</v>
      </c>
      <c r="AA24" s="2">
        <f t="shared" si="2"/>
        <v>-1.0082456902704706E-7</v>
      </c>
      <c r="AB24" s="2">
        <f t="shared" si="4"/>
        <v>-3.8997522834880175E-14</v>
      </c>
      <c r="AC24" s="2">
        <f t="shared" si="5"/>
        <v>5.9328709221644807E-14</v>
      </c>
      <c r="AD24" s="2">
        <f t="shared" si="6"/>
        <v>9.5367431640625E-7</v>
      </c>
      <c r="AF24" s="2">
        <v>20</v>
      </c>
      <c r="AG24" s="2">
        <f t="shared" si="13"/>
        <v>2234.8270416259766</v>
      </c>
      <c r="AH24" s="2">
        <v>-4.003301518423541E-3</v>
      </c>
      <c r="AI24" s="2">
        <f t="shared" si="14"/>
        <v>2234.8451614379883</v>
      </c>
      <c r="AJ24" s="2">
        <v>3.3613114142099221E-3</v>
      </c>
      <c r="AK24" s="2">
        <f t="shared" si="9"/>
        <v>2234.8361015319824</v>
      </c>
      <c r="AL24" s="2">
        <v>-3.2099046984512825E-4</v>
      </c>
      <c r="AM24" s="2">
        <f t="shared" si="10"/>
        <v>1.2850216353304877E-6</v>
      </c>
      <c r="AN24" s="2">
        <f t="shared" si="11"/>
        <v>-1.0789489301430353E-6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27.222985248924513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0.97344970703125</v>
      </c>
      <c r="W25" s="2">
        <f t="shared" si="0"/>
        <v>3.867859115214145E-7</v>
      </c>
      <c r="X25" s="2">
        <f t="shared" si="8"/>
        <v>0.9734501838684082</v>
      </c>
      <c r="Y25" s="2">
        <f t="shared" si="1"/>
        <v>-1.0082456902704706E-7</v>
      </c>
      <c r="Z25" s="2">
        <f t="shared" si="3"/>
        <v>0.9734499454498291</v>
      </c>
      <c r="AA25" s="2">
        <f t="shared" si="2"/>
        <v>1.4298066997042724E-7</v>
      </c>
      <c r="AB25" s="2">
        <f t="shared" si="4"/>
        <v>5.5302908764454239E-14</v>
      </c>
      <c r="AC25" s="2">
        <f t="shared" si="5"/>
        <v>-1.4415964428966778E-14</v>
      </c>
      <c r="AD25" s="2">
        <f t="shared" si="6"/>
        <v>4.76837158203125E-7</v>
      </c>
      <c r="AF25" s="2">
        <v>21</v>
      </c>
      <c r="AG25" s="2">
        <f t="shared" si="13"/>
        <v>2234.8361015319824</v>
      </c>
      <c r="AH25" s="2">
        <v>-3.2099046984512825E-4</v>
      </c>
      <c r="AI25" s="2">
        <f t="shared" si="14"/>
        <v>2234.8451614379883</v>
      </c>
      <c r="AJ25" s="2">
        <v>3.3613114142099221E-3</v>
      </c>
      <c r="AK25" s="2">
        <f t="shared" si="9"/>
        <v>2234.8406314849854</v>
      </c>
      <c r="AL25" s="2">
        <v>1.5198447604234389E-3</v>
      </c>
      <c r="AM25" s="2">
        <f t="shared" si="10"/>
        <v>-4.8785568373997602E-7</v>
      </c>
      <c r="AN25" s="2">
        <f t="shared" si="11"/>
        <v>5.1086715410384493E-6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2738.1511793762638</v>
      </c>
      <c r="H26" s="6" t="s">
        <v>21</v>
      </c>
      <c r="J26" s="14" t="s">
        <v>65</v>
      </c>
      <c r="K26" s="6">
        <f xml:space="preserve"> $C$80 * (0.0268 * $C$5)</f>
        <v>47.915942693570237</v>
      </c>
      <c r="L26" s="6" t="s">
        <v>7</v>
      </c>
      <c r="N26" s="6" t="s">
        <v>32</v>
      </c>
      <c r="O26" s="17">
        <f>Z34</f>
        <v>0.97345008561387658</v>
      </c>
      <c r="U26" s="2">
        <v>22</v>
      </c>
      <c r="V26" s="2">
        <f t="shared" si="7"/>
        <v>0.9734499454498291</v>
      </c>
      <c r="W26" s="2">
        <f t="shared" si="0"/>
        <v>1.4298066997042724E-7</v>
      </c>
      <c r="X26" s="2">
        <f t="shared" si="8"/>
        <v>0.9734501838684082</v>
      </c>
      <c r="Y26" s="2">
        <f t="shared" si="1"/>
        <v>-1.0082456902704706E-7</v>
      </c>
      <c r="Z26" s="2">
        <f t="shared" si="3"/>
        <v>0.97345006465911865</v>
      </c>
      <c r="AA26" s="2">
        <f t="shared" si="2"/>
        <v>2.1078050194134335E-8</v>
      </c>
      <c r="AB26" s="2">
        <f t="shared" si="4"/>
        <v>3.013753738427621E-15</v>
      </c>
      <c r="AC26" s="2">
        <f t="shared" si="5"/>
        <v>-2.12518532675406E-15</v>
      </c>
      <c r="AD26" s="2">
        <f t="shared" si="6"/>
        <v>2.384185791015625E-7</v>
      </c>
      <c r="AF26" s="2">
        <v>22</v>
      </c>
      <c r="AG26" s="2">
        <f t="shared" si="13"/>
        <v>2234.8361015319824</v>
      </c>
      <c r="AH26" s="2">
        <v>-3.2099046984512825E-4</v>
      </c>
      <c r="AI26" s="2">
        <f t="shared" si="14"/>
        <v>2234.8406314849854</v>
      </c>
      <c r="AJ26" s="2">
        <v>1.5198447604234389E-3</v>
      </c>
      <c r="AK26" s="2">
        <f t="shared" si="9"/>
        <v>2234.8383665084839</v>
      </c>
      <c r="AL26" s="2">
        <v>5.9974428927489498E-4</v>
      </c>
      <c r="AM26" s="2">
        <f t="shared" si="10"/>
        <v>-1.9251220120128106E-7</v>
      </c>
      <c r="AN26" s="2">
        <f t="shared" si="11"/>
        <v>9.1151821564832842E-7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45.074517309452261</v>
      </c>
      <c r="H27" t="s">
        <v>97</v>
      </c>
      <c r="J27" s="14" t="s">
        <v>66</v>
      </c>
      <c r="K27" s="6">
        <f xml:space="preserve"> $C$80 * (11.5 * ($C$5*2.20462/1000)^0.4 * 0.453592)</f>
        <v>7.8974850627345425</v>
      </c>
      <c r="L27" s="6" t="s">
        <v>7</v>
      </c>
      <c r="N27" s="6" t="s">
        <v>33</v>
      </c>
      <c r="O27" s="6">
        <f xml:space="preserve"> O21 * $C$10 * O26 - $C$7 * SIN(O19/180*PI())</f>
        <v>1.5556878531608334</v>
      </c>
      <c r="P27" s="6" t="s">
        <v>10</v>
      </c>
      <c r="U27" s="2">
        <v>23</v>
      </c>
      <c r="V27" s="2">
        <f t="shared" si="7"/>
        <v>0.97345006465911865</v>
      </c>
      <c r="W27" s="2">
        <f t="shared" si="0"/>
        <v>2.1078050194134335E-8</v>
      </c>
      <c r="X27" s="2">
        <f t="shared" si="8"/>
        <v>0.9734501838684082</v>
      </c>
      <c r="Y27" s="2">
        <f t="shared" si="1"/>
        <v>-1.0082456902704706E-7</v>
      </c>
      <c r="Z27" s="2">
        <f t="shared" si="3"/>
        <v>0.97345012426376343</v>
      </c>
      <c r="AA27" s="2">
        <f t="shared" si="2"/>
        <v>-3.9873259471967515E-8</v>
      </c>
      <c r="AB27" s="2">
        <f t="shared" si="4"/>
        <v>-8.404505645538736E-16</v>
      </c>
      <c r="AC27" s="2">
        <f t="shared" si="5"/>
        <v>4.0202042019647466E-15</v>
      </c>
      <c r="AD27" s="2">
        <f t="shared" si="6"/>
        <v>1.1920928955078125E-7</v>
      </c>
      <c r="AF27" s="2">
        <v>23</v>
      </c>
      <c r="AG27" s="2">
        <f t="shared" si="13"/>
        <v>2234.8361015319824</v>
      </c>
      <c r="AH27" s="2">
        <v>-3.2099046984512825E-4</v>
      </c>
      <c r="AI27" s="2">
        <f t="shared" si="14"/>
        <v>2234.8383665084839</v>
      </c>
      <c r="AJ27" s="2">
        <v>5.9974428927489498E-4</v>
      </c>
      <c r="AK27" s="2">
        <f t="shared" si="9"/>
        <v>2234.8372340202332</v>
      </c>
      <c r="AL27" s="2">
        <v>1.3906012395636935E-4</v>
      </c>
      <c r="AM27" s="2">
        <f t="shared" si="10"/>
        <v>-4.4636974525476771E-8</v>
      </c>
      <c r="AN27" s="2">
        <f t="shared" si="11"/>
        <v>8.3400515208691535E-8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6.1977518568965007</v>
      </c>
      <c r="H28" s="6" t="s">
        <v>172</v>
      </c>
      <c r="J28" s="14" t="s">
        <v>67</v>
      </c>
      <c r="K28" s="6">
        <f xml:space="preserve"> $C$80 * (8 * ($C$5/1000))</f>
        <v>14.303266475692608</v>
      </c>
      <c r="L28" s="6" t="s">
        <v>7</v>
      </c>
      <c r="N28" s="6" t="s">
        <v>34</v>
      </c>
      <c r="O28" s="6">
        <f xml:space="preserve"> 1/$C$31 - O25 * SQRT( (2*$C$71*PI()*$C$10^2) / O20^3 )</f>
        <v>1.180076079071277</v>
      </c>
      <c r="U28" s="2">
        <v>24</v>
      </c>
      <c r="V28" s="2">
        <f t="shared" si="7"/>
        <v>0.97345006465911865</v>
      </c>
      <c r="W28" s="2">
        <f t="shared" si="0"/>
        <v>2.1078050194134335E-8</v>
      </c>
      <c r="X28" s="2">
        <f t="shared" si="8"/>
        <v>0.97345012426376343</v>
      </c>
      <c r="Y28" s="2">
        <f t="shared" si="1"/>
        <v>-3.9873259471967515E-8</v>
      </c>
      <c r="Z28" s="2">
        <f t="shared" si="3"/>
        <v>0.97345009446144104</v>
      </c>
      <c r="AA28" s="2">
        <f t="shared" si="2"/>
        <v>-9.3976046944277414E-9</v>
      </c>
      <c r="AB28" s="2">
        <f t="shared" si="4"/>
        <v>-1.9808318345378039E-16</v>
      </c>
      <c r="AC28" s="2">
        <f t="shared" si="5"/>
        <v>3.747131303958973E-16</v>
      </c>
      <c r="AD28" s="2">
        <f t="shared" si="6"/>
        <v>5.9604644775390625E-8</v>
      </c>
      <c r="AF28" s="2">
        <v>24</v>
      </c>
      <c r="AG28" s="2">
        <f t="shared" si="13"/>
        <v>2234.8361015319824</v>
      </c>
      <c r="AH28" s="2">
        <v>-3.2099046984512825E-4</v>
      </c>
      <c r="AI28" s="2">
        <f t="shared" si="14"/>
        <v>2234.8372340202332</v>
      </c>
      <c r="AJ28" s="2">
        <v>1.3906012395636935E-4</v>
      </c>
      <c r="AK28" s="2">
        <f t="shared" si="9"/>
        <v>2234.8366677761078</v>
      </c>
      <c r="AL28" s="2">
        <v>-9.0648297145889956E-5</v>
      </c>
      <c r="AM28" s="2">
        <f t="shared" si="10"/>
        <v>2.9097239491520013E-8</v>
      </c>
      <c r="AN28" s="2">
        <f t="shared" si="11"/>
        <v>-1.260556343754126E-8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360.59613847561809</v>
      </c>
      <c r="H29" s="22" t="s">
        <v>97</v>
      </c>
      <c r="J29" s="14" t="s">
        <v>68</v>
      </c>
      <c r="K29" s="6">
        <f xml:space="preserve"> $C$80 * (13 * ($C$5*2.20462/1000)^1.3 * 0.453592)</f>
        <v>37.502863051978224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0.97345006465911865</v>
      </c>
      <c r="W29" s="2">
        <f t="shared" si="0"/>
        <v>2.1078050194134335E-8</v>
      </c>
      <c r="X29" s="2">
        <f t="shared" si="8"/>
        <v>0.97345009446144104</v>
      </c>
      <c r="Y29" s="2">
        <f t="shared" si="1"/>
        <v>-9.3976046944277414E-9</v>
      </c>
      <c r="Z29" s="2">
        <f t="shared" si="3"/>
        <v>0.97345007956027985</v>
      </c>
      <c r="AA29" s="2">
        <f t="shared" si="2"/>
        <v>5.8402227498532966E-9</v>
      </c>
      <c r="AB29" s="2">
        <f t="shared" si="4"/>
        <v>1.2310050826633304E-16</v>
      </c>
      <c r="AC29" s="2">
        <f t="shared" si="5"/>
        <v>-5.4884104730525033E-17</v>
      </c>
      <c r="AD29" s="2">
        <f t="shared" si="6"/>
        <v>2.9802322387695312E-8</v>
      </c>
      <c r="AF29" s="2">
        <v>25</v>
      </c>
      <c r="AG29" s="2">
        <f t="shared" si="13"/>
        <v>2234.8366677761078</v>
      </c>
      <c r="AH29" s="2">
        <v>-9.0648297145889956E-5</v>
      </c>
      <c r="AI29" s="2">
        <f t="shared" si="14"/>
        <v>2234.8372340202332</v>
      </c>
      <c r="AJ29" s="2">
        <v>1.3906012395636935E-4</v>
      </c>
      <c r="AK29" s="2">
        <f t="shared" si="9"/>
        <v>2234.8369508981705</v>
      </c>
      <c r="AL29" s="2">
        <v>2.4205917497965856E-5</v>
      </c>
      <c r="AM29" s="2">
        <f t="shared" si="10"/>
        <v>-2.1942252020445062E-9</v>
      </c>
      <c r="AN29" s="2">
        <f t="shared" si="11"/>
        <v>3.3660778877447817E-9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1.9709946674311141E-2</v>
      </c>
      <c r="L30" s="9" t="s">
        <v>7</v>
      </c>
      <c r="N30" s="6" t="s">
        <v>36</v>
      </c>
      <c r="O30" s="6">
        <f xml:space="preserve"> 1/$C$77 * LN( EXP($C$77 * O28) + EXP($C$77 * O29) )</f>
        <v>1.191425902038173</v>
      </c>
      <c r="U30" s="2">
        <v>26</v>
      </c>
      <c r="V30" s="2">
        <f>IF(AB29&gt;0, Z29, V29)</f>
        <v>0.97345007956027985</v>
      </c>
      <c r="W30" s="2">
        <f t="shared" si="0"/>
        <v>5.8402227498532966E-9</v>
      </c>
      <c r="X30" s="2">
        <f t="shared" si="8"/>
        <v>0.97345009446144104</v>
      </c>
      <c r="Y30" s="2">
        <f t="shared" si="1"/>
        <v>-9.3976046944277414E-9</v>
      </c>
      <c r="Z30" s="2">
        <f t="shared" si="3"/>
        <v>0.97345008701086044</v>
      </c>
      <c r="AA30" s="2">
        <f t="shared" si="2"/>
        <v>-1.7786909722872224E-9</v>
      </c>
      <c r="AB30" s="2">
        <f t="shared" si="4"/>
        <v>-1.0387951481310516E-17</v>
      </c>
      <c r="AC30" s="2">
        <f t="shared" si="5"/>
        <v>1.6715434631102645E-17</v>
      </c>
      <c r="AD30" s="2">
        <f t="shared" si="6"/>
        <v>1.4901161193847656E-8</v>
      </c>
      <c r="AF30" s="2">
        <v>26</v>
      </c>
      <c r="AG30" s="2">
        <f t="shared" si="13"/>
        <v>2234.8366677761078</v>
      </c>
      <c r="AH30" s="2">
        <v>-9.0648297145889956E-5</v>
      </c>
      <c r="AI30" s="2">
        <f t="shared" si="14"/>
        <v>2234.8369508981705</v>
      </c>
      <c r="AJ30" s="2">
        <v>2.4205917497965856E-5</v>
      </c>
      <c r="AK30" s="2">
        <f t="shared" si="9"/>
        <v>2234.8368093371391</v>
      </c>
      <c r="AL30" s="2">
        <v>-3.3221188687093672E-5</v>
      </c>
      <c r="AM30" s="2">
        <f t="shared" si="10"/>
        <v>3.0114441836473451E-9</v>
      </c>
      <c r="AN30" s="2">
        <f t="shared" si="11"/>
        <v>-8.0414935254414613E-10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0.97345007956027985</v>
      </c>
      <c r="W31" s="2">
        <f t="shared" si="0"/>
        <v>5.8402227498532966E-9</v>
      </c>
      <c r="X31" s="2">
        <f t="shared" si="8"/>
        <v>0.97345008701086044</v>
      </c>
      <c r="Y31" s="2">
        <f t="shared" si="1"/>
        <v>-1.7786909722872224E-9</v>
      </c>
      <c r="Z31" s="2">
        <f t="shared" si="3"/>
        <v>0.97345008328557014</v>
      </c>
      <c r="AA31" s="2">
        <f t="shared" si="2"/>
        <v>2.0307658887830371E-9</v>
      </c>
      <c r="AB31" s="2">
        <f t="shared" si="4"/>
        <v>1.1860125143296743E-17</v>
      </c>
      <c r="AC31" s="2">
        <f t="shared" si="5"/>
        <v>-3.6121049532072256E-18</v>
      </c>
      <c r="AD31" s="2">
        <f t="shared" si="6"/>
        <v>7.4505805969238281E-9</v>
      </c>
      <c r="AF31" s="2">
        <v>27</v>
      </c>
      <c r="AG31" s="2">
        <f t="shared" si="13"/>
        <v>2234.8368093371391</v>
      </c>
      <c r="AH31" s="2">
        <v>-3.3221188687093672E-5</v>
      </c>
      <c r="AI31" s="2">
        <f t="shared" si="14"/>
        <v>2234.8369508981705</v>
      </c>
      <c r="AJ31" s="2">
        <v>2.4205917497965856E-5</v>
      </c>
      <c r="AK31" s="2">
        <f t="shared" si="9"/>
        <v>2234.8368801176548</v>
      </c>
      <c r="AL31" s="2">
        <v>-4.8244928620988503E-6</v>
      </c>
      <c r="AM31" s="2">
        <f t="shared" si="10"/>
        <v>1.602753876913225E-10</v>
      </c>
      <c r="AN31" s="2">
        <f t="shared" si="11"/>
        <v>-1.1678127618948994E-10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0.97345008328557014</v>
      </c>
      <c r="W32" s="2">
        <f t="shared" si="0"/>
        <v>2.0307658887830371E-9</v>
      </c>
      <c r="X32" s="2">
        <f t="shared" si="8"/>
        <v>0.97345008701086044</v>
      </c>
      <c r="Y32" s="2">
        <f t="shared" si="1"/>
        <v>-1.7786909722872224E-9</v>
      </c>
      <c r="Z32" s="2">
        <f t="shared" si="3"/>
        <v>0.97345008514821529</v>
      </c>
      <c r="AA32" s="2">
        <f t="shared" si="2"/>
        <v>1.2603740273675612E-10</v>
      </c>
      <c r="AB32" s="2">
        <f t="shared" si="4"/>
        <v>2.5595245818861414E-19</v>
      </c>
      <c r="AC32" s="2">
        <f t="shared" si="5"/>
        <v>-2.2418159041839697E-19</v>
      </c>
      <c r="AD32" s="2">
        <f t="shared" si="6"/>
        <v>3.7252902984619141E-9</v>
      </c>
      <c r="AF32" s="2">
        <v>28</v>
      </c>
      <c r="AG32" s="2">
        <f t="shared" si="13"/>
        <v>2234.8368801176548</v>
      </c>
      <c r="AH32" s="2">
        <v>-4.8244928620988503E-6</v>
      </c>
      <c r="AI32" s="2">
        <f t="shared" si="14"/>
        <v>2234.8369508981705</v>
      </c>
      <c r="AJ32" s="2">
        <v>2.4205917497965856E-5</v>
      </c>
      <c r="AK32" s="2">
        <f t="shared" si="9"/>
        <v>2234.8369155079126</v>
      </c>
      <c r="AL32" s="2">
        <v>9.6907126589940162E-6</v>
      </c>
      <c r="AM32" s="2">
        <f t="shared" si="10"/>
        <v>-4.6752774051967601E-11</v>
      </c>
      <c r="AN32" s="2">
        <f t="shared" si="11"/>
        <v>2.3457259112010249E-10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121.33464329660534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0.97345008514821529</v>
      </c>
      <c r="W33" s="2">
        <f t="shared" si="0"/>
        <v>1.2603740273675612E-10</v>
      </c>
      <c r="X33" s="2">
        <f t="shared" si="8"/>
        <v>0.97345008701086044</v>
      </c>
      <c r="Y33" s="2">
        <f t="shared" si="1"/>
        <v>-1.7786909722872224E-9</v>
      </c>
      <c r="Z33" s="2">
        <f t="shared" si="3"/>
        <v>0.97345008607953787</v>
      </c>
      <c r="AA33" s="2">
        <f t="shared" si="2"/>
        <v>-8.2632678477523314E-10</v>
      </c>
      <c r="AB33" s="2">
        <f t="shared" si="4"/>
        <v>-1.0414808176488486E-19</v>
      </c>
      <c r="AC33" s="2">
        <f t="shared" si="5"/>
        <v>1.4697799922388338E-18</v>
      </c>
      <c r="AD33" s="2">
        <f t="shared" si="6"/>
        <v>1.862645149230957E-9</v>
      </c>
      <c r="AF33" s="2">
        <v>29</v>
      </c>
      <c r="AG33" s="2">
        <f t="shared" si="13"/>
        <v>2234.8368801176548</v>
      </c>
      <c r="AH33" s="2">
        <v>-4.8244928620988503E-6</v>
      </c>
      <c r="AI33" s="2">
        <f t="shared" si="14"/>
        <v>2234.8369155079126</v>
      </c>
      <c r="AJ33" s="2">
        <v>9.6907126589940162E-6</v>
      </c>
      <c r="AK33" s="2">
        <f t="shared" si="9"/>
        <v>2234.8368978127837</v>
      </c>
      <c r="AL33" s="2">
        <v>2.4331095573870698E-6</v>
      </c>
      <c r="AM33" s="2">
        <f t="shared" si="10"/>
        <v>-1.1738519692318411E-11</v>
      </c>
      <c r="AN33" s="2">
        <f t="shared" si="11"/>
        <v>2.3578565588490205E-11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26.85</v>
      </c>
      <c r="L34" s="6" t="s">
        <v>59</v>
      </c>
      <c r="U34" s="2">
        <v>30</v>
      </c>
      <c r="V34" s="2">
        <f t="shared" si="7"/>
        <v>0.97345008514821529</v>
      </c>
      <c r="W34" s="2">
        <f t="shared" si="0"/>
        <v>1.2603740273675612E-10</v>
      </c>
      <c r="X34" s="2">
        <f t="shared" si="8"/>
        <v>0.97345008607953787</v>
      </c>
      <c r="Y34" s="2">
        <f t="shared" si="1"/>
        <v>-8.2632678477523314E-10</v>
      </c>
      <c r="Z34" s="2">
        <f t="shared" si="3"/>
        <v>0.97345008561387658</v>
      </c>
      <c r="AA34" s="2">
        <f t="shared" si="2"/>
        <v>-3.5014469101923851E-10</v>
      </c>
      <c r="AB34" s="2">
        <f t="shared" si="4"/>
        <v>-4.4131327438128798E-20</v>
      </c>
      <c r="AC34" s="2">
        <f t="shared" si="5"/>
        <v>2.8933393673604481E-19</v>
      </c>
      <c r="AD34" s="2">
        <f t="shared" si="6"/>
        <v>9.3132257461547852E-10</v>
      </c>
      <c r="AF34" s="2">
        <v>30</v>
      </c>
      <c r="AG34" s="2">
        <f t="shared" si="13"/>
        <v>2234.8368801176548</v>
      </c>
      <c r="AH34" s="2">
        <v>-4.8244928620988503E-6</v>
      </c>
      <c r="AI34" s="2">
        <f t="shared" si="14"/>
        <v>2234.8368978127837</v>
      </c>
      <c r="AJ34" s="2">
        <v>2.4331095573870698E-6</v>
      </c>
      <c r="AK34" s="2">
        <f t="shared" si="9"/>
        <v>2234.8368889652193</v>
      </c>
      <c r="AL34" s="2">
        <v>-1.1956915386690525E-6</v>
      </c>
      <c r="AM34" s="2">
        <f t="shared" si="10"/>
        <v>5.7686052935808354E-12</v>
      </c>
      <c r="AN34" s="2">
        <f t="shared" si="11"/>
        <v>-2.9092485104225229E-12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32.200000000000003</v>
      </c>
      <c r="L35" s="6" t="s">
        <v>59</v>
      </c>
      <c r="AF35" s="2">
        <v>31</v>
      </c>
      <c r="AG35" s="2">
        <f t="shared" si="13"/>
        <v>2234.8368889652193</v>
      </c>
      <c r="AH35" s="2">
        <v>-1.1956915386690525E-6</v>
      </c>
      <c r="AI35" s="2">
        <f t="shared" si="14"/>
        <v>2234.8368978127837</v>
      </c>
      <c r="AJ35" s="2">
        <v>2.4331095573870698E-6</v>
      </c>
      <c r="AK35" s="2">
        <f t="shared" si="9"/>
        <v>2234.8368933890015</v>
      </c>
      <c r="AL35" s="2">
        <v>6.1870923673268408E-7</v>
      </c>
      <c r="AM35" s="2">
        <f t="shared" si="10"/>
        <v>-7.397853992576581E-13</v>
      </c>
      <c r="AN35" s="2">
        <f t="shared" si="11"/>
        <v>1.5053873571379527E-12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16.61</v>
      </c>
      <c r="L36" s="6" t="s">
        <v>59</v>
      </c>
      <c r="AF36" s="2">
        <v>32</v>
      </c>
      <c r="AG36" s="2">
        <f t="shared" si="13"/>
        <v>2234.8368889652193</v>
      </c>
      <c r="AH36" s="2">
        <v>-1.1956915386690525E-6</v>
      </c>
      <c r="AI36" s="2">
        <f t="shared" si="14"/>
        <v>2234.8368933890015</v>
      </c>
      <c r="AJ36" s="2">
        <v>6.1870923673268408E-7</v>
      </c>
      <c r="AK36" s="2">
        <f t="shared" si="9"/>
        <v>2234.8368911771104</v>
      </c>
      <c r="AL36" s="2">
        <v>-2.8849080990767106E-7</v>
      </c>
      <c r="AM36" s="2">
        <f t="shared" si="10"/>
        <v>3.4494602039038436E-13</v>
      </c>
      <c r="AN36" s="2">
        <f t="shared" si="11"/>
        <v>-1.7849192880236902E-13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19.53</v>
      </c>
      <c r="L37" s="6" t="s">
        <v>59</v>
      </c>
      <c r="AF37" s="2">
        <v>33</v>
      </c>
      <c r="AG37" s="2">
        <f t="shared" si="13"/>
        <v>2234.8368911771104</v>
      </c>
      <c r="AH37" s="2">
        <v>-2.8849080990767106E-7</v>
      </c>
      <c r="AI37" s="2">
        <f t="shared" si="14"/>
        <v>2234.8368933890015</v>
      </c>
      <c r="AJ37" s="2">
        <v>6.1870923673268408E-7</v>
      </c>
      <c r="AK37" s="2">
        <f t="shared" si="9"/>
        <v>2234.8368922830559</v>
      </c>
      <c r="AL37" s="2">
        <v>1.6510898603883106E-7</v>
      </c>
      <c r="AM37" s="2">
        <f t="shared" si="10"/>
        <v>-4.7632425105376728E-14</v>
      </c>
      <c r="AN37" s="2">
        <f t="shared" si="11"/>
        <v>1.0215445472979256E-13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4.82</v>
      </c>
      <c r="L38" s="6" t="s">
        <v>59</v>
      </c>
      <c r="AF38" s="2">
        <v>34</v>
      </c>
      <c r="AG38" s="2">
        <f t="shared" si="13"/>
        <v>2234.8368911771104</v>
      </c>
      <c r="AH38" s="2">
        <v>-2.8849080990767106E-7</v>
      </c>
      <c r="AI38" s="2">
        <f t="shared" si="14"/>
        <v>2234.8368922830559</v>
      </c>
      <c r="AJ38" s="2">
        <v>1.6510898603883106E-7</v>
      </c>
      <c r="AK38" s="2">
        <f t="shared" si="9"/>
        <v>2234.8368917300832</v>
      </c>
      <c r="AL38" s="2">
        <v>-6.1690798247582279E-8</v>
      </c>
      <c r="AM38" s="2">
        <f t="shared" si="10"/>
        <v>1.7797228350295746E-14</v>
      </c>
      <c r="AN38" s="2">
        <f t="shared" si="11"/>
        <v>-1.0185705146584406E-14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100.00999999999999</v>
      </c>
      <c r="L39" s="9" t="s">
        <v>59</v>
      </c>
      <c r="AF39" s="2">
        <v>35</v>
      </c>
      <c r="AG39" s="2">
        <f t="shared" si="13"/>
        <v>2234.8368917300832</v>
      </c>
      <c r="AH39" s="2">
        <v>-6.1690798247582279E-8</v>
      </c>
      <c r="AI39" s="2">
        <f t="shared" si="14"/>
        <v>2234.8368922830559</v>
      </c>
      <c r="AJ39" s="2">
        <v>1.6510898603883106E-7</v>
      </c>
      <c r="AK39" s="2">
        <f t="shared" si="9"/>
        <v>2234.8368920065695</v>
      </c>
      <c r="AL39" s="2">
        <v>5.1709548642975278E-8</v>
      </c>
      <c r="AM39" s="2">
        <f t="shared" si="10"/>
        <v>-3.1900033328073299E-15</v>
      </c>
      <c r="AN39" s="2">
        <f t="shared" si="11"/>
        <v>8.5377111449672609E-15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2234.8368917300832</v>
      </c>
      <c r="AH40" s="2">
        <v>-6.1690798247582279E-8</v>
      </c>
      <c r="AI40" s="2">
        <f t="shared" si="14"/>
        <v>2234.8368920065695</v>
      </c>
      <c r="AJ40" s="2">
        <v>5.1709548642975278E-8</v>
      </c>
      <c r="AK40" s="2">
        <f t="shared" si="9"/>
        <v>2234.8368918683263</v>
      </c>
      <c r="AL40" s="2">
        <v>-4.9908521759789437E-9</v>
      </c>
      <c r="AM40" s="2">
        <f t="shared" si="10"/>
        <v>3.0788965467182403E-16</v>
      </c>
      <c r="AN40" s="2">
        <f t="shared" si="11"/>
        <v>-2.580747133636822E-16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2234.8368918683263</v>
      </c>
      <c r="AH41" s="2">
        <v>-4.9908521759789437E-9</v>
      </c>
      <c r="AI41" s="2">
        <f t="shared" si="14"/>
        <v>2234.8368920065695</v>
      </c>
      <c r="AJ41" s="2">
        <v>5.1709548642975278E-8</v>
      </c>
      <c r="AK41" s="2">
        <f t="shared" si="9"/>
        <v>2234.8368919374479</v>
      </c>
      <c r="AL41" s="2">
        <v>2.3359007172985002E-8</v>
      </c>
      <c r="AM41" s="2">
        <f t="shared" si="10"/>
        <v>-1.1658135177799995E-16</v>
      </c>
      <c r="AN41" s="2">
        <f t="shared" si="11"/>
        <v>1.2078837176630764E-15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2234.8368918683263</v>
      </c>
      <c r="AH42" s="2">
        <v>-4.9908521759789437E-9</v>
      </c>
      <c r="AI42" s="2">
        <f t="shared" si="14"/>
        <v>2234.8368919374479</v>
      </c>
      <c r="AJ42" s="2">
        <v>2.3359007172985002E-8</v>
      </c>
      <c r="AK42" s="2">
        <f t="shared" si="9"/>
        <v>2234.8368919028871</v>
      </c>
      <c r="AL42" s="2">
        <v>9.1840774985030293E-9</v>
      </c>
      <c r="AM42" s="2">
        <f t="shared" si="10"/>
        <v>-4.5836373167763098E-17</v>
      </c>
      <c r="AN42" s="2">
        <f t="shared" si="11"/>
        <v>2.1453093216478242E-16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719.6</v>
      </c>
      <c r="L43" s="6" t="s">
        <v>7</v>
      </c>
      <c r="AF43" s="2">
        <v>39</v>
      </c>
      <c r="AG43" s="2">
        <f t="shared" si="13"/>
        <v>2234.8368918683263</v>
      </c>
      <c r="AH43" s="2">
        <v>-4.9908521759789437E-9</v>
      </c>
      <c r="AI43" s="2">
        <f t="shared" si="14"/>
        <v>2234.8368919028871</v>
      </c>
      <c r="AJ43" s="2">
        <v>9.1840774985030293E-9</v>
      </c>
      <c r="AK43" s="2">
        <f t="shared" si="9"/>
        <v>2234.8368918856067</v>
      </c>
      <c r="AL43" s="2">
        <v>2.0968400349374861E-9</v>
      </c>
      <c r="AM43" s="2">
        <f t="shared" si="10"/>
        <v>-1.0465018651047517E-17</v>
      </c>
      <c r="AN43" s="2">
        <f t="shared" si="11"/>
        <v>1.9257541382829672E-17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371.2</v>
      </c>
      <c r="L44" s="6" t="s">
        <v>7</v>
      </c>
      <c r="AF44" s="2">
        <v>40</v>
      </c>
      <c r="AG44" s="2">
        <f t="shared" si="13"/>
        <v>2234.8368918683263</v>
      </c>
      <c r="AH44" s="2">
        <v>-4.9908521759789437E-9</v>
      </c>
      <c r="AI44" s="2">
        <f t="shared" si="14"/>
        <v>2234.8368918856067</v>
      </c>
      <c r="AJ44" s="2">
        <v>2.0968400349374861E-9</v>
      </c>
      <c r="AK44" s="5">
        <f t="shared" si="9"/>
        <v>2234.8368918769665</v>
      </c>
      <c r="AL44" s="2">
        <v>-1.4476881915470585E-9</v>
      </c>
      <c r="AM44" s="2">
        <f t="shared" si="10"/>
        <v>7.2251977609216589E-18</v>
      </c>
      <c r="AN44" s="2">
        <f t="shared" si="11"/>
        <v>-3.0355705581421202E-18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436.44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107.62</v>
      </c>
      <c r="L46" s="6" t="s">
        <v>7</v>
      </c>
    </row>
    <row r="47" spans="2:41" x14ac:dyDescent="0.2">
      <c r="J47" s="9" t="s">
        <v>60</v>
      </c>
      <c r="K47" s="9">
        <f>SUM(K42:K46)</f>
        <v>2234.8599999999997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23" priority="1" operator="containsText" text="FALSE">
      <formula>NOT(ISERROR(SEARCH("FALSE",K31)))</formula>
    </cfRule>
    <cfRule type="containsText" dxfId="22" priority="2" operator="containsText" text="TRUE">
      <formula>NOT(ISERROR(SEARCH("TRUE",K31)))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NOT(ISERROR(SEARCH("YES",K31)))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E12-39D0-AD44-9469-F28D414ECCB8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410.91463280434277</v>
      </c>
      <c r="L4" s="6" t="s">
        <v>97</v>
      </c>
      <c r="N4" s="6" t="s">
        <v>131</v>
      </c>
      <c r="O4" s="6">
        <f xml:space="preserve"> $C$5 * $C$74</f>
        <v>16868.321369323567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1.1815904283531562</v>
      </c>
      <c r="X4" s="3">
        <v>1</v>
      </c>
      <c r="Y4" s="2">
        <f t="shared" ref="Y4:Y34" si="1" xml:space="preserve"> $O$22 * TAN($O$19/180*PI()) + $O$23 / (2 * SQRT($O$22^2 + X4^2)) - X4</f>
        <v>-2.9603297382538418E-2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0.4891093306069253</v>
      </c>
      <c r="AB4" s="2">
        <f>W4*AA4</f>
        <v>0.5779269034633624</v>
      </c>
      <c r="AC4" s="2">
        <f>Y4*AA4</f>
        <v>-1.4479248966531109E-2</v>
      </c>
      <c r="AD4" s="2">
        <f>X4-V4</f>
        <v>1</v>
      </c>
      <c r="AF4" s="2">
        <v>0</v>
      </c>
      <c r="AH4" s="2">
        <f>K30</f>
        <v>-5.6322864816138463E-4</v>
      </c>
      <c r="AJ4" s="2">
        <f>K30</f>
        <v>-5.6322864816138463E-4</v>
      </c>
      <c r="AL4" s="2">
        <f>K30</f>
        <v>-5.6322864816138463E-4</v>
      </c>
    </row>
    <row r="5" spans="2:41" x14ac:dyDescent="0.2">
      <c r="B5" s="9" t="s">
        <v>38</v>
      </c>
      <c r="C5" s="9">
        <v>1721.1600432340001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51.364329100542847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0.4891093306069253</v>
      </c>
      <c r="X5" s="2">
        <f>IF(AC4&gt;0, Z4, X4)</f>
        <v>1</v>
      </c>
      <c r="Y5" s="2">
        <f t="shared" si="1"/>
        <v>-2.9603297382538418E-2</v>
      </c>
      <c r="Z5" s="2">
        <f t="shared" ref="Z5:Z34" si="3" xml:space="preserve"> (V5 + X5)/2</f>
        <v>0.75</v>
      </c>
      <c r="AA5" s="2">
        <f t="shared" si="2"/>
        <v>0.22669578376555621</v>
      </c>
      <c r="AB5" s="2">
        <f t="shared" ref="AB5:AB34" si="4">W5*AA5</f>
        <v>0.11087902304898348</v>
      </c>
      <c r="AC5" s="2">
        <f t="shared" ref="AC5:AC34" si="5">Y5*AA5</f>
        <v>-6.7109427021793851E-3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-720.26763888648134</v>
      </c>
      <c r="AI5" s="3">
        <v>10000</v>
      </c>
      <c r="AJ5" s="2">
        <f t="dataTable" ref="AJ5:AJ44" dt2D="0" dtr="0" r1="C5" ca="1"/>
        <v>3557.8927193810359</v>
      </c>
      <c r="AK5" s="2">
        <f>(AG5+AI5)/2</f>
        <v>5250</v>
      </c>
      <c r="AL5" s="2">
        <f t="dataTable" ref="AL5:AL44" dt2D="0" dtr="0" r1="C5" ca="1"/>
        <v>1980.3886981799965</v>
      </c>
      <c r="AM5" s="2">
        <f>AH5*AL5</f>
        <v>-1426409.8917155785</v>
      </c>
      <c r="AN5" s="2">
        <f>AJ5*AL5</f>
        <v>7046010.5307990974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161.10023303528868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0.18805032371257416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0.22669578376555621</v>
      </c>
      <c r="X6" s="2">
        <f t="shared" ref="X6:X34" si="8">IF(AC5&gt;0, Z5, X5)</f>
        <v>1</v>
      </c>
      <c r="Y6" s="2">
        <f t="shared" si="1"/>
        <v>-2.9603297382538418E-2</v>
      </c>
      <c r="Z6" s="2">
        <f t="shared" si="3"/>
        <v>0.875</v>
      </c>
      <c r="AA6" s="2">
        <f t="shared" si="2"/>
        <v>9.8102442895145137E-2</v>
      </c>
      <c r="AB6" s="2">
        <f t="shared" si="4"/>
        <v>2.2239410181430649E-2</v>
      </c>
      <c r="AC6" s="2">
        <f t="shared" si="5"/>
        <v>-2.9041557909784748E-3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-720.26763888648134</v>
      </c>
      <c r="AI6" s="2">
        <f>IF(AN5&gt;0,AK5,AI5)</f>
        <v>5250</v>
      </c>
      <c r="AJ6" s="2">
        <v>1980.3886981799965</v>
      </c>
      <c r="AK6" s="2">
        <f t="shared" ref="AK6:AK44" si="9">(AG6+AI6)/2</f>
        <v>2875</v>
      </c>
      <c r="AL6" s="2">
        <v>576.75950821433253</v>
      </c>
      <c r="AM6" s="2">
        <f t="shared" ref="AM6:AM44" si="10">AH6*AL6</f>
        <v>-415421.20918686542</v>
      </c>
      <c r="AN6" s="2">
        <f t="shared" ref="AN6:AN44" si="11">AJ6*AL6</f>
        <v>1142208.011635517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2108.7418755588092</v>
      </c>
      <c r="H7" s="6" t="s">
        <v>21</v>
      </c>
      <c r="J7" s="6" t="s">
        <v>133</v>
      </c>
      <c r="K7" s="6">
        <f>K6/$C$28</f>
        <v>161.10023303528868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9.8102442895145137E-2</v>
      </c>
      <c r="X7" s="2">
        <f t="shared" si="8"/>
        <v>1</v>
      </c>
      <c r="Y7" s="2">
        <f t="shared" si="1"/>
        <v>-2.9603297382538418E-2</v>
      </c>
      <c r="Z7" s="2">
        <f t="shared" si="3"/>
        <v>0.9375</v>
      </c>
      <c r="AA7" s="2">
        <f t="shared" si="2"/>
        <v>3.416044240836924E-2</v>
      </c>
      <c r="AB7" s="2">
        <f t="shared" si="4"/>
        <v>3.3512228506399374E-3</v>
      </c>
      <c r="AC7" s="2">
        <f t="shared" si="5"/>
        <v>-1.0112617353340316E-3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-720.26763888648134</v>
      </c>
      <c r="AI7" s="2">
        <f t="shared" ref="AI7:AI44" si="14">IF(AN6&gt;0,AK6,AI6)</f>
        <v>2875</v>
      </c>
      <c r="AJ7" s="2">
        <v>576.75950821433253</v>
      </c>
      <c r="AK7" s="2">
        <f t="shared" si="9"/>
        <v>1687.5</v>
      </c>
      <c r="AL7" s="2">
        <v>-18.412842432671596</v>
      </c>
      <c r="AM7" s="2">
        <f t="shared" si="10"/>
        <v>13262.174544169186</v>
      </c>
      <c r="AN7" s="2">
        <f t="shared" si="11"/>
        <v>-10619.781946295663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34.242886067028564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3.416044240836924E-2</v>
      </c>
      <c r="X8" s="2">
        <f t="shared" si="8"/>
        <v>1</v>
      </c>
      <c r="Y8" s="2">
        <f t="shared" si="1"/>
        <v>-2.9603297382538418E-2</v>
      </c>
      <c r="Z8" s="2">
        <f t="shared" si="3"/>
        <v>0.96875</v>
      </c>
      <c r="AA8" s="2">
        <f t="shared" si="2"/>
        <v>2.2584137806255233E-3</v>
      </c>
      <c r="AB8" s="2">
        <f t="shared" si="4"/>
        <v>7.7148413887325631E-5</v>
      </c>
      <c r="AC8" s="2">
        <f t="shared" si="5"/>
        <v>-6.6856494760680245E-5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-18.412842432671596</v>
      </c>
      <c r="AI8" s="2">
        <f t="shared" si="14"/>
        <v>2875</v>
      </c>
      <c r="AJ8" s="2">
        <v>576.75950821433253</v>
      </c>
      <c r="AK8" s="2">
        <f t="shared" si="9"/>
        <v>2281.25</v>
      </c>
      <c r="AL8" s="2">
        <v>293.19248126277216</v>
      </c>
      <c r="AM8" s="2">
        <f t="shared" si="10"/>
        <v>-5398.5069599354429</v>
      </c>
      <c r="AN8" s="2">
        <f t="shared" si="11"/>
        <v>169101.55130525638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6.2829109959690754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2.2584137806255233E-3</v>
      </c>
      <c r="X9" s="2">
        <f t="shared" si="8"/>
        <v>1</v>
      </c>
      <c r="Y9" s="2">
        <f t="shared" si="1"/>
        <v>-2.9603297382538418E-2</v>
      </c>
      <c r="Z9" s="2">
        <f t="shared" si="3"/>
        <v>0.984375</v>
      </c>
      <c r="AA9" s="2">
        <f t="shared" si="2"/>
        <v>-1.3677244955166978E-2</v>
      </c>
      <c r="AB9" s="2">
        <f t="shared" si="4"/>
        <v>-3.0888878487740024E-5</v>
      </c>
      <c r="AC9" s="2">
        <f t="shared" si="5"/>
        <v>4.048915497816314E-4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-18.412842432671596</v>
      </c>
      <c r="AI9" s="2">
        <f t="shared" si="14"/>
        <v>2281.25</v>
      </c>
      <c r="AJ9" s="2">
        <v>293.19248126277216</v>
      </c>
      <c r="AK9" s="2">
        <f t="shared" si="9"/>
        <v>1984.375</v>
      </c>
      <c r="AL9" s="2">
        <v>140.88988336973966</v>
      </c>
      <c r="AM9" s="2">
        <f t="shared" si="10"/>
        <v>-2594.1832228444946</v>
      </c>
      <c r="AN9" s="2">
        <f t="shared" si="11"/>
        <v>41307.854489996549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273.94308853622852</v>
      </c>
      <c r="H10" s="22" t="s">
        <v>97</v>
      </c>
      <c r="J10" s="6" t="s">
        <v>92</v>
      </c>
      <c r="K10" s="6">
        <f xml:space="preserve"> $C$18 * (G10*G6 + G20*G13 + G29*G25 + G33*G32)/3600</f>
        <v>101.43089244262949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2.2584137806255233E-3</v>
      </c>
      <c r="X10" s="2">
        <f t="shared" si="8"/>
        <v>0.984375</v>
      </c>
      <c r="Y10" s="2">
        <f t="shared" si="1"/>
        <v>-1.3677244955166978E-2</v>
      </c>
      <c r="Z10" s="2">
        <f t="shared" si="3"/>
        <v>0.9765625</v>
      </c>
      <c r="AA10" s="2">
        <f t="shared" si="2"/>
        <v>-5.710644780803964E-3</v>
      </c>
      <c r="AB10" s="2">
        <f t="shared" si="4"/>
        <v>-1.2896998869224894E-5</v>
      </c>
      <c r="AC10" s="2">
        <f t="shared" si="5"/>
        <v>7.8105887519001649E-5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-18.412842432671596</v>
      </c>
      <c r="AI10" s="2">
        <f t="shared" si="14"/>
        <v>1984.375</v>
      </c>
      <c r="AJ10" s="2">
        <v>140.88988336973966</v>
      </c>
      <c r="AK10" s="2">
        <f t="shared" si="9"/>
        <v>1835.9375</v>
      </c>
      <c r="AL10" s="2">
        <v>62.110967119780753</v>
      </c>
      <c r="AM10" s="2">
        <f t="shared" si="10"/>
        <v>-1143.6394509173692</v>
      </c>
      <c r="AN10" s="2">
        <f t="shared" si="11"/>
        <v>8750.8069134876459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2.2584137806255233E-3</v>
      </c>
      <c r="X11" s="2">
        <f t="shared" si="8"/>
        <v>0.9765625</v>
      </c>
      <c r="Y11" s="2">
        <f t="shared" si="1"/>
        <v>-5.710644780803964E-3</v>
      </c>
      <c r="Z11" s="2">
        <f t="shared" si="3"/>
        <v>0.97265625</v>
      </c>
      <c r="AA11" s="2">
        <f t="shared" si="2"/>
        <v>-1.7264264471024138E-3</v>
      </c>
      <c r="AB11" s="2">
        <f t="shared" si="4"/>
        <v>-3.8989852793724522E-6</v>
      </c>
      <c r="AC11" s="2">
        <f t="shared" si="5"/>
        <v>9.8590081795873294E-6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-18.412842432671596</v>
      </c>
      <c r="AI11" s="2">
        <f t="shared" si="14"/>
        <v>1835.9375</v>
      </c>
      <c r="AJ11" s="2">
        <v>62.110967119780753</v>
      </c>
      <c r="AK11" s="2">
        <f t="shared" si="9"/>
        <v>1761.71875</v>
      </c>
      <c r="AL11" s="2">
        <v>22.066631975057817</v>
      </c>
      <c r="AM11" s="2">
        <f t="shared" si="10"/>
        <v>-406.30941757649236</v>
      </c>
      <c r="AN11" s="2">
        <f t="shared" si="11"/>
        <v>1370.5798530471186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0.24797634367956764</v>
      </c>
      <c r="U12" s="2">
        <v>8</v>
      </c>
      <c r="V12" s="2">
        <f t="shared" si="7"/>
        <v>0.96875</v>
      </c>
      <c r="W12" s="2">
        <f t="shared" si="0"/>
        <v>2.2584137806255233E-3</v>
      </c>
      <c r="X12" s="2">
        <f t="shared" si="8"/>
        <v>0.97265625</v>
      </c>
      <c r="Y12" s="2">
        <f t="shared" si="1"/>
        <v>-1.7264264471024138E-3</v>
      </c>
      <c r="Z12" s="2">
        <f t="shared" si="3"/>
        <v>0.970703125</v>
      </c>
      <c r="AA12" s="2">
        <f t="shared" si="2"/>
        <v>2.6591546762322338E-4</v>
      </c>
      <c r="AB12" s="2">
        <f t="shared" si="4"/>
        <v>6.0054715656176789E-7</v>
      </c>
      <c r="AC12" s="2">
        <f t="shared" si="5"/>
        <v>-4.5908349599833847E-7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-18.412842432671596</v>
      </c>
      <c r="AI12" s="2">
        <f t="shared" si="14"/>
        <v>1761.71875</v>
      </c>
      <c r="AJ12" s="2">
        <v>22.066631975057817</v>
      </c>
      <c r="AK12" s="2">
        <f t="shared" si="9"/>
        <v>1724.609375</v>
      </c>
      <c r="AL12" s="2">
        <v>1.8812006587304495</v>
      </c>
      <c r="AM12" s="2">
        <f t="shared" si="10"/>
        <v>-34.638251313441778</v>
      </c>
      <c r="AN12" s="2">
        <f t="shared" si="11"/>
        <v>41.511762607441163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2.2488115529361485E-2</v>
      </c>
      <c r="U13" s="2">
        <v>9</v>
      </c>
      <c r="V13" s="2">
        <f t="shared" si="7"/>
        <v>0.970703125</v>
      </c>
      <c r="W13" s="2">
        <f t="shared" si="0"/>
        <v>2.6591546762322338E-4</v>
      </c>
      <c r="X13" s="2">
        <f t="shared" si="8"/>
        <v>0.97265625</v>
      </c>
      <c r="Y13" s="2">
        <f t="shared" si="1"/>
        <v>-1.7264264471024138E-3</v>
      </c>
      <c r="Z13" s="2">
        <f t="shared" si="3"/>
        <v>0.9716796875</v>
      </c>
      <c r="AA13" s="2">
        <f t="shared" si="2"/>
        <v>-7.3027498144084824E-4</v>
      </c>
      <c r="AB13" s="2">
        <f t="shared" si="4"/>
        <v>-1.9419141318338394E-7</v>
      </c>
      <c r="AC13" s="2">
        <f t="shared" si="5"/>
        <v>1.2607660416167048E-6</v>
      </c>
      <c r="AD13" s="2">
        <f t="shared" si="6"/>
        <v>1.953125E-3</v>
      </c>
      <c r="AF13" s="2">
        <v>9</v>
      </c>
      <c r="AG13" s="2">
        <f t="shared" si="13"/>
        <v>1687.5</v>
      </c>
      <c r="AH13" s="2">
        <v>-18.412842432671596</v>
      </c>
      <c r="AI13" s="2">
        <f t="shared" si="14"/>
        <v>1724.609375</v>
      </c>
      <c r="AJ13" s="2">
        <v>1.8812006587304495</v>
      </c>
      <c r="AK13" s="2">
        <f t="shared" si="9"/>
        <v>1706.0546875</v>
      </c>
      <c r="AL13" s="2">
        <v>-8.2522565020972252</v>
      </c>
      <c r="AM13" s="2">
        <f t="shared" si="10"/>
        <v>151.94749868710588</v>
      </c>
      <c r="AN13" s="2">
        <f t="shared" si="11"/>
        <v>-15.524150367757935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1721.1600432340001</v>
      </c>
      <c r="L14" s="6" t="s">
        <v>7</v>
      </c>
      <c r="N14" s="6" t="s">
        <v>40</v>
      </c>
      <c r="O14" s="6">
        <f xml:space="preserve"> O5 * O13 * $C$12</f>
        <v>1529.7296270724935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2.6591546762322338E-4</v>
      </c>
      <c r="X14" s="2">
        <f t="shared" si="8"/>
        <v>0.9716796875</v>
      </c>
      <c r="Y14" s="2">
        <f t="shared" si="1"/>
        <v>-7.3027498144084824E-4</v>
      </c>
      <c r="Z14" s="2">
        <f t="shared" si="3"/>
        <v>0.97119140625</v>
      </c>
      <c r="AA14" s="2">
        <f t="shared" si="2"/>
        <v>-2.3218463707663783E-4</v>
      </c>
      <c r="AB14" s="2">
        <f t="shared" si="4"/>
        <v>-6.174148634316256E-8</v>
      </c>
      <c r="AC14" s="2">
        <f t="shared" si="5"/>
        <v>1.6955863153199178E-7</v>
      </c>
      <c r="AD14" s="2">
        <f t="shared" si="6"/>
        <v>9.765625E-4</v>
      </c>
      <c r="AF14" s="2">
        <v>10</v>
      </c>
      <c r="AG14" s="2">
        <f t="shared" si="13"/>
        <v>1706.0546875</v>
      </c>
      <c r="AH14" s="2">
        <v>-8.2522565020972252</v>
      </c>
      <c r="AI14" s="2">
        <f t="shared" si="14"/>
        <v>1724.609375</v>
      </c>
      <c r="AJ14" s="2">
        <v>1.8812006587304495</v>
      </c>
      <c r="AK14" s="2">
        <f t="shared" si="9"/>
        <v>1715.33203125</v>
      </c>
      <c r="AL14" s="2">
        <v>-3.1821353234890921</v>
      </c>
      <c r="AM14" s="2">
        <f t="shared" si="10"/>
        <v>26.259796913816118</v>
      </c>
      <c r="AN14" s="2">
        <f t="shared" si="11"/>
        <v>-5.9862350667171125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372.90769280378487</v>
      </c>
      <c r="L15" s="6" t="s">
        <v>7</v>
      </c>
      <c r="N15" s="6" t="s">
        <v>140</v>
      </c>
      <c r="O15" s="6">
        <f>O4/O14</f>
        <v>11.026995274717381</v>
      </c>
      <c r="U15" s="2">
        <v>11</v>
      </c>
      <c r="V15" s="2">
        <f t="shared" si="7"/>
        <v>0.970703125</v>
      </c>
      <c r="W15" s="2">
        <f t="shared" si="0"/>
        <v>2.6591546762322338E-4</v>
      </c>
      <c r="X15" s="2">
        <f t="shared" si="8"/>
        <v>0.97119140625</v>
      </c>
      <c r="Y15" s="2">
        <f t="shared" si="1"/>
        <v>-2.3218463707663783E-4</v>
      </c>
      <c r="Z15" s="2">
        <f t="shared" si="3"/>
        <v>0.970947265625</v>
      </c>
      <c r="AA15" s="2">
        <f t="shared" si="2"/>
        <v>1.6864194324450743E-5</v>
      </c>
      <c r="AB15" s="2">
        <f t="shared" si="4"/>
        <v>4.4844501198752288E-9</v>
      </c>
      <c r="AC15" s="2">
        <f t="shared" si="5"/>
        <v>-3.9156068388124911E-9</v>
      </c>
      <c r="AD15" s="2">
        <f t="shared" si="6"/>
        <v>4.8828125E-4</v>
      </c>
      <c r="AF15" s="2">
        <v>11</v>
      </c>
      <c r="AG15" s="2">
        <f t="shared" si="13"/>
        <v>1715.33203125</v>
      </c>
      <c r="AH15" s="2">
        <v>-3.1821353234890921</v>
      </c>
      <c r="AI15" s="2">
        <f t="shared" si="14"/>
        <v>1724.609375</v>
      </c>
      <c r="AJ15" s="2">
        <v>1.8812006587304495</v>
      </c>
      <c r="AK15" s="2">
        <f t="shared" si="9"/>
        <v>1719.970703125</v>
      </c>
      <c r="AL15" s="2">
        <v>-0.64961894430689426</v>
      </c>
      <c r="AM15" s="2">
        <f t="shared" si="10"/>
        <v>2.0671753894866614</v>
      </c>
      <c r="AN15" s="2">
        <f t="shared" si="11"/>
        <v>-1.2220635859539086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1529.7296270724935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125.95945119972656</v>
      </c>
      <c r="L16" s="6" t="s">
        <v>7</v>
      </c>
      <c r="N16" s="6" t="s">
        <v>111</v>
      </c>
      <c r="O16" s="6">
        <f>(O13*$C$12)/(0.3048^2)/($C$5*2.20462/1000)^(2/3)</f>
        <v>2.9849774932614501</v>
      </c>
      <c r="U16" s="2">
        <v>12</v>
      </c>
      <c r="V16" s="2">
        <f t="shared" si="7"/>
        <v>0.970947265625</v>
      </c>
      <c r="W16" s="2">
        <f t="shared" si="0"/>
        <v>1.6864194324450743E-5</v>
      </c>
      <c r="X16" s="2">
        <f t="shared" si="8"/>
        <v>0.97119140625</v>
      </c>
      <c r="Y16" s="2">
        <f t="shared" si="1"/>
        <v>-2.3218463707663783E-4</v>
      </c>
      <c r="Z16" s="2">
        <f t="shared" si="3"/>
        <v>0.9710693359375</v>
      </c>
      <c r="AA16" s="2">
        <f t="shared" si="2"/>
        <v>-1.0766052649990865E-4</v>
      </c>
      <c r="AB16" s="2">
        <f t="shared" si="4"/>
        <v>-1.8156080399671382E-9</v>
      </c>
      <c r="AC16" s="2">
        <f t="shared" si="5"/>
        <v>2.499712027286104E-8</v>
      </c>
      <c r="AD16" s="2">
        <f t="shared" si="6"/>
        <v>2.44140625E-4</v>
      </c>
      <c r="AF16" s="2">
        <v>12</v>
      </c>
      <c r="AG16" s="2">
        <f t="shared" si="13"/>
        <v>1719.970703125</v>
      </c>
      <c r="AH16" s="2">
        <v>-0.64961894430689426</v>
      </c>
      <c r="AI16" s="2">
        <f t="shared" si="14"/>
        <v>1724.609375</v>
      </c>
      <c r="AJ16" s="2">
        <v>1.8812006587304495</v>
      </c>
      <c r="AK16" s="2">
        <f t="shared" si="9"/>
        <v>1722.2900390625</v>
      </c>
      <c r="AL16" s="2">
        <v>0.61600315940245309</v>
      </c>
      <c r="AM16" s="2">
        <f t="shared" si="10"/>
        <v>-0.40016732210073308</v>
      </c>
      <c r="AN16" s="2">
        <f t="shared" si="11"/>
        <v>1.1588255492479329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107.40015535685912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1.6864194324450743E-5</v>
      </c>
      <c r="X17" s="2">
        <f t="shared" si="8"/>
        <v>0.9710693359375</v>
      </c>
      <c r="Y17" s="2">
        <f t="shared" si="1"/>
        <v>-1.0766052649990865E-4</v>
      </c>
      <c r="Z17" s="2">
        <f t="shared" si="3"/>
        <v>0.97100830078125</v>
      </c>
      <c r="AA17" s="2">
        <f t="shared" si="2"/>
        <v>-4.5398242382810317E-5</v>
      </c>
      <c r="AB17" s="2">
        <f t="shared" si="4"/>
        <v>-7.6560478153222896E-10</v>
      </c>
      <c r="AC17" s="2">
        <f t="shared" si="5"/>
        <v>4.8875986771038259E-9</v>
      </c>
      <c r="AD17" s="2">
        <f t="shared" si="6"/>
        <v>1.220703125E-4</v>
      </c>
      <c r="AF17" s="2">
        <v>13</v>
      </c>
      <c r="AG17" s="2">
        <f t="shared" si="13"/>
        <v>1719.970703125</v>
      </c>
      <c r="AH17" s="2">
        <v>-0.64961894430689426</v>
      </c>
      <c r="AI17" s="2">
        <f t="shared" si="14"/>
        <v>1722.2900390625</v>
      </c>
      <c r="AJ17" s="2">
        <v>0.61600315940245309</v>
      </c>
      <c r="AK17" s="2">
        <f t="shared" si="9"/>
        <v>1721.13037109375</v>
      </c>
      <c r="AL17" s="2">
        <v>-1.6754955883243383E-2</v>
      </c>
      <c r="AM17" s="2">
        <f t="shared" si="10"/>
        <v>1.0884336752781153E-2</v>
      </c>
      <c r="AN17" s="2">
        <f t="shared" si="11"/>
        <v>-1.0321105759726643E-2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1.4533129964937721</v>
      </c>
      <c r="H18" s="6" t="s">
        <v>172</v>
      </c>
      <c r="J18" s="12" t="s">
        <v>54</v>
      </c>
      <c r="K18" s="6">
        <f xml:space="preserve"> $C$78 * (0.2138 * K4 + 0.2138 * K6)</f>
        <v>97.837422653210567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0.970947265625</v>
      </c>
      <c r="W18" s="2">
        <f t="shared" si="0"/>
        <v>1.6864194324450743E-5</v>
      </c>
      <c r="X18" s="2">
        <f t="shared" si="8"/>
        <v>0.97100830078125</v>
      </c>
      <c r="Y18" s="2">
        <f t="shared" si="1"/>
        <v>-4.5398242382810317E-5</v>
      </c>
      <c r="Z18" s="2">
        <f t="shared" si="3"/>
        <v>0.970977783203125</v>
      </c>
      <c r="AA18" s="2">
        <f t="shared" si="2"/>
        <v>-1.4267043104698729E-5</v>
      </c>
      <c r="AB18" s="2">
        <f t="shared" si="4"/>
        <v>-2.4060218735295443E-10</v>
      </c>
      <c r="AC18" s="2">
        <f t="shared" si="5"/>
        <v>6.4769868095311551E-10</v>
      </c>
      <c r="AD18" s="2">
        <f t="shared" si="6"/>
        <v>6.103515625E-5</v>
      </c>
      <c r="AF18" s="2">
        <v>14</v>
      </c>
      <c r="AG18" s="2">
        <f t="shared" si="13"/>
        <v>1721.13037109375</v>
      </c>
      <c r="AH18" s="2">
        <v>-1.6754955883243383E-2</v>
      </c>
      <c r="AI18" s="2">
        <f t="shared" si="14"/>
        <v>1722.2900390625</v>
      </c>
      <c r="AJ18" s="2">
        <v>0.61600315940245309</v>
      </c>
      <c r="AK18" s="2">
        <f t="shared" si="9"/>
        <v>1721.710205078125</v>
      </c>
      <c r="AL18" s="2">
        <v>0.29963720026580631</v>
      </c>
      <c r="AM18" s="2">
        <f t="shared" si="10"/>
        <v>-5.0204080714321472E-3</v>
      </c>
      <c r="AN18" s="2">
        <f t="shared" si="11"/>
        <v>0.18457746203824224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4.5099410977561337E-2</v>
      </c>
      <c r="J19" s="12" t="s">
        <v>73</v>
      </c>
      <c r="K19" s="6">
        <f xml:space="preserve"> $C$78 * (0.1149 * K4 + 0.1149 * K6)</f>
        <v>52.57960646797892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0.970947265625</v>
      </c>
      <c r="W19" s="2">
        <f t="shared" si="0"/>
        <v>1.6864194324450743E-5</v>
      </c>
      <c r="X19" s="2">
        <f t="shared" si="8"/>
        <v>0.970977783203125</v>
      </c>
      <c r="Y19" s="2">
        <f t="shared" si="1"/>
        <v>-1.4267043104698729E-5</v>
      </c>
      <c r="Z19" s="2">
        <f t="shared" si="3"/>
        <v>0.9709625244140625</v>
      </c>
      <c r="AA19" s="2">
        <f t="shared" si="2"/>
        <v>1.2985708407464713E-6</v>
      </c>
      <c r="AB19" s="2">
        <f t="shared" si="4"/>
        <v>2.1899351002413872E-11</v>
      </c>
      <c r="AC19" s="2">
        <f t="shared" si="5"/>
        <v>-1.8526766159434776E-11</v>
      </c>
      <c r="AD19" s="2">
        <f t="shared" si="6"/>
        <v>3.0517578125E-5</v>
      </c>
      <c r="AF19" s="2">
        <v>15</v>
      </c>
      <c r="AG19" s="2">
        <f t="shared" si="13"/>
        <v>1721.13037109375</v>
      </c>
      <c r="AH19" s="2">
        <v>-1.6754955883243383E-2</v>
      </c>
      <c r="AI19" s="2">
        <f t="shared" si="14"/>
        <v>1721.710205078125</v>
      </c>
      <c r="AJ19" s="2">
        <v>0.29963720026580631</v>
      </c>
      <c r="AK19" s="2">
        <f t="shared" si="9"/>
        <v>1721.4202880859375</v>
      </c>
      <c r="AL19" s="2">
        <v>0.14144457809720734</v>
      </c>
      <c r="AM19" s="2">
        <f t="shared" si="10"/>
        <v>-2.3698976659426822E-3</v>
      </c>
      <c r="AN19" s="2">
        <f t="shared" si="11"/>
        <v>4.2382057373825395E-2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107.40015535685912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207.44539158364734</v>
      </c>
      <c r="L20" s="6" t="s">
        <v>7</v>
      </c>
      <c r="N20" s="6" t="s">
        <v>20</v>
      </c>
      <c r="O20" s="6">
        <f xml:space="preserve"> O14 / $C$28</f>
        <v>1529.7296270724935</v>
      </c>
      <c r="P20" s="6" t="s">
        <v>21</v>
      </c>
      <c r="U20" s="2">
        <v>16</v>
      </c>
      <c r="V20" s="2">
        <f t="shared" si="7"/>
        <v>0.9709625244140625</v>
      </c>
      <c r="W20" s="2">
        <f t="shared" si="0"/>
        <v>1.2985708407464713E-6</v>
      </c>
      <c r="X20" s="2">
        <f t="shared" si="8"/>
        <v>0.970977783203125</v>
      </c>
      <c r="Y20" s="2">
        <f t="shared" si="1"/>
        <v>-1.4267043104698729E-5</v>
      </c>
      <c r="Z20" s="2">
        <f t="shared" si="3"/>
        <v>0.97097015380859375</v>
      </c>
      <c r="AA20" s="2">
        <f t="shared" si="2"/>
        <v>-6.4842373241891238E-6</v>
      </c>
      <c r="AB20" s="2">
        <f t="shared" si="4"/>
        <v>-8.4202415136719196E-12</v>
      </c>
      <c r="AC20" s="2">
        <f t="shared" si="5"/>
        <v>9.2510893405302581E-11</v>
      </c>
      <c r="AD20" s="2">
        <f t="shared" si="6"/>
        <v>1.52587890625E-5</v>
      </c>
      <c r="AF20" s="2">
        <v>16</v>
      </c>
      <c r="AG20" s="2">
        <f t="shared" si="13"/>
        <v>1721.13037109375</v>
      </c>
      <c r="AH20" s="2">
        <v>-1.6754955883243383E-2</v>
      </c>
      <c r="AI20" s="2">
        <f t="shared" si="14"/>
        <v>1721.4202880859375</v>
      </c>
      <c r="AJ20" s="2">
        <v>0.14144457809720734</v>
      </c>
      <c r="AK20" s="2">
        <f t="shared" si="9"/>
        <v>1721.2753295898438</v>
      </c>
      <c r="AL20" s="2">
        <v>6.2345629746232589E-2</v>
      </c>
      <c r="AM20" s="2">
        <f t="shared" si="10"/>
        <v>-1.0445982759111534E-3</v>
      </c>
      <c r="AN20" s="2">
        <f t="shared" si="11"/>
        <v>8.8184512956605687E-3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44.750161124084009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0.9709625244140625</v>
      </c>
      <c r="W21" s="2">
        <f t="shared" si="0"/>
        <v>1.2985708407464713E-6</v>
      </c>
      <c r="X21" s="2">
        <f t="shared" si="8"/>
        <v>0.97097015380859375</v>
      </c>
      <c r="Y21" s="2">
        <f t="shared" si="1"/>
        <v>-6.4842373241891238E-6</v>
      </c>
      <c r="Z21" s="2">
        <f t="shared" si="3"/>
        <v>0.97096633911132812</v>
      </c>
      <c r="AA21" s="2">
        <f t="shared" si="2"/>
        <v>-2.5928335397606972E-6</v>
      </c>
      <c r="AB21" s="2">
        <f t="shared" si="4"/>
        <v>-3.3669780296426977E-12</v>
      </c>
      <c r="AC21" s="2">
        <f t="shared" si="5"/>
        <v>1.6812548013925717E-11</v>
      </c>
      <c r="AD21" s="2">
        <f t="shared" si="6"/>
        <v>7.62939453125E-6</v>
      </c>
      <c r="AF21" s="2">
        <v>17</v>
      </c>
      <c r="AG21" s="2">
        <f t="shared" si="13"/>
        <v>1721.13037109375</v>
      </c>
      <c r="AH21" s="2">
        <v>-1.6754955883243383E-2</v>
      </c>
      <c r="AI21" s="2">
        <f t="shared" si="14"/>
        <v>1721.2753295898438</v>
      </c>
      <c r="AJ21" s="2">
        <v>6.2345629746232589E-2</v>
      </c>
      <c r="AK21" s="2">
        <f t="shared" si="9"/>
        <v>1721.2028503417969</v>
      </c>
      <c r="AL21" s="2">
        <v>2.2795722898763415E-2</v>
      </c>
      <c r="AM21" s="2">
        <f t="shared" si="10"/>
        <v>-3.8194133149542199E-4</v>
      </c>
      <c r="AN21" s="2">
        <f t="shared" si="11"/>
        <v>1.4212136996440197E-3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91.777396511778448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0.9709625244140625</v>
      </c>
      <c r="W22" s="2">
        <f t="shared" si="0"/>
        <v>1.2985708407464713E-6</v>
      </c>
      <c r="X22" s="2">
        <f t="shared" si="8"/>
        <v>0.97096633911132812</v>
      </c>
      <c r="Y22" s="2">
        <f t="shared" si="1"/>
        <v>-2.5928335397606972E-6</v>
      </c>
      <c r="Z22" s="2">
        <f t="shared" si="3"/>
        <v>0.97096443176269531</v>
      </c>
      <c r="AA22" s="2">
        <f t="shared" si="2"/>
        <v>-6.4713142400307788E-7</v>
      </c>
      <c r="AB22" s="2">
        <f t="shared" si="4"/>
        <v>-8.4034599734113805E-13</v>
      </c>
      <c r="AC22" s="2">
        <f t="shared" si="5"/>
        <v>1.6779040607882811E-12</v>
      </c>
      <c r="AD22" s="2">
        <f t="shared" si="6"/>
        <v>3.814697265625E-6</v>
      </c>
      <c r="AF22" s="2">
        <v>18</v>
      </c>
      <c r="AG22" s="2">
        <f t="shared" si="13"/>
        <v>1721.13037109375</v>
      </c>
      <c r="AH22" s="2">
        <v>-1.6754955883243383E-2</v>
      </c>
      <c r="AI22" s="2">
        <f t="shared" si="14"/>
        <v>1721.2028503417969</v>
      </c>
      <c r="AJ22" s="2">
        <v>2.2795722898763415E-2</v>
      </c>
      <c r="AK22" s="2">
        <f t="shared" si="9"/>
        <v>1721.1666107177734</v>
      </c>
      <c r="AL22" s="2">
        <v>3.0204346717255248E-3</v>
      </c>
      <c r="AM22" s="2">
        <f t="shared" si="10"/>
        <v>-5.060724967297988E-5</v>
      </c>
      <c r="AN22" s="2">
        <f t="shared" si="11"/>
        <v>6.8852991810472506E-5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19.965804448101224</v>
      </c>
      <c r="L23" s="6" t="s">
        <v>7</v>
      </c>
      <c r="N23" s="6" t="s">
        <v>30</v>
      </c>
      <c r="O23" s="6">
        <f xml:space="preserve"> O20 / ( $C$71 * PI() * $C$10^2 * O21^2 * $C$10^2)</f>
        <v>3.8333727638359447E-2</v>
      </c>
      <c r="U23" s="2">
        <v>19</v>
      </c>
      <c r="V23" s="2">
        <f t="shared" si="7"/>
        <v>0.9709625244140625</v>
      </c>
      <c r="W23" s="2">
        <f t="shared" si="0"/>
        <v>1.2985708407464713E-6</v>
      </c>
      <c r="X23" s="2">
        <f t="shared" si="8"/>
        <v>0.97096443176269531</v>
      </c>
      <c r="Y23" s="2">
        <f t="shared" si="1"/>
        <v>-6.4713142400307788E-7</v>
      </c>
      <c r="Z23" s="2">
        <f t="shared" si="3"/>
        <v>0.97096347808837891</v>
      </c>
      <c r="AA23" s="2">
        <f t="shared" si="2"/>
        <v>3.2571968977546106E-7</v>
      </c>
      <c r="AB23" s="2">
        <f t="shared" si="4"/>
        <v>4.2297009139940031E-13</v>
      </c>
      <c r="AC23" s="2">
        <f t="shared" si="5"/>
        <v>-2.1078344667023489E-13</v>
      </c>
      <c r="AD23" s="2">
        <f t="shared" si="6"/>
        <v>1.9073486328125E-6</v>
      </c>
      <c r="AF23" s="2">
        <v>19</v>
      </c>
      <c r="AG23" s="2">
        <f t="shared" si="13"/>
        <v>1721.13037109375</v>
      </c>
      <c r="AH23" s="2">
        <v>-1.6754955883243383E-2</v>
      </c>
      <c r="AI23" s="2">
        <f t="shared" si="14"/>
        <v>1721.1666107177734</v>
      </c>
      <c r="AJ23" s="2">
        <v>3.0204346717255248E-3</v>
      </c>
      <c r="AK23" s="2">
        <f t="shared" si="9"/>
        <v>1721.1484909057617</v>
      </c>
      <c r="AL23" s="2">
        <v>-6.8672478150801908E-3</v>
      </c>
      <c r="AM23" s="2">
        <f t="shared" si="10"/>
        <v>1.1506043418096811E-4</v>
      </c>
      <c r="AN23" s="2">
        <f t="shared" si="11"/>
        <v>-2.0742073399999565E-5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7.5381712278966502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0.97096347808837891</v>
      </c>
      <c r="W24" s="2">
        <f t="shared" si="0"/>
        <v>3.2571968977546106E-7</v>
      </c>
      <c r="X24" s="2">
        <f t="shared" si="8"/>
        <v>0.97096443176269531</v>
      </c>
      <c r="Y24" s="2">
        <f t="shared" si="1"/>
        <v>-6.4713142400307788E-7</v>
      </c>
      <c r="Z24" s="2">
        <f t="shared" si="3"/>
        <v>0.97096395492553711</v>
      </c>
      <c r="AA24" s="2">
        <f t="shared" si="2"/>
        <v>-1.6070587183225626E-7</v>
      </c>
      <c r="AB24" s="2">
        <f t="shared" si="4"/>
        <v>-5.2345066718297516E-14</v>
      </c>
      <c r="AC24" s="2">
        <f t="shared" si="5"/>
        <v>1.0399781968446412E-13</v>
      </c>
      <c r="AD24" s="2">
        <f t="shared" si="6"/>
        <v>9.5367431640625E-7</v>
      </c>
      <c r="AF24" s="2">
        <v>20</v>
      </c>
      <c r="AG24" s="2">
        <f t="shared" si="13"/>
        <v>1721.1484909057617</v>
      </c>
      <c r="AH24" s="2">
        <v>-6.8672478150801908E-3</v>
      </c>
      <c r="AI24" s="2">
        <f t="shared" si="14"/>
        <v>1721.1666107177734</v>
      </c>
      <c r="AJ24" s="2">
        <v>3.0204346717255248E-3</v>
      </c>
      <c r="AK24" s="2">
        <f t="shared" si="9"/>
        <v>1721.1575508117676</v>
      </c>
      <c r="AL24" s="2">
        <v>-1.9234033743487089E-3</v>
      </c>
      <c r="AM24" s="2">
        <f t="shared" si="10"/>
        <v>1.3208487620014038E-5</v>
      </c>
      <c r="AN24" s="2">
        <f t="shared" si="11"/>
        <v>-5.809514239596709E-6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18.662920829444012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0.97096347808837891</v>
      </c>
      <c r="W25" s="2">
        <f t="shared" si="0"/>
        <v>3.2571968977546106E-7</v>
      </c>
      <c r="X25" s="2">
        <f t="shared" si="8"/>
        <v>0.97096395492553711</v>
      </c>
      <c r="Y25" s="2">
        <f t="shared" si="1"/>
        <v>-1.6070587183225626E-7</v>
      </c>
      <c r="Z25" s="2">
        <f t="shared" si="3"/>
        <v>0.97096371650695801</v>
      </c>
      <c r="AA25" s="2">
        <f t="shared" si="2"/>
        <v>8.2506907750357072E-8</v>
      </c>
      <c r="AB25" s="2">
        <f t="shared" si="4"/>
        <v>2.6874124396778891E-14</v>
      </c>
      <c r="AC25" s="2">
        <f t="shared" si="5"/>
        <v>-1.3259344542204675E-14</v>
      </c>
      <c r="AD25" s="2">
        <f t="shared" si="6"/>
        <v>4.76837158203125E-7</v>
      </c>
      <c r="AF25" s="2">
        <v>21</v>
      </c>
      <c r="AG25" s="2">
        <f t="shared" si="13"/>
        <v>1721.1575508117676</v>
      </c>
      <c r="AH25" s="2">
        <v>-1.9234033743487089E-3</v>
      </c>
      <c r="AI25" s="2">
        <f t="shared" si="14"/>
        <v>1721.1666107177734</v>
      </c>
      <c r="AJ25" s="2">
        <v>3.0204346717255248E-3</v>
      </c>
      <c r="AK25" s="2">
        <f t="shared" si="9"/>
        <v>1721.1620807647705</v>
      </c>
      <c r="AL25" s="2">
        <v>5.4833514218444179E-4</v>
      </c>
      <c r="AM25" s="2">
        <f t="shared" si="10"/>
        <v>-1.0546696627515343E-6</v>
      </c>
      <c r="AN25" s="2">
        <f t="shared" si="11"/>
        <v>1.6562104751794335E-6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2108.7418755588092</v>
      </c>
      <c r="H26" s="6" t="s">
        <v>21</v>
      </c>
      <c r="J26" s="14" t="s">
        <v>65</v>
      </c>
      <c r="K26" s="6">
        <f xml:space="preserve"> $C$80 * (0.0268 * $C$5)</f>
        <v>36.901671326936963</v>
      </c>
      <c r="L26" s="6" t="s">
        <v>7</v>
      </c>
      <c r="N26" s="6" t="s">
        <v>32</v>
      </c>
      <c r="O26" s="17">
        <f>Z34</f>
        <v>0.97096379706636071</v>
      </c>
      <c r="U26" s="2">
        <v>22</v>
      </c>
      <c r="V26" s="2">
        <f t="shared" si="7"/>
        <v>0.97096371650695801</v>
      </c>
      <c r="W26" s="2">
        <f t="shared" si="0"/>
        <v>8.2506907750357072E-8</v>
      </c>
      <c r="X26" s="2">
        <f t="shared" si="8"/>
        <v>0.97096395492553711</v>
      </c>
      <c r="Y26" s="2">
        <f t="shared" si="1"/>
        <v>-1.6070587183225626E-7</v>
      </c>
      <c r="Z26" s="2">
        <f t="shared" si="3"/>
        <v>0.97096383571624756</v>
      </c>
      <c r="AA26" s="2">
        <f t="shared" si="2"/>
        <v>-3.9099482318505352E-8</v>
      </c>
      <c r="AB26" s="2">
        <f t="shared" si="4"/>
        <v>-3.2259773807396384E-15</v>
      </c>
      <c r="AC26" s="2">
        <f t="shared" si="5"/>
        <v>6.2835163941852911E-15</v>
      </c>
      <c r="AD26" s="2">
        <f t="shared" si="6"/>
        <v>2.384185791015625E-7</v>
      </c>
      <c r="AF26" s="2">
        <v>22</v>
      </c>
      <c r="AG26" s="2">
        <f t="shared" si="13"/>
        <v>1721.1575508117676</v>
      </c>
      <c r="AH26" s="2">
        <v>-1.9234033743487089E-3</v>
      </c>
      <c r="AI26" s="2">
        <f t="shared" si="14"/>
        <v>1721.1620807647705</v>
      </c>
      <c r="AJ26" s="2">
        <v>5.4833514218444179E-4</v>
      </c>
      <c r="AK26" s="2">
        <f t="shared" si="9"/>
        <v>1721.159815788269</v>
      </c>
      <c r="AL26" s="2">
        <v>-6.8735260992980329E-4</v>
      </c>
      <c r="AM26" s="2">
        <f t="shared" si="10"/>
        <v>1.3220563293063755E-6</v>
      </c>
      <c r="AN26" s="2">
        <f t="shared" si="11"/>
        <v>-3.7689959109670585E-7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30.463520016881656</v>
      </c>
      <c r="H27" t="s">
        <v>97</v>
      </c>
      <c r="J27" s="14" t="s">
        <v>66</v>
      </c>
      <c r="K27" s="6">
        <f xml:space="preserve"> $C$80 * (11.5 * ($C$5*2.20462/1000)^0.4 * 0.453592)</f>
        <v>7.1140221487002409</v>
      </c>
      <c r="L27" s="6" t="s">
        <v>7</v>
      </c>
      <c r="N27" s="6" t="s">
        <v>33</v>
      </c>
      <c r="O27" s="6">
        <f xml:space="preserve"> O21 * $C$10 * O26 - $C$7 * SIN(O19/180*PI())</f>
        <v>1.3810984888337146</v>
      </c>
      <c r="P27" s="6" t="s">
        <v>10</v>
      </c>
      <c r="U27" s="2">
        <v>23</v>
      </c>
      <c r="V27" s="2">
        <f t="shared" si="7"/>
        <v>0.97096371650695801</v>
      </c>
      <c r="W27" s="2">
        <f t="shared" si="0"/>
        <v>8.2506907750357072E-8</v>
      </c>
      <c r="X27" s="2">
        <f t="shared" si="8"/>
        <v>0.97096383571624756</v>
      </c>
      <c r="Y27" s="2">
        <f t="shared" si="1"/>
        <v>-3.9099482318505352E-8</v>
      </c>
      <c r="Z27" s="2">
        <f t="shared" si="3"/>
        <v>0.97096377611160278</v>
      </c>
      <c r="AA27" s="2">
        <f t="shared" si="2"/>
        <v>2.170371271592586E-8</v>
      </c>
      <c r="AB27" s="2">
        <f t="shared" si="4"/>
        <v>1.7907062228931467E-15</v>
      </c>
      <c r="AC27" s="2">
        <f t="shared" si="5"/>
        <v>-8.4860393158226299E-16</v>
      </c>
      <c r="AD27" s="2">
        <f t="shared" si="6"/>
        <v>1.1920928955078125E-7</v>
      </c>
      <c r="AF27" s="2">
        <v>23</v>
      </c>
      <c r="AG27" s="2">
        <f t="shared" si="13"/>
        <v>1721.159815788269</v>
      </c>
      <c r="AH27" s="2">
        <v>-6.8735260992980329E-4</v>
      </c>
      <c r="AI27" s="2">
        <f t="shared" si="14"/>
        <v>1721.1620807647705</v>
      </c>
      <c r="AJ27" s="2">
        <v>5.4833514218444179E-4</v>
      </c>
      <c r="AK27" s="2">
        <f t="shared" si="9"/>
        <v>1721.1609482765198</v>
      </c>
      <c r="AL27" s="2">
        <v>-6.9327377786976285E-5</v>
      </c>
      <c r="AM27" s="2">
        <f t="shared" si="10"/>
        <v>4.7652354061467622E-8</v>
      </c>
      <c r="AN27" s="2">
        <f t="shared" si="11"/>
        <v>-3.8014637556096155E-8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7.0623816710946512</v>
      </c>
      <c r="H28" s="6" t="s">
        <v>172</v>
      </c>
      <c r="J28" s="14" t="s">
        <v>67</v>
      </c>
      <c r="K28" s="6">
        <f xml:space="preserve"> $C$80 * (8 * ($C$5/1000))</f>
        <v>11.015424276697601</v>
      </c>
      <c r="L28" s="6" t="s">
        <v>7</v>
      </c>
      <c r="N28" s="6" t="s">
        <v>34</v>
      </c>
      <c r="O28" s="6">
        <f xml:space="preserve"> 1/$C$31 - O25 * SQRT( (2*$C$71*PI()*$C$10^2) / O20^3 )</f>
        <v>1.1494164534702904</v>
      </c>
      <c r="U28" s="2">
        <v>24</v>
      </c>
      <c r="V28" s="2">
        <f t="shared" si="7"/>
        <v>0.97096377611160278</v>
      </c>
      <c r="W28" s="2">
        <f t="shared" si="0"/>
        <v>2.170371271592586E-8</v>
      </c>
      <c r="X28" s="2">
        <f t="shared" si="8"/>
        <v>0.97096383571624756</v>
      </c>
      <c r="Y28" s="2">
        <f t="shared" si="1"/>
        <v>-3.9099482318505352E-8</v>
      </c>
      <c r="Z28" s="2">
        <f t="shared" si="3"/>
        <v>0.97096380591392517</v>
      </c>
      <c r="AA28" s="2">
        <f t="shared" si="2"/>
        <v>-8.6978848568008971E-9</v>
      </c>
      <c r="AB28" s="2">
        <f t="shared" si="4"/>
        <v>-1.8877639416820861E-16</v>
      </c>
      <c r="AC28" s="2">
        <f t="shared" si="5"/>
        <v>3.4008279516688213E-16</v>
      </c>
      <c r="AD28" s="2">
        <f t="shared" si="6"/>
        <v>5.9604644775390625E-8</v>
      </c>
      <c r="AF28" s="2">
        <v>24</v>
      </c>
      <c r="AG28" s="2">
        <f t="shared" si="13"/>
        <v>1721.1609482765198</v>
      </c>
      <c r="AH28" s="2">
        <v>-6.9327377786976285E-5</v>
      </c>
      <c r="AI28" s="2">
        <f t="shared" si="14"/>
        <v>1721.1620807647705</v>
      </c>
      <c r="AJ28" s="2">
        <v>5.4833514218444179E-4</v>
      </c>
      <c r="AK28" s="2">
        <f t="shared" si="9"/>
        <v>1721.1615145206451</v>
      </c>
      <c r="AL28" s="2">
        <v>2.3950389481797174E-4</v>
      </c>
      <c r="AM28" s="2">
        <f t="shared" si="10"/>
        <v>-1.660417699749776E-8</v>
      </c>
      <c r="AN28" s="2">
        <f t="shared" si="11"/>
        <v>1.3132840221874012E-7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243.70816013505325</v>
      </c>
      <c r="H29" s="22" t="s">
        <v>97</v>
      </c>
      <c r="J29" s="14" t="s">
        <v>68</v>
      </c>
      <c r="K29" s="6">
        <f xml:space="preserve"> $C$80 * (13 * ($C$5*2.20462/1000)^1.3 * 0.453592)</f>
        <v>26.705469860660681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0.97096377611160278</v>
      </c>
      <c r="W29" s="2">
        <f t="shared" si="0"/>
        <v>2.170371271592586E-8</v>
      </c>
      <c r="X29" s="2">
        <f t="shared" si="8"/>
        <v>0.97096380591392517</v>
      </c>
      <c r="Y29" s="2">
        <f t="shared" si="1"/>
        <v>-8.6978848568008971E-9</v>
      </c>
      <c r="Z29" s="2">
        <f t="shared" si="3"/>
        <v>0.97096379101276398</v>
      </c>
      <c r="AA29" s="2">
        <f t="shared" si="2"/>
        <v>6.5029138740513304E-9</v>
      </c>
      <c r="AB29" s="2">
        <f t="shared" si="4"/>
        <v>1.4113737453881854E-16</v>
      </c>
      <c r="AC29" s="2">
        <f t="shared" si="5"/>
        <v>-5.6561596110191522E-17</v>
      </c>
      <c r="AD29" s="2">
        <f t="shared" si="6"/>
        <v>2.9802322387695312E-8</v>
      </c>
      <c r="AF29" s="2">
        <v>25</v>
      </c>
      <c r="AG29" s="2">
        <f t="shared" si="13"/>
        <v>1721.1609482765198</v>
      </c>
      <c r="AH29" s="2">
        <v>-6.9327377786976285E-5</v>
      </c>
      <c r="AI29" s="2">
        <f t="shared" si="14"/>
        <v>1721.1615145206451</v>
      </c>
      <c r="AJ29" s="2">
        <v>2.3950389481797174E-4</v>
      </c>
      <c r="AK29" s="2">
        <f t="shared" si="9"/>
        <v>1721.1612313985825</v>
      </c>
      <c r="AL29" s="2">
        <v>8.4906955635233317E-5</v>
      </c>
      <c r="AM29" s="2">
        <f t="shared" si="10"/>
        <v>-5.8863765900658552E-9</v>
      </c>
      <c r="AN29" s="2">
        <f t="shared" si="11"/>
        <v>2.0335546571775114E-8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-5.6322864816138463E-4</v>
      </c>
      <c r="L30" s="9" t="s">
        <v>7</v>
      </c>
      <c r="N30" s="6" t="s">
        <v>36</v>
      </c>
      <c r="O30" s="6">
        <f xml:space="preserve"> 1/$C$77 * LN( EXP($C$77 * O28) + EXP($C$77 * O29) )</f>
        <v>1.172814409712075</v>
      </c>
      <c r="U30" s="2">
        <v>26</v>
      </c>
      <c r="V30" s="2">
        <f>IF(AB29&gt;0, Z29, V29)</f>
        <v>0.97096379101276398</v>
      </c>
      <c r="W30" s="2">
        <f t="shared" si="0"/>
        <v>6.5029138740513304E-9</v>
      </c>
      <c r="X30" s="2">
        <f t="shared" si="8"/>
        <v>0.97096380591392517</v>
      </c>
      <c r="Y30" s="2">
        <f t="shared" si="1"/>
        <v>-8.6978848568008971E-9</v>
      </c>
      <c r="Z30" s="2">
        <f t="shared" si="3"/>
        <v>0.97096379846334457</v>
      </c>
      <c r="AA30" s="2">
        <f t="shared" si="2"/>
        <v>-1.0974854358636321E-9</v>
      </c>
      <c r="AB30" s="2">
        <f t="shared" si="4"/>
        <v>-7.1368532674468848E-18</v>
      </c>
      <c r="AC30" s="2">
        <f t="shared" si="5"/>
        <v>9.545801953157818E-18</v>
      </c>
      <c r="AD30" s="2">
        <f t="shared" si="6"/>
        <v>1.4901161193847656E-8</v>
      </c>
      <c r="AF30" s="2">
        <v>26</v>
      </c>
      <c r="AG30" s="2">
        <f t="shared" si="13"/>
        <v>1721.1609482765198</v>
      </c>
      <c r="AH30" s="2">
        <v>-6.9327377786976285E-5</v>
      </c>
      <c r="AI30" s="2">
        <f t="shared" si="14"/>
        <v>1721.1612313985825</v>
      </c>
      <c r="AJ30" s="2">
        <v>8.4906955635233317E-5</v>
      </c>
      <c r="AK30" s="2">
        <f t="shared" si="9"/>
        <v>1721.1610898375511</v>
      </c>
      <c r="AL30" s="2">
        <v>7.7897893788758665E-6</v>
      </c>
      <c r="AM30" s="2">
        <f t="shared" si="10"/>
        <v>-5.4004567115030254E-10</v>
      </c>
      <c r="AN30" s="2">
        <f t="shared" si="11"/>
        <v>6.6140730120002489E-10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0.97096379101276398</v>
      </c>
      <c r="W31" s="2">
        <f t="shared" si="0"/>
        <v>6.5029138740513304E-9</v>
      </c>
      <c r="X31" s="2">
        <f t="shared" si="8"/>
        <v>0.97096379846334457</v>
      </c>
      <c r="Y31" s="2">
        <f t="shared" si="1"/>
        <v>-1.0974854358636321E-9</v>
      </c>
      <c r="Z31" s="2">
        <f t="shared" si="3"/>
        <v>0.97096379473805428</v>
      </c>
      <c r="AA31" s="2">
        <f t="shared" si="2"/>
        <v>2.7027142746050004E-9</v>
      </c>
      <c r="AB31" s="2">
        <f t="shared" si="4"/>
        <v>1.7575518153925434E-17</v>
      </c>
      <c r="AC31" s="2">
        <f t="shared" si="5"/>
        <v>-2.9661895536797291E-18</v>
      </c>
      <c r="AD31" s="2">
        <f t="shared" si="6"/>
        <v>7.4505805969238281E-9</v>
      </c>
      <c r="AF31" s="2">
        <v>27</v>
      </c>
      <c r="AG31" s="2">
        <f t="shared" si="13"/>
        <v>1721.1609482765198</v>
      </c>
      <c r="AH31" s="2">
        <v>-6.9327377786976285E-5</v>
      </c>
      <c r="AI31" s="2">
        <f t="shared" si="14"/>
        <v>1721.1610898375511</v>
      </c>
      <c r="AJ31" s="2">
        <v>7.7897893788758665E-6</v>
      </c>
      <c r="AK31" s="2">
        <f t="shared" si="9"/>
        <v>1721.1610190570354</v>
      </c>
      <c r="AL31" s="2">
        <v>-3.0950099926485564E-5</v>
      </c>
      <c r="AM31" s="2">
        <f t="shared" si="10"/>
        <v>2.1456892701481316E-9</v>
      </c>
      <c r="AN31" s="2">
        <f t="shared" si="11"/>
        <v>-2.4109475968248398E-10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0.97096379473805428</v>
      </c>
      <c r="W32" s="2">
        <f t="shared" si="0"/>
        <v>2.7027142746050004E-9</v>
      </c>
      <c r="X32" s="2">
        <f t="shared" si="8"/>
        <v>0.97096379846334457</v>
      </c>
      <c r="Y32" s="2">
        <f t="shared" si="1"/>
        <v>-1.0974854358636321E-9</v>
      </c>
      <c r="Z32" s="2">
        <f t="shared" si="3"/>
        <v>0.97096379660069942</v>
      </c>
      <c r="AA32" s="2">
        <f t="shared" si="2"/>
        <v>8.0261441937068412E-10</v>
      </c>
      <c r="AB32" s="2">
        <f t="shared" si="4"/>
        <v>2.1692374482369521E-18</v>
      </c>
      <c r="AC32" s="2">
        <f t="shared" si="5"/>
        <v>-8.8085763587347128E-19</v>
      </c>
      <c r="AD32" s="2">
        <f t="shared" si="6"/>
        <v>3.7252902984619141E-9</v>
      </c>
      <c r="AF32" s="2">
        <v>28</v>
      </c>
      <c r="AG32" s="2">
        <f t="shared" si="13"/>
        <v>1721.1610190570354</v>
      </c>
      <c r="AH32" s="2">
        <v>-3.0950099926485564E-5</v>
      </c>
      <c r="AI32" s="2">
        <f t="shared" si="14"/>
        <v>1721.1610898375511</v>
      </c>
      <c r="AJ32" s="2">
        <v>7.7897893788758665E-6</v>
      </c>
      <c r="AK32" s="2">
        <f t="shared" si="9"/>
        <v>1721.1610544472933</v>
      </c>
      <c r="AL32" s="2">
        <v>-1.158015470537066E-5</v>
      </c>
      <c r="AM32" s="2">
        <f t="shared" si="10"/>
        <v>3.5840694529538392E-10</v>
      </c>
      <c r="AN32" s="2">
        <f t="shared" si="11"/>
        <v>-9.0206966129635756E-11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107.40015535685912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0.97096379660069942</v>
      </c>
      <c r="W33" s="2">
        <f t="shared" si="0"/>
        <v>8.0261441937068412E-10</v>
      </c>
      <c r="X33" s="2">
        <f t="shared" si="8"/>
        <v>0.97096379846334457</v>
      </c>
      <c r="Y33" s="2">
        <f t="shared" si="1"/>
        <v>-1.0974854358636321E-9</v>
      </c>
      <c r="Z33" s="2">
        <f t="shared" si="3"/>
        <v>0.970963797532022</v>
      </c>
      <c r="AA33" s="2">
        <f t="shared" si="2"/>
        <v>-1.47435508246474E-10</v>
      </c>
      <c r="AB33" s="2">
        <f t="shared" si="4"/>
        <v>-1.1833386484586544E-19</v>
      </c>
      <c r="AC33" s="2">
        <f t="shared" si="5"/>
        <v>1.6180832302965765E-19</v>
      </c>
      <c r="AD33" s="2">
        <f t="shared" si="6"/>
        <v>1.862645149230957E-9</v>
      </c>
      <c r="AF33" s="2">
        <v>29</v>
      </c>
      <c r="AG33" s="2">
        <f t="shared" si="13"/>
        <v>1721.1610544472933</v>
      </c>
      <c r="AH33" s="2">
        <v>-1.158015470537066E-5</v>
      </c>
      <c r="AI33" s="2">
        <f t="shared" si="14"/>
        <v>1721.1610898375511</v>
      </c>
      <c r="AJ33" s="2">
        <v>7.7897893788758665E-6</v>
      </c>
      <c r="AK33" s="2">
        <f t="shared" si="9"/>
        <v>1721.1610721424222</v>
      </c>
      <c r="AL33" s="2">
        <v>-1.8951827769342344E-6</v>
      </c>
      <c r="AM33" s="2">
        <f t="shared" si="10"/>
        <v>2.1946509751852409E-11</v>
      </c>
      <c r="AN33" s="2">
        <f t="shared" si="11"/>
        <v>-1.476307466679077E-11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34.86</v>
      </c>
      <c r="L34" s="6" t="s">
        <v>59</v>
      </c>
      <c r="U34" s="2">
        <v>30</v>
      </c>
      <c r="V34" s="2">
        <f t="shared" si="7"/>
        <v>0.97096379660069942</v>
      </c>
      <c r="W34" s="2">
        <f t="shared" si="0"/>
        <v>8.0261441937068412E-10</v>
      </c>
      <c r="X34" s="2">
        <f t="shared" si="8"/>
        <v>0.970963797532022</v>
      </c>
      <c r="Y34" s="2">
        <f t="shared" si="1"/>
        <v>-1.47435508246474E-10</v>
      </c>
      <c r="Z34" s="2">
        <f t="shared" si="3"/>
        <v>0.97096379706636071</v>
      </c>
      <c r="AA34" s="2">
        <f t="shared" si="2"/>
        <v>3.2758940005095383E-10</v>
      </c>
      <c r="AB34" s="2">
        <f t="shared" si="4"/>
        <v>2.6292797611388706E-19</v>
      </c>
      <c r="AC34" s="2">
        <f t="shared" si="5"/>
        <v>-4.8298309692669873E-20</v>
      </c>
      <c r="AD34" s="2">
        <f t="shared" si="6"/>
        <v>9.3132257461547852E-10</v>
      </c>
      <c r="AF34" s="2">
        <v>30</v>
      </c>
      <c r="AG34" s="2">
        <f t="shared" si="13"/>
        <v>1721.1610721424222</v>
      </c>
      <c r="AH34" s="2">
        <v>-1.8951827769342344E-6</v>
      </c>
      <c r="AI34" s="2">
        <f t="shared" si="14"/>
        <v>1721.1610898375511</v>
      </c>
      <c r="AJ34" s="2">
        <v>7.7897893788758665E-6</v>
      </c>
      <c r="AK34" s="2">
        <f t="shared" si="9"/>
        <v>1721.1610809899867</v>
      </c>
      <c r="AL34" s="2">
        <v>2.9473035283444915E-6</v>
      </c>
      <c r="AM34" s="2">
        <f t="shared" si="10"/>
        <v>-5.5856788853159805E-12</v>
      </c>
      <c r="AN34" s="2">
        <f t="shared" si="11"/>
        <v>2.2958873721421286E-11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21.67</v>
      </c>
      <c r="L35" s="6" t="s">
        <v>59</v>
      </c>
      <c r="AF35" s="2">
        <v>31</v>
      </c>
      <c r="AG35" s="2">
        <f t="shared" si="13"/>
        <v>1721.1610721424222</v>
      </c>
      <c r="AH35" s="2">
        <v>-1.8951827769342344E-6</v>
      </c>
      <c r="AI35" s="2">
        <f t="shared" si="14"/>
        <v>1721.1610809899867</v>
      </c>
      <c r="AJ35" s="2">
        <v>2.9473035283444915E-6</v>
      </c>
      <c r="AK35" s="2">
        <f t="shared" si="9"/>
        <v>1721.1610765662044</v>
      </c>
      <c r="AL35" s="2">
        <v>5.2605992095777765E-7</v>
      </c>
      <c r="AM35" s="2">
        <f t="shared" si="10"/>
        <v>-9.9697970183456491E-13</v>
      </c>
      <c r="AN35" s="2">
        <f t="shared" si="11"/>
        <v>1.5504582611594824E-12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16.059999999999999</v>
      </c>
      <c r="L36" s="6" t="s">
        <v>59</v>
      </c>
      <c r="AF36" s="2">
        <v>32</v>
      </c>
      <c r="AG36" s="2">
        <f t="shared" si="13"/>
        <v>1721.1610721424222</v>
      </c>
      <c r="AH36" s="2">
        <v>-1.8951827769342344E-6</v>
      </c>
      <c r="AI36" s="2">
        <f t="shared" si="14"/>
        <v>1721.1610765662044</v>
      </c>
      <c r="AJ36" s="2">
        <v>5.2605992095777765E-7</v>
      </c>
      <c r="AK36" s="2">
        <f t="shared" si="9"/>
        <v>1721.1610743543133</v>
      </c>
      <c r="AL36" s="2">
        <v>-6.8456120061455294E-7</v>
      </c>
      <c r="AM36" s="2">
        <f t="shared" si="10"/>
        <v>1.297368597162122E-12</v>
      </c>
      <c r="AN36" s="2">
        <f t="shared" si="11"/>
        <v>-3.6012021108605309E-13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22.67</v>
      </c>
      <c r="L37" s="6" t="s">
        <v>59</v>
      </c>
      <c r="AF37" s="2">
        <v>33</v>
      </c>
      <c r="AG37" s="2">
        <f t="shared" si="13"/>
        <v>1721.1610743543133</v>
      </c>
      <c r="AH37" s="2">
        <v>-6.8456120061455294E-7</v>
      </c>
      <c r="AI37" s="2">
        <f t="shared" si="14"/>
        <v>1721.1610765662044</v>
      </c>
      <c r="AJ37" s="2">
        <v>5.2605992095777765E-7</v>
      </c>
      <c r="AK37" s="2">
        <f t="shared" si="9"/>
        <v>1721.1610754602589</v>
      </c>
      <c r="AL37" s="2">
        <v>-7.9250639828387648E-8</v>
      </c>
      <c r="AM37" s="2">
        <f t="shared" si="10"/>
        <v>5.4251913150392556E-14</v>
      </c>
      <c r="AN37" s="2">
        <f t="shared" si="11"/>
        <v>-4.1690585323974911E-14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1721.1610754602589</v>
      </c>
      <c r="AH38" s="2">
        <v>-7.9250639828387648E-8</v>
      </c>
      <c r="AI38" s="2">
        <f t="shared" si="14"/>
        <v>1721.1610765662044</v>
      </c>
      <c r="AJ38" s="2">
        <v>5.2605992095777765E-7</v>
      </c>
      <c r="AK38" s="2">
        <f t="shared" si="9"/>
        <v>1721.1610760132316</v>
      </c>
      <c r="AL38" s="2">
        <v>2.2340486793837044E-7</v>
      </c>
      <c r="AM38" s="2">
        <f t="shared" si="10"/>
        <v>-1.7704978724892303E-14</v>
      </c>
      <c r="AN38" s="2">
        <f t="shared" si="11"/>
        <v>1.1752434716924191E-13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1721.1610754602589</v>
      </c>
      <c r="AH39" s="2">
        <v>-7.9250639828387648E-8</v>
      </c>
      <c r="AI39" s="2">
        <f t="shared" si="14"/>
        <v>1721.1610760132316</v>
      </c>
      <c r="AJ39" s="2">
        <v>2.2340486793837044E-7</v>
      </c>
      <c r="AK39" s="2">
        <f t="shared" si="9"/>
        <v>1721.1610757367453</v>
      </c>
      <c r="AL39" s="2">
        <v>7.207722774182912E-8</v>
      </c>
      <c r="AM39" s="2">
        <f t="shared" si="10"/>
        <v>-5.7121664155963699E-15</v>
      </c>
      <c r="AN39" s="2">
        <f t="shared" si="11"/>
        <v>1.6102403545027185E-14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1721.1610754602589</v>
      </c>
      <c r="AH40" s="2">
        <v>-7.9250639828387648E-8</v>
      </c>
      <c r="AI40" s="2">
        <f t="shared" si="14"/>
        <v>1721.1610757367453</v>
      </c>
      <c r="AJ40" s="2">
        <v>7.207722774182912E-8</v>
      </c>
      <c r="AK40" s="2">
        <f t="shared" si="9"/>
        <v>1721.1610755985021</v>
      </c>
      <c r="AL40" s="2">
        <v>-3.587047103792429E-9</v>
      </c>
      <c r="AM40" s="2">
        <f t="shared" si="10"/>
        <v>2.8427577807011483E-16</v>
      </c>
      <c r="AN40" s="2">
        <f t="shared" si="11"/>
        <v>-2.5854441102071546E-16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1721.1610755985021</v>
      </c>
      <c r="AH41" s="2">
        <v>-3.587047103792429E-9</v>
      </c>
      <c r="AI41" s="2">
        <f t="shared" si="14"/>
        <v>1721.1610757367453</v>
      </c>
      <c r="AJ41" s="2">
        <v>7.207722774182912E-8</v>
      </c>
      <c r="AK41" s="2">
        <f t="shared" si="9"/>
        <v>1721.1610756676237</v>
      </c>
      <c r="AL41" s="2">
        <v>3.424543137953151E-8</v>
      </c>
      <c r="AM41" s="2">
        <f t="shared" si="10"/>
        <v>-1.2283997544807087E-16</v>
      </c>
      <c r="AN41" s="2">
        <f t="shared" si="11"/>
        <v>2.468315756659674E-15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1721.1610755985021</v>
      </c>
      <c r="AH42" s="2">
        <v>-3.587047103792429E-9</v>
      </c>
      <c r="AI42" s="2">
        <f t="shared" si="14"/>
        <v>1721.1610756676237</v>
      </c>
      <c r="AJ42" s="2">
        <v>3.424543137953151E-8</v>
      </c>
      <c r="AK42" s="2">
        <f t="shared" si="9"/>
        <v>1721.1610756330629</v>
      </c>
      <c r="AL42" s="2">
        <v>1.5329305824707262E-8</v>
      </c>
      <c r="AM42" s="2">
        <f t="shared" si="10"/>
        <v>-5.4986942061664597E-17</v>
      </c>
      <c r="AN42" s="2">
        <f t="shared" si="11"/>
        <v>5.2495869071586523E-16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372.91</v>
      </c>
      <c r="L43" s="6" t="s">
        <v>7</v>
      </c>
      <c r="AF43" s="2">
        <v>39</v>
      </c>
      <c r="AG43" s="2">
        <f t="shared" si="13"/>
        <v>1721.1610755985021</v>
      </c>
      <c r="AH43" s="2">
        <v>-3.587047103792429E-9</v>
      </c>
      <c r="AI43" s="2">
        <f t="shared" si="14"/>
        <v>1721.1610756330629</v>
      </c>
      <c r="AJ43" s="2">
        <v>1.5329305824707262E-8</v>
      </c>
      <c r="AK43" s="2">
        <f t="shared" si="9"/>
        <v>1721.1610756157825</v>
      </c>
      <c r="AL43" s="2">
        <v>5.8714704209705815E-9</v>
      </c>
      <c r="AM43" s="2">
        <f t="shared" si="10"/>
        <v>-2.1061240968545438E-17</v>
      </c>
      <c r="AN43" s="2">
        <f t="shared" si="11"/>
        <v>9.0005565723780735E-17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276.38</v>
      </c>
      <c r="L44" s="6" t="s">
        <v>7</v>
      </c>
      <c r="AF44" s="2">
        <v>40</v>
      </c>
      <c r="AG44" s="2">
        <f t="shared" si="13"/>
        <v>1721.1610755985021</v>
      </c>
      <c r="AH44" s="2">
        <v>-3.587047103792429E-9</v>
      </c>
      <c r="AI44" s="2">
        <f t="shared" si="14"/>
        <v>1721.1610756157825</v>
      </c>
      <c r="AJ44" s="2">
        <v>5.8714704209705815E-9</v>
      </c>
      <c r="AK44" s="5">
        <f t="shared" si="9"/>
        <v>1721.1610756071423</v>
      </c>
      <c r="AL44" s="2">
        <v>1.1420979717513546E-9</v>
      </c>
      <c r="AM44" s="2">
        <f t="shared" si="10"/>
        <v>-4.096759221817904E-18</v>
      </c>
      <c r="AN44" s="2">
        <f t="shared" si="11"/>
        <v>6.7057944589885735E-18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390.14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81.739999999999995</v>
      </c>
      <c r="L46" s="6" t="s">
        <v>7</v>
      </c>
    </row>
    <row r="47" spans="2:41" x14ac:dyDescent="0.2">
      <c r="J47" s="9" t="s">
        <v>60</v>
      </c>
      <c r="K47" s="9">
        <f>SUM(K42:K46)</f>
        <v>1721.1699999999998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0C4-DD4F-3640-84AC-BC633C6711FA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352.77353764735847</v>
      </c>
      <c r="L4" s="6" t="s">
        <v>97</v>
      </c>
      <c r="N4" s="6" t="s">
        <v>131</v>
      </c>
      <c r="O4" s="6">
        <f xml:space="preserve"> $C$5 * $C$74</f>
        <v>15172.908005071786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1.173305377112331</v>
      </c>
      <c r="X4" s="3">
        <v>1</v>
      </c>
      <c r="Y4" s="2">
        <f t="shared" ref="Y4:Y34" si="1" xml:space="preserve"> $O$22 * TAN($O$19/180*PI()) + $O$23 / (2 * SQRT($O$22^2 + X4^2)) - X4</f>
        <v>-3.0290466508883784E-2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0.48774895804605189</v>
      </c>
      <c r="AB4" s="2">
        <f>W4*AA4</f>
        <v>0.57227847515636943</v>
      </c>
      <c r="AC4" s="2">
        <f>Y4*AA4</f>
        <v>-1.4774143478436898E-2</v>
      </c>
      <c r="AD4" s="2">
        <f>X4-V4</f>
        <v>1</v>
      </c>
      <c r="AF4" s="2">
        <v>0</v>
      </c>
      <c r="AH4" s="2">
        <f>K30</f>
        <v>-1.1253380046127859E-4</v>
      </c>
      <c r="AJ4" s="2">
        <f>K30</f>
        <v>-1.1253380046127859E-4</v>
      </c>
      <c r="AL4" s="2">
        <f>K30</f>
        <v>-1.1253380046127859E-4</v>
      </c>
    </row>
    <row r="5" spans="2:41" x14ac:dyDescent="0.2">
      <c r="B5" s="9" t="s">
        <v>38</v>
      </c>
      <c r="C5" s="9">
        <v>1548.1684529372999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44.096692205919808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0.48774895804605189</v>
      </c>
      <c r="X5" s="2">
        <f>IF(AC4&gt;0, Z4, X4)</f>
        <v>1</v>
      </c>
      <c r="Y5" s="2">
        <f t="shared" si="1"/>
        <v>-3.0290466508883784E-2</v>
      </c>
      <c r="Z5" s="2">
        <f t="shared" ref="Z5:Z34" si="3" xml:space="preserve"> (V5 + X5)/2</f>
        <v>0.75</v>
      </c>
      <c r="AA5" s="2">
        <f t="shared" si="2"/>
        <v>0.22578199959264145</v>
      </c>
      <c r="AB5" s="2">
        <f t="shared" ref="AB5:AB34" si="4">W5*AA5</f>
        <v>0.11012493504686498</v>
      </c>
      <c r="AC5" s="2">
        <f t="shared" ref="AC5:AC34" si="5">Y5*AA5</f>
        <v>-6.8390420969697179E-3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-651.14203187019984</v>
      </c>
      <c r="AI5" s="3">
        <v>10000</v>
      </c>
      <c r="AJ5" s="2">
        <f t="dataTable" ref="AJ5:AJ44" dt2D="0" dtr="0" r1="C5"/>
        <v>4070.2164873481952</v>
      </c>
      <c r="AK5" s="2">
        <f>(AG5+AI5)/2</f>
        <v>5250</v>
      </c>
      <c r="AL5" s="2">
        <f t="dataTable" ref="AL5:AL44" dt2D="0" dtr="0" r1="C5" ca="1"/>
        <v>2175.9853884482995</v>
      </c>
      <c r="AM5" s="2">
        <f>AH5*AL5</f>
        <v>-1416875.5471540918</v>
      </c>
      <c r="AN5" s="2">
        <f>AJ5*AL5</f>
        <v>8856731.6042910367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155.31166757796083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0.1752287612639189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0.22578199959264145</v>
      </c>
      <c r="X6" s="2">
        <f t="shared" ref="X6:X34" si="8">IF(AC5&gt;0, Z5, X5)</f>
        <v>1</v>
      </c>
      <c r="Y6" s="2">
        <f t="shared" si="1"/>
        <v>-3.0290466508883784E-2</v>
      </c>
      <c r="Z6" s="2">
        <f t="shared" si="3"/>
        <v>0.875</v>
      </c>
      <c r="AA6" s="2">
        <f t="shared" si="2"/>
        <v>9.7317932355883152E-2</v>
      </c>
      <c r="AB6" s="2">
        <f t="shared" si="4"/>
        <v>2.1972637363532718E-2</v>
      </c>
      <c r="AC6" s="2">
        <f t="shared" si="5"/>
        <v>-2.9478055707396963E-3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-651.14203187019984</v>
      </c>
      <c r="AI6" s="2">
        <f>IF(AN5&gt;0,AK5,AI5)</f>
        <v>5250</v>
      </c>
      <c r="AJ6" s="2">
        <v>2175.9853884482995</v>
      </c>
      <c r="AK6" s="2">
        <f t="shared" ref="AK6:AK44" si="9">(AG6+AI6)/2</f>
        <v>2875</v>
      </c>
      <c r="AL6" s="2">
        <v>731.17896620422789</v>
      </c>
      <c r="AM6" s="2">
        <f t="shared" ref="AM6:AM44" si="10">AH6*AL6</f>
        <v>-476101.35771497316</v>
      </c>
      <c r="AN6" s="2">
        <f t="shared" ref="AN6:AN44" si="11">AJ6*AL6</f>
        <v>1591034.7468011328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1896.7949319772417</v>
      </c>
      <c r="H7" s="6" t="s">
        <v>21</v>
      </c>
      <c r="J7" s="6" t="s">
        <v>133</v>
      </c>
      <c r="K7" s="6">
        <f>K6/$C$28</f>
        <v>155.31166757796083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9.7317932355883152E-2</v>
      </c>
      <c r="X7" s="2">
        <f t="shared" si="8"/>
        <v>1</v>
      </c>
      <c r="Y7" s="2">
        <f t="shared" si="1"/>
        <v>-3.0290466508883784E-2</v>
      </c>
      <c r="Z7" s="2">
        <f t="shared" si="3"/>
        <v>0.9375</v>
      </c>
      <c r="AA7" s="2">
        <f t="shared" si="2"/>
        <v>3.3427809119103147E-2</v>
      </c>
      <c r="AB7" s="2">
        <f t="shared" si="4"/>
        <v>3.253125266658254E-3</v>
      </c>
      <c r="AC7" s="2">
        <f t="shared" si="5"/>
        <v>-1.0125439325875539E-3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-651.14203187019984</v>
      </c>
      <c r="AI7" s="2">
        <f t="shared" ref="AI7:AI44" si="14">IF(AN6&gt;0,AK6,AI6)</f>
        <v>2875</v>
      </c>
      <c r="AJ7" s="2">
        <v>731.17896620422789</v>
      </c>
      <c r="AK7" s="2">
        <f t="shared" si="9"/>
        <v>1687.5</v>
      </c>
      <c r="AL7" s="2">
        <v>82.05983791018366</v>
      </c>
      <c r="AM7" s="2">
        <f t="shared" si="10"/>
        <v>-53432.609591776243</v>
      </c>
      <c r="AN7" s="2">
        <f t="shared" si="11"/>
        <v>60000.427450054594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29.397794803946539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3.3427809119103147E-2</v>
      </c>
      <c r="X8" s="2">
        <f t="shared" si="8"/>
        <v>1</v>
      </c>
      <c r="Y8" s="2">
        <f t="shared" si="1"/>
        <v>-3.0290466508883784E-2</v>
      </c>
      <c r="Z8" s="2">
        <f t="shared" si="3"/>
        <v>0.96875</v>
      </c>
      <c r="AA8" s="2">
        <f t="shared" si="2"/>
        <v>1.5492378011426888E-3</v>
      </c>
      <c r="AB8" s="2">
        <f t="shared" si="4"/>
        <v>5.1787625496696882E-5</v>
      </c>
      <c r="AC8" s="2">
        <f t="shared" si="5"/>
        <v>-4.692713572980937E-5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-651.14203187019984</v>
      </c>
      <c r="AI8" s="2">
        <f t="shared" si="14"/>
        <v>1687.5</v>
      </c>
      <c r="AJ8" s="2">
        <v>82.05983791018366</v>
      </c>
      <c r="AK8" s="2">
        <f t="shared" si="9"/>
        <v>1093.75</v>
      </c>
      <c r="AL8" s="2">
        <v>-275.80943685452758</v>
      </c>
      <c r="AM8" s="2">
        <f t="shared" si="10"/>
        <v>179591.11712243265</v>
      </c>
      <c r="AN8" s="2">
        <f t="shared" si="11"/>
        <v>-22632.877682381568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6.5828426216235458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1.5492378011426888E-3</v>
      </c>
      <c r="X9" s="2">
        <f t="shared" si="8"/>
        <v>1</v>
      </c>
      <c r="Y9" s="2">
        <f t="shared" si="1"/>
        <v>-3.0290466508883784E-2</v>
      </c>
      <c r="Z9" s="2">
        <f t="shared" si="3"/>
        <v>0.984375</v>
      </c>
      <c r="AA9" s="2">
        <f t="shared" si="2"/>
        <v>-1.4375244710336466E-2</v>
      </c>
      <c r="AB9" s="2">
        <f t="shared" si="4"/>
        <v>-2.2270672505929734E-5</v>
      </c>
      <c r="AC9" s="2">
        <f t="shared" si="5"/>
        <v>4.3543286845545547E-4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-275.80943685452758</v>
      </c>
      <c r="AI9" s="2">
        <f t="shared" si="14"/>
        <v>1687.5</v>
      </c>
      <c r="AJ9" s="2">
        <v>82.05983791018366</v>
      </c>
      <c r="AK9" s="2">
        <f t="shared" si="9"/>
        <v>1390.625</v>
      </c>
      <c r="AL9" s="2">
        <v>-94.232617571427227</v>
      </c>
      <c r="AM9" s="2">
        <f t="shared" si="10"/>
        <v>25990.245185703403</v>
      </c>
      <c r="AN9" s="2">
        <f t="shared" si="11"/>
        <v>-7732.7133237636426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235.18235843157231</v>
      </c>
      <c r="H10" s="22" t="s">
        <v>97</v>
      </c>
      <c r="J10" s="6" t="s">
        <v>92</v>
      </c>
      <c r="K10" s="6">
        <f xml:space="preserve"> $C$18 * (G10*G6 + G20*G13 + G29*G25 + G33*G32)/3600</f>
        <v>95.31985359363243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1.5492378011426888E-3</v>
      </c>
      <c r="X10" s="2">
        <f t="shared" si="8"/>
        <v>0.984375</v>
      </c>
      <c r="Y10" s="2">
        <f t="shared" si="1"/>
        <v>-1.4375244710336466E-2</v>
      </c>
      <c r="Z10" s="2">
        <f t="shared" si="3"/>
        <v>0.9765625</v>
      </c>
      <c r="AA10" s="2">
        <f t="shared" si="2"/>
        <v>-6.4141884267995275E-3</v>
      </c>
      <c r="AB10" s="2">
        <f t="shared" si="4"/>
        <v>-9.9371031744497829E-6</v>
      </c>
      <c r="AC10" s="2">
        <f t="shared" si="5"/>
        <v>9.2205528253451279E-5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-94.232617571427227</v>
      </c>
      <c r="AI10" s="2">
        <f t="shared" si="14"/>
        <v>1687.5</v>
      </c>
      <c r="AJ10" s="2">
        <v>82.05983791018366</v>
      </c>
      <c r="AK10" s="2">
        <f t="shared" si="9"/>
        <v>1539.0625</v>
      </c>
      <c r="AL10" s="2">
        <v>-5.4052006426866228</v>
      </c>
      <c r="AM10" s="2">
        <f t="shared" si="10"/>
        <v>509.34620505912119</v>
      </c>
      <c r="AN10" s="2">
        <f t="shared" si="11"/>
        <v>-443.54988861088481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1.5492378011426888E-3</v>
      </c>
      <c r="X11" s="2">
        <f t="shared" si="8"/>
        <v>0.9765625</v>
      </c>
      <c r="Y11" s="2">
        <f t="shared" si="1"/>
        <v>-6.4141884267995275E-3</v>
      </c>
      <c r="Z11" s="2">
        <f t="shared" si="3"/>
        <v>0.97265625</v>
      </c>
      <c r="AA11" s="2">
        <f t="shared" si="2"/>
        <v>-2.4327750732462405E-3</v>
      </c>
      <c r="AB11" s="2">
        <f t="shared" si="4"/>
        <v>-3.7689471051507495E-6</v>
      </c>
      <c r="AC11" s="2">
        <f t="shared" si="5"/>
        <v>1.5604277719822408E-5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-5.4052006426866228</v>
      </c>
      <c r="AI11" s="2">
        <f t="shared" si="14"/>
        <v>1687.5</v>
      </c>
      <c r="AJ11" s="2">
        <v>82.05983791018366</v>
      </c>
      <c r="AK11" s="2">
        <f t="shared" si="9"/>
        <v>1613.28125</v>
      </c>
      <c r="AL11" s="2">
        <v>38.499307050199263</v>
      </c>
      <c r="AM11" s="2">
        <f t="shared" si="10"/>
        <v>-208.0964792107267</v>
      </c>
      <c r="AN11" s="2">
        <f t="shared" si="11"/>
        <v>3159.2468961937425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0.2230525591554475</v>
      </c>
      <c r="U12" s="2">
        <v>8</v>
      </c>
      <c r="V12" s="2">
        <f t="shared" si="7"/>
        <v>0.96875</v>
      </c>
      <c r="W12" s="2">
        <f t="shared" si="0"/>
        <v>1.5492378011426888E-3</v>
      </c>
      <c r="X12" s="2">
        <f t="shared" si="8"/>
        <v>0.97265625</v>
      </c>
      <c r="Y12" s="2">
        <f t="shared" si="1"/>
        <v>-2.4327750732462405E-3</v>
      </c>
      <c r="Z12" s="2">
        <f t="shared" si="3"/>
        <v>0.970703125</v>
      </c>
      <c r="AA12" s="2">
        <f t="shared" si="2"/>
        <v>-4.4184402190661221E-4</v>
      </c>
      <c r="AB12" s="2">
        <f t="shared" si="4"/>
        <v>-6.845214609466419E-7</v>
      </c>
      <c r="AC12" s="2">
        <f t="shared" si="5"/>
        <v>1.0749071227572721E-6</v>
      </c>
      <c r="AD12" s="2">
        <f t="shared" si="6"/>
        <v>3.90625E-3</v>
      </c>
      <c r="AF12" s="2">
        <v>8</v>
      </c>
      <c r="AG12" s="2">
        <f t="shared" si="13"/>
        <v>1539.0625</v>
      </c>
      <c r="AH12" s="2">
        <v>-5.4052006426866228</v>
      </c>
      <c r="AI12" s="2">
        <f t="shared" si="14"/>
        <v>1613.28125</v>
      </c>
      <c r="AJ12" s="2">
        <v>38.499307050199263</v>
      </c>
      <c r="AK12" s="2">
        <f t="shared" si="9"/>
        <v>1576.171875</v>
      </c>
      <c r="AL12" s="2">
        <v>16.589867597816919</v>
      </c>
      <c r="AM12" s="2">
        <f t="shared" si="10"/>
        <v>-89.671563001805993</v>
      </c>
      <c r="AN12" s="2">
        <f t="shared" si="11"/>
        <v>638.6984065705052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2.1679085572748454E-2</v>
      </c>
      <c r="U13" s="2">
        <v>9</v>
      </c>
      <c r="V13" s="2">
        <f t="shared" si="7"/>
        <v>0.96875</v>
      </c>
      <c r="W13" s="2">
        <f t="shared" si="0"/>
        <v>1.5492378011426888E-3</v>
      </c>
      <c r="X13" s="2">
        <f t="shared" si="8"/>
        <v>0.970703125</v>
      </c>
      <c r="Y13" s="2">
        <f t="shared" si="1"/>
        <v>-4.4184402190661221E-4</v>
      </c>
      <c r="Z13" s="2">
        <f t="shared" si="3"/>
        <v>0.9697265625</v>
      </c>
      <c r="AA13" s="2">
        <f t="shared" si="2"/>
        <v>5.5367798704997195E-4</v>
      </c>
      <c r="AB13" s="2">
        <f t="shared" si="4"/>
        <v>8.5777886719840864E-7</v>
      </c>
      <c r="AC13" s="2">
        <f t="shared" si="5"/>
        <v>-2.4463930863931678E-7</v>
      </c>
      <c r="AD13" s="2">
        <f t="shared" si="6"/>
        <v>1.953125E-3</v>
      </c>
      <c r="AF13" s="2">
        <v>9</v>
      </c>
      <c r="AG13" s="2">
        <f t="shared" si="13"/>
        <v>1539.0625</v>
      </c>
      <c r="AH13" s="2">
        <v>-5.4052006426866228</v>
      </c>
      <c r="AI13" s="2">
        <f t="shared" si="14"/>
        <v>1576.171875</v>
      </c>
      <c r="AJ13" s="2">
        <v>16.589867597816919</v>
      </c>
      <c r="AK13" s="2">
        <f t="shared" si="9"/>
        <v>1557.6171875</v>
      </c>
      <c r="AL13" s="2">
        <v>5.6030121267331197</v>
      </c>
      <c r="AM13" s="2">
        <f t="shared" si="10"/>
        <v>-30.2854047483988</v>
      </c>
      <c r="AN13" s="2">
        <f t="shared" si="11"/>
        <v>92.953229331465053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1548.1684529372999</v>
      </c>
      <c r="L14" s="6" t="s">
        <v>7</v>
      </c>
      <c r="N14" s="6" t="s">
        <v>40</v>
      </c>
      <c r="O14" s="6">
        <f xml:space="preserve"> O5 * O13 * $C$12</f>
        <v>1474.6962432300695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5.5367798704997195E-4</v>
      </c>
      <c r="X14" s="2">
        <f t="shared" si="8"/>
        <v>0.970703125</v>
      </c>
      <c r="Y14" s="2">
        <f t="shared" si="1"/>
        <v>-4.4184402190661221E-4</v>
      </c>
      <c r="Z14" s="2">
        <f t="shared" si="3"/>
        <v>0.97021484375</v>
      </c>
      <c r="AA14" s="2">
        <f t="shared" si="2"/>
        <v>5.5912263960067321E-5</v>
      </c>
      <c r="AB14" s="2">
        <f t="shared" si="4"/>
        <v>3.0957389760816764E-8</v>
      </c>
      <c r="AC14" s="2">
        <f t="shared" si="5"/>
        <v>-2.4704499582020271E-8</v>
      </c>
      <c r="AD14" s="2">
        <f t="shared" si="6"/>
        <v>9.765625E-4</v>
      </c>
      <c r="AF14" s="2">
        <v>10</v>
      </c>
      <c r="AG14" s="2">
        <f t="shared" si="13"/>
        <v>1539.0625</v>
      </c>
      <c r="AH14" s="2">
        <v>-5.4052006426866228</v>
      </c>
      <c r="AI14" s="2">
        <f t="shared" si="14"/>
        <v>1557.6171875</v>
      </c>
      <c r="AJ14" s="2">
        <v>5.6030121267331197</v>
      </c>
      <c r="AK14" s="2">
        <f t="shared" si="9"/>
        <v>1548.33984375</v>
      </c>
      <c r="AL14" s="2">
        <v>0.10157217314224454</v>
      </c>
      <c r="AM14" s="2">
        <f t="shared" si="10"/>
        <v>-0.54901797554753706</v>
      </c>
      <c r="AN14" s="2">
        <f t="shared" si="11"/>
        <v>0.56911011785463217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254.86591869955197</v>
      </c>
      <c r="L15" s="6" t="s">
        <v>7</v>
      </c>
      <c r="N15" s="6" t="s">
        <v>140</v>
      </c>
      <c r="O15" s="6">
        <f>O4/O14</f>
        <v>10.288836141494556</v>
      </c>
      <c r="U15" s="2">
        <v>11</v>
      </c>
      <c r="V15" s="2">
        <f t="shared" si="7"/>
        <v>0.97021484375</v>
      </c>
      <c r="W15" s="2">
        <f t="shared" si="0"/>
        <v>5.5912263960067321E-5</v>
      </c>
      <c r="X15" s="2">
        <f t="shared" si="8"/>
        <v>0.970703125</v>
      </c>
      <c r="Y15" s="2">
        <f t="shared" si="1"/>
        <v>-4.4184402190661221E-4</v>
      </c>
      <c r="Z15" s="2">
        <f t="shared" si="3"/>
        <v>0.970458984375</v>
      </c>
      <c r="AA15" s="2">
        <f t="shared" si="2"/>
        <v>-1.9296705774884959E-4</v>
      </c>
      <c r="AB15" s="2">
        <f t="shared" si="4"/>
        <v>-1.0789225068451233E-8</v>
      </c>
      <c r="AC15" s="2">
        <f t="shared" si="5"/>
        <v>8.5261340891237202E-8</v>
      </c>
      <c r="AD15" s="2">
        <f t="shared" si="6"/>
        <v>4.8828125E-4</v>
      </c>
      <c r="AF15" s="2">
        <v>11</v>
      </c>
      <c r="AG15" s="2">
        <f t="shared" si="13"/>
        <v>1539.0625</v>
      </c>
      <c r="AH15" s="2">
        <v>-5.4052006426866228</v>
      </c>
      <c r="AI15" s="2">
        <f t="shared" si="14"/>
        <v>1548.33984375</v>
      </c>
      <c r="AJ15" s="2">
        <v>0.10157217314224454</v>
      </c>
      <c r="AK15" s="2">
        <f t="shared" si="9"/>
        <v>1543.701171875</v>
      </c>
      <c r="AL15" s="2">
        <v>-2.6511480823562579</v>
      </c>
      <c r="AM15" s="2">
        <f t="shared" si="10"/>
        <v>14.329987318609453</v>
      </c>
      <c r="AN15" s="2">
        <f t="shared" si="11"/>
        <v>-0.26928287204681939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1474.6962432300695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112.65482331276483</v>
      </c>
      <c r="L16" s="6" t="s">
        <v>7</v>
      </c>
      <c r="N16" s="6" t="s">
        <v>111</v>
      </c>
      <c r="O16" s="6">
        <f>(O13*$C$12)/(0.3048^2)/($C$5*2.20462/1000)^(2/3)</f>
        <v>3.0881447684616239</v>
      </c>
      <c r="U16" s="2">
        <v>12</v>
      </c>
      <c r="V16" s="2">
        <f t="shared" si="7"/>
        <v>0.97021484375</v>
      </c>
      <c r="W16" s="2">
        <f t="shared" si="0"/>
        <v>5.5912263960067321E-5</v>
      </c>
      <c r="X16" s="2">
        <f t="shared" si="8"/>
        <v>0.970458984375</v>
      </c>
      <c r="Y16" s="2">
        <f t="shared" si="1"/>
        <v>-1.9296705774884959E-4</v>
      </c>
      <c r="Z16" s="2">
        <f t="shared" si="3"/>
        <v>0.9703369140625</v>
      </c>
      <c r="AA16" s="2">
        <f t="shared" si="2"/>
        <v>-6.8527691697850557E-5</v>
      </c>
      <c r="AB16" s="2">
        <f t="shared" si="4"/>
        <v>-3.831538386784334E-9</v>
      </c>
      <c r="AC16" s="2">
        <f t="shared" si="5"/>
        <v>1.3223587041254489E-8</v>
      </c>
      <c r="AD16" s="2">
        <f t="shared" si="6"/>
        <v>2.44140625E-4</v>
      </c>
      <c r="AF16" s="2">
        <v>12</v>
      </c>
      <c r="AG16" s="2">
        <f t="shared" si="13"/>
        <v>1543.701171875</v>
      </c>
      <c r="AH16" s="2">
        <v>-2.6511480823562579</v>
      </c>
      <c r="AI16" s="2">
        <f t="shared" si="14"/>
        <v>1548.33984375</v>
      </c>
      <c r="AJ16" s="2">
        <v>0.10157217314224454</v>
      </c>
      <c r="AK16" s="2">
        <f t="shared" si="9"/>
        <v>1546.0205078125</v>
      </c>
      <c r="AL16" s="2">
        <v>-1.274621363283245</v>
      </c>
      <c r="AM16" s="2">
        <f t="shared" si="10"/>
        <v>3.3792099829986944</v>
      </c>
      <c r="AN16" s="2">
        <f t="shared" si="11"/>
        <v>-0.12946606180220954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103.54111171864055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0.97021484375</v>
      </c>
      <c r="W17" s="2">
        <f t="shared" si="0"/>
        <v>5.5912263960067321E-5</v>
      </c>
      <c r="X17" s="2">
        <f t="shared" si="8"/>
        <v>0.9703369140625</v>
      </c>
      <c r="Y17" s="2">
        <f t="shared" si="1"/>
        <v>-6.8527691697850557E-5</v>
      </c>
      <c r="Z17" s="2">
        <f t="shared" si="3"/>
        <v>0.97027587890625</v>
      </c>
      <c r="AA17" s="2">
        <f t="shared" si="2"/>
        <v>-6.3077875834816055E-6</v>
      </c>
      <c r="AB17" s="2">
        <f t="shared" si="4"/>
        <v>-3.526826843716587E-10</v>
      </c>
      <c r="AC17" s="2">
        <f t="shared" si="5"/>
        <v>4.3225812281635727E-10</v>
      </c>
      <c r="AD17" s="2">
        <f t="shared" si="6"/>
        <v>1.220703125E-4</v>
      </c>
      <c r="AF17" s="2">
        <v>13</v>
      </c>
      <c r="AG17" s="2">
        <f t="shared" si="13"/>
        <v>1546.0205078125</v>
      </c>
      <c r="AH17" s="2">
        <v>-1.274621363283245</v>
      </c>
      <c r="AI17" s="2">
        <f t="shared" si="14"/>
        <v>1548.33984375</v>
      </c>
      <c r="AJ17" s="2">
        <v>0.10157217314224454</v>
      </c>
      <c r="AK17" s="2">
        <f t="shared" si="9"/>
        <v>1547.18017578125</v>
      </c>
      <c r="AL17" s="2">
        <v>-0.58648313957235132</v>
      </c>
      <c r="AM17" s="2">
        <f t="shared" si="10"/>
        <v>0.74754393890434812</v>
      </c>
      <c r="AN17" s="2">
        <f t="shared" si="11"/>
        <v>-5.9570366997650039E-2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1.4532460096443944</v>
      </c>
      <c r="H18" s="6" t="s">
        <v>172</v>
      </c>
      <c r="J18" s="12" t="s">
        <v>54</v>
      </c>
      <c r="K18" s="6">
        <f xml:space="preserve"> $C$78 * (0.2138 * K4 + 0.2138 * K6)</f>
        <v>86.902893501738617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0.97021484375</v>
      </c>
      <c r="W18" s="2">
        <f t="shared" si="0"/>
        <v>5.5912263960067321E-5</v>
      </c>
      <c r="X18" s="2">
        <f t="shared" si="8"/>
        <v>0.97027587890625</v>
      </c>
      <c r="Y18" s="2">
        <f t="shared" si="1"/>
        <v>-6.3077875834816055E-6</v>
      </c>
      <c r="Z18" s="2">
        <f t="shared" si="3"/>
        <v>0.970245361328125</v>
      </c>
      <c r="AA18" s="2">
        <f t="shared" si="2"/>
        <v>2.4802219757980026E-5</v>
      </c>
      <c r="AB18" s="2">
        <f t="shared" si="4"/>
        <v>1.3867482579037762E-9</v>
      </c>
      <c r="AC18" s="2">
        <f t="shared" si="5"/>
        <v>-1.5644713383216857E-10</v>
      </c>
      <c r="AD18" s="2">
        <f t="shared" si="6"/>
        <v>6.103515625E-5</v>
      </c>
      <c r="AF18" s="2">
        <v>14</v>
      </c>
      <c r="AG18" s="2">
        <f t="shared" si="13"/>
        <v>1547.18017578125</v>
      </c>
      <c r="AH18" s="2">
        <v>-0.58648313957235132</v>
      </c>
      <c r="AI18" s="2">
        <f t="shared" si="14"/>
        <v>1548.33984375</v>
      </c>
      <c r="AJ18" s="2">
        <v>0.10157217314224454</v>
      </c>
      <c r="AK18" s="2">
        <f t="shared" si="9"/>
        <v>1547.760009765625</v>
      </c>
      <c r="AL18" s="2">
        <v>-0.24244505221201962</v>
      </c>
      <c r="AM18" s="2">
        <f t="shared" si="10"/>
        <v>0.1421899353950879</v>
      </c>
      <c r="AN18" s="2">
        <f t="shared" si="11"/>
        <v>-2.4625670820759775E-2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4.3476919557201517E-2</v>
      </c>
      <c r="J19" s="12" t="s">
        <v>73</v>
      </c>
      <c r="K19" s="6">
        <f xml:space="preserve"> $C$78 * (0.1149 * K4 + 0.1149 * K6)</f>
        <v>46.703192064311352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0.970245361328125</v>
      </c>
      <c r="W19" s="2">
        <f t="shared" si="0"/>
        <v>2.4802219757980026E-5</v>
      </c>
      <c r="X19" s="2">
        <f t="shared" si="8"/>
        <v>0.97027587890625</v>
      </c>
      <c r="Y19" s="2">
        <f t="shared" si="1"/>
        <v>-6.3077875834816055E-6</v>
      </c>
      <c r="Z19" s="2">
        <f t="shared" si="3"/>
        <v>0.9702606201171875</v>
      </c>
      <c r="AA19" s="2">
        <f t="shared" si="2"/>
        <v>9.2472114798791694E-6</v>
      </c>
      <c r="AB19" s="2">
        <f t="shared" si="4"/>
        <v>2.2935137127247886E-10</v>
      </c>
      <c r="AC19" s="2">
        <f t="shared" si="5"/>
        <v>-5.832944575461038E-11</v>
      </c>
      <c r="AD19" s="2">
        <f t="shared" si="6"/>
        <v>3.0517578125E-5</v>
      </c>
      <c r="AF19" s="2">
        <v>15</v>
      </c>
      <c r="AG19" s="2">
        <f t="shared" si="13"/>
        <v>1547.760009765625</v>
      </c>
      <c r="AH19" s="2">
        <v>-0.24244505221201962</v>
      </c>
      <c r="AI19" s="2">
        <f t="shared" si="14"/>
        <v>1548.33984375</v>
      </c>
      <c r="AJ19" s="2">
        <v>0.10157217314224454</v>
      </c>
      <c r="AK19" s="2">
        <f t="shared" si="9"/>
        <v>1548.0499267578125</v>
      </c>
      <c r="AL19" s="2">
        <v>-7.0433997500913392E-2</v>
      </c>
      <c r="AM19" s="2">
        <f t="shared" si="10"/>
        <v>1.7076374201610206E-2</v>
      </c>
      <c r="AN19" s="2">
        <f t="shared" si="11"/>
        <v>-7.154134189263194E-3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103.54111171864055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204.30516842454495</v>
      </c>
      <c r="L20" s="6" t="s">
        <v>7</v>
      </c>
      <c r="N20" s="6" t="s">
        <v>20</v>
      </c>
      <c r="O20" s="6">
        <f xml:space="preserve"> O14 / $C$28</f>
        <v>1474.6962432300695</v>
      </c>
      <c r="P20" s="6" t="s">
        <v>21</v>
      </c>
      <c r="U20" s="2">
        <v>16</v>
      </c>
      <c r="V20" s="2">
        <f t="shared" si="7"/>
        <v>0.9702606201171875</v>
      </c>
      <c r="W20" s="2">
        <f t="shared" si="0"/>
        <v>9.2472114798791694E-6</v>
      </c>
      <c r="X20" s="2">
        <f t="shared" si="8"/>
        <v>0.97027587890625</v>
      </c>
      <c r="Y20" s="2">
        <f t="shared" si="1"/>
        <v>-6.3077875834816055E-6</v>
      </c>
      <c r="Z20" s="2">
        <f t="shared" si="3"/>
        <v>0.97026824951171875</v>
      </c>
      <c r="AA20" s="2">
        <f t="shared" si="2"/>
        <v>1.469710796397905E-6</v>
      </c>
      <c r="AB20" s="2">
        <f t="shared" si="4"/>
        <v>1.3590726548553063E-11</v>
      </c>
      <c r="AC20" s="2">
        <f t="shared" si="5"/>
        <v>-9.2706235128275667E-12</v>
      </c>
      <c r="AD20" s="2">
        <f t="shared" si="6"/>
        <v>1.52587890625E-5</v>
      </c>
      <c r="AF20" s="2">
        <v>16</v>
      </c>
      <c r="AG20" s="2">
        <f t="shared" si="13"/>
        <v>1548.0499267578125</v>
      </c>
      <c r="AH20" s="2">
        <v>-7.0433997500913392E-2</v>
      </c>
      <c r="AI20" s="2">
        <f t="shared" si="14"/>
        <v>1548.33984375</v>
      </c>
      <c r="AJ20" s="2">
        <v>0.10157217314224454</v>
      </c>
      <c r="AK20" s="2">
        <f t="shared" si="9"/>
        <v>1548.1948852539062</v>
      </c>
      <c r="AL20" s="2">
        <v>1.556986416358086E-2</v>
      </c>
      <c r="AM20" s="2">
        <f t="shared" si="10"/>
        <v>-1.0966477735872152E-3</v>
      </c>
      <c r="AN20" s="2">
        <f t="shared" si="11"/>
        <v>1.5814649386244636E-3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40.2523797763698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0.97026824951171875</v>
      </c>
      <c r="W21" s="2">
        <f t="shared" si="0"/>
        <v>1.469710796397905E-6</v>
      </c>
      <c r="X21" s="2">
        <f t="shared" si="8"/>
        <v>0.97027587890625</v>
      </c>
      <c r="Y21" s="2">
        <f t="shared" si="1"/>
        <v>-6.3077875834816055E-6</v>
      </c>
      <c r="Z21" s="2">
        <f t="shared" si="3"/>
        <v>0.97027206420898438</v>
      </c>
      <c r="AA21" s="2">
        <f t="shared" si="2"/>
        <v>-2.4190386814781917E-6</v>
      </c>
      <c r="AB21" s="2">
        <f t="shared" si="4"/>
        <v>-3.5552872670726511E-12</v>
      </c>
      <c r="AC21" s="2">
        <f t="shared" si="5"/>
        <v>1.5258782158989851E-11</v>
      </c>
      <c r="AD21" s="2">
        <f t="shared" si="6"/>
        <v>7.62939453125E-6</v>
      </c>
      <c r="AF21" s="2">
        <v>17</v>
      </c>
      <c r="AG21" s="2">
        <f t="shared" si="13"/>
        <v>1548.0499267578125</v>
      </c>
      <c r="AH21" s="2">
        <v>-7.0433997500913392E-2</v>
      </c>
      <c r="AI21" s="2">
        <f t="shared" si="14"/>
        <v>1548.1948852539062</v>
      </c>
      <c r="AJ21" s="2">
        <v>1.556986416358086E-2</v>
      </c>
      <c r="AK21" s="2">
        <f t="shared" si="9"/>
        <v>1548.1224060058594</v>
      </c>
      <c r="AL21" s="2">
        <v>-2.7432038408846893E-2</v>
      </c>
      <c r="AM21" s="2">
        <f t="shared" si="10"/>
        <v>1.9321481247336822E-3</v>
      </c>
      <c r="AN21" s="2">
        <f t="shared" si="11"/>
        <v>-4.2711311175587893E-4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87.997944160961779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0.97026824951171875</v>
      </c>
      <c r="W22" s="2">
        <f t="shared" si="0"/>
        <v>1.469710796397905E-6</v>
      </c>
      <c r="X22" s="2">
        <f t="shared" si="8"/>
        <v>0.97027206420898438</v>
      </c>
      <c r="Y22" s="2">
        <f t="shared" si="1"/>
        <v>-2.4190386814781917E-6</v>
      </c>
      <c r="Z22" s="2">
        <f t="shared" si="3"/>
        <v>0.97027015686035156</v>
      </c>
      <c r="AA22" s="2">
        <f t="shared" si="2"/>
        <v>-4.7466401453810647E-7</v>
      </c>
      <c r="AB22" s="2">
        <f t="shared" si="4"/>
        <v>-6.9761882682822722E-13</v>
      </c>
      <c r="AC22" s="2">
        <f t="shared" si="5"/>
        <v>1.1482306118734062E-12</v>
      </c>
      <c r="AD22" s="2">
        <f t="shared" si="6"/>
        <v>3.814697265625E-6</v>
      </c>
      <c r="AF22" s="2">
        <v>18</v>
      </c>
      <c r="AG22" s="2">
        <f t="shared" si="13"/>
        <v>1548.1224060058594</v>
      </c>
      <c r="AH22" s="2">
        <v>-2.7432038408846893E-2</v>
      </c>
      <c r="AI22" s="2">
        <f t="shared" si="14"/>
        <v>1548.1948852539062</v>
      </c>
      <c r="AJ22" s="2">
        <v>1.556986416358086E-2</v>
      </c>
      <c r="AK22" s="2">
        <f t="shared" si="9"/>
        <v>1548.1586456298828</v>
      </c>
      <c r="AL22" s="2">
        <v>-5.9309142337724552E-3</v>
      </c>
      <c r="AM22" s="2">
        <f t="shared" si="10"/>
        <v>1.6269706706042273E-4</v>
      </c>
      <c r="AN22" s="2">
        <f t="shared" si="11"/>
        <v>-9.2343528985685381E-5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18.175322058537631</v>
      </c>
      <c r="L23" s="6" t="s">
        <v>7</v>
      </c>
      <c r="N23" s="6" t="s">
        <v>30</v>
      </c>
      <c r="O23" s="6">
        <f xml:space="preserve"> O20 / ( $C$71 * PI() * $C$10^2 * O21^2 * $C$10^2)</f>
        <v>3.6954637693380046E-2</v>
      </c>
      <c r="U23" s="2">
        <v>19</v>
      </c>
      <c r="V23" s="2">
        <f t="shared" si="7"/>
        <v>0.97026824951171875</v>
      </c>
      <c r="W23" s="2">
        <f t="shared" si="0"/>
        <v>1.469710796397905E-6</v>
      </c>
      <c r="X23" s="2">
        <f t="shared" si="8"/>
        <v>0.97027015686035156</v>
      </c>
      <c r="Y23" s="2">
        <f t="shared" si="1"/>
        <v>-4.7466401453810647E-7</v>
      </c>
      <c r="Z23" s="2">
        <f t="shared" si="3"/>
        <v>0.97026920318603516</v>
      </c>
      <c r="AA23" s="2">
        <f t="shared" si="2"/>
        <v>4.9752337294428628E-7</v>
      </c>
      <c r="AB23" s="2">
        <f t="shared" si="4"/>
        <v>7.3121547267651893E-13</v>
      </c>
      <c r="AC23" s="2">
        <f t="shared" si="5"/>
        <v>-2.3615644152827445E-13</v>
      </c>
      <c r="AD23" s="2">
        <f t="shared" si="6"/>
        <v>1.9073486328125E-6</v>
      </c>
      <c r="AF23" s="2">
        <v>19</v>
      </c>
      <c r="AG23" s="2">
        <f t="shared" si="13"/>
        <v>1548.1586456298828</v>
      </c>
      <c r="AH23" s="2">
        <v>-5.9309142337724552E-3</v>
      </c>
      <c r="AI23" s="2">
        <f t="shared" si="14"/>
        <v>1548.1948852539062</v>
      </c>
      <c r="AJ23" s="2">
        <v>1.556986416358086E-2</v>
      </c>
      <c r="AK23" s="2">
        <f t="shared" si="9"/>
        <v>1548.1767654418945</v>
      </c>
      <c r="AL23" s="2">
        <v>4.8194850224945185E-3</v>
      </c>
      <c r="AM23" s="2">
        <f t="shared" si="10"/>
        <v>-2.85839523193659E-5</v>
      </c>
      <c r="AN23" s="2">
        <f t="shared" si="11"/>
        <v>7.5038727138652101E-5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7.0987564032251074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0.97026920318603516</v>
      </c>
      <c r="W24" s="2">
        <f t="shared" si="0"/>
        <v>4.9752337294428628E-7</v>
      </c>
      <c r="X24" s="2">
        <f t="shared" si="8"/>
        <v>0.97027015686035156</v>
      </c>
      <c r="Y24" s="2">
        <f t="shared" si="1"/>
        <v>-4.7466401453810647E-7</v>
      </c>
      <c r="Z24" s="2">
        <f t="shared" si="3"/>
        <v>0.97026968002319336</v>
      </c>
      <c r="AA24" s="2">
        <f t="shared" si="2"/>
        <v>1.1429674651175503E-8</v>
      </c>
      <c r="AB24" s="2">
        <f t="shared" si="4"/>
        <v>5.6865302841086452E-15</v>
      </c>
      <c r="AC24" s="2">
        <f t="shared" si="5"/>
        <v>-5.4252552547913962E-15</v>
      </c>
      <c r="AD24" s="2">
        <f t="shared" si="6"/>
        <v>9.5367431640625E-7</v>
      </c>
      <c r="AF24" s="2">
        <v>20</v>
      </c>
      <c r="AG24" s="2">
        <f t="shared" si="13"/>
        <v>1548.1586456298828</v>
      </c>
      <c r="AH24" s="2">
        <v>-5.9309142337724552E-3</v>
      </c>
      <c r="AI24" s="2">
        <f t="shared" si="14"/>
        <v>1548.1767654418945</v>
      </c>
      <c r="AJ24" s="2">
        <v>4.8194850224945185E-3</v>
      </c>
      <c r="AK24" s="2">
        <f t="shared" si="9"/>
        <v>1548.1677055358887</v>
      </c>
      <c r="AL24" s="2">
        <v>-5.557120913408653E-4</v>
      </c>
      <c r="AM24" s="2">
        <f t="shared" si="10"/>
        <v>3.2958807524129969E-6</v>
      </c>
      <c r="AN24" s="2">
        <f t="shared" si="11"/>
        <v>-2.6782461010364062E-6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16.022268564406193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0.97026968002319336</v>
      </c>
      <c r="W25" s="2">
        <f t="shared" si="0"/>
        <v>1.1429674651175503E-8</v>
      </c>
      <c r="X25" s="2">
        <f t="shared" si="8"/>
        <v>0.97027015686035156</v>
      </c>
      <c r="Y25" s="2">
        <f t="shared" si="1"/>
        <v>-4.7466401453810647E-7</v>
      </c>
      <c r="Z25" s="2">
        <f t="shared" si="3"/>
        <v>0.97026991844177246</v>
      </c>
      <c r="AA25" s="2">
        <f t="shared" si="2"/>
        <v>-2.3161717110919966E-7</v>
      </c>
      <c r="AB25" s="2">
        <f t="shared" si="4"/>
        <v>-2.6473089094037985E-15</v>
      </c>
      <c r="AC25" s="2">
        <f t="shared" si="5"/>
        <v>1.0994033627465224E-13</v>
      </c>
      <c r="AD25" s="2">
        <f t="shared" si="6"/>
        <v>4.76837158203125E-7</v>
      </c>
      <c r="AF25" s="2">
        <v>21</v>
      </c>
      <c r="AG25" s="2">
        <f t="shared" si="13"/>
        <v>1548.1677055358887</v>
      </c>
      <c r="AH25" s="2">
        <v>-5.557120913408653E-4</v>
      </c>
      <c r="AI25" s="2">
        <f t="shared" si="14"/>
        <v>1548.1767654418945</v>
      </c>
      <c r="AJ25" s="2">
        <v>4.8194850224945185E-3</v>
      </c>
      <c r="AK25" s="2">
        <f t="shared" si="9"/>
        <v>1548.1722354888916</v>
      </c>
      <c r="AL25" s="2">
        <v>2.1317544344583439E-3</v>
      </c>
      <c r="AM25" s="2">
        <f t="shared" si="10"/>
        <v>-1.1846417149980098E-6</v>
      </c>
      <c r="AN25" s="2">
        <f t="shared" si="11"/>
        <v>1.027395856850826E-5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1896.7949319772417</v>
      </c>
      <c r="H26" s="6" t="s">
        <v>21</v>
      </c>
      <c r="J26" s="14" t="s">
        <v>65</v>
      </c>
      <c r="K26" s="6">
        <f xml:space="preserve"> $C$80 * (0.0268 * $C$5)</f>
        <v>33.192731630975707</v>
      </c>
      <c r="L26" s="6" t="s">
        <v>7</v>
      </c>
      <c r="N26" s="6" t="s">
        <v>32</v>
      </c>
      <c r="O26" s="17">
        <f>Z34</f>
        <v>0.97026969166472554</v>
      </c>
      <c r="U26" s="2">
        <v>22</v>
      </c>
      <c r="V26" s="2">
        <f t="shared" si="7"/>
        <v>0.97026968002319336</v>
      </c>
      <c r="W26" s="2">
        <f t="shared" si="0"/>
        <v>1.1429674651175503E-8</v>
      </c>
      <c r="X26" s="2">
        <f t="shared" si="8"/>
        <v>0.97026991844177246</v>
      </c>
      <c r="Y26" s="2">
        <f t="shared" si="1"/>
        <v>-2.3161717110919966E-7</v>
      </c>
      <c r="Z26" s="2">
        <f t="shared" si="3"/>
        <v>0.97026979923248291</v>
      </c>
      <c r="AA26" s="2">
        <f t="shared" si="2"/>
        <v>-1.1009374845105668E-7</v>
      </c>
      <c r="AB26" s="2">
        <f t="shared" si="4"/>
        <v>-1.2583357259239348E-15</v>
      </c>
      <c r="AC26" s="2">
        <f t="shared" si="5"/>
        <v>2.5499602573041582E-14</v>
      </c>
      <c r="AD26" s="2">
        <f t="shared" si="6"/>
        <v>2.384185791015625E-7</v>
      </c>
      <c r="AF26" s="2">
        <v>22</v>
      </c>
      <c r="AG26" s="2">
        <f t="shared" si="13"/>
        <v>1548.1677055358887</v>
      </c>
      <c r="AH26" s="2">
        <v>-5.557120913408653E-4</v>
      </c>
      <c r="AI26" s="2">
        <f t="shared" si="14"/>
        <v>1548.1722354888916</v>
      </c>
      <c r="AJ26" s="2">
        <v>2.1317544344583439E-3</v>
      </c>
      <c r="AK26" s="2">
        <f t="shared" si="9"/>
        <v>1548.1699705123901</v>
      </c>
      <c r="AL26" s="2">
        <v>7.8788866881041031E-4</v>
      </c>
      <c r="AM26" s="2">
        <f t="shared" si="10"/>
        <v>-4.3783925988840349E-7</v>
      </c>
      <c r="AN26" s="2">
        <f t="shared" si="11"/>
        <v>1.6795851635960737E-6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25.98815936754815</v>
      </c>
      <c r="H27" t="s">
        <v>97</v>
      </c>
      <c r="J27" s="14" t="s">
        <v>66</v>
      </c>
      <c r="K27" s="6">
        <f xml:space="preserve"> $C$80 * (11.5 * ($C$5*2.20462/1000)^0.4 * 0.453592)</f>
        <v>6.8188948932638924</v>
      </c>
      <c r="L27" s="6" t="s">
        <v>7</v>
      </c>
      <c r="N27" s="6" t="s">
        <v>33</v>
      </c>
      <c r="O27" s="6">
        <f xml:space="preserve"> O21 * $C$10 * O26 - $C$7 * SIN(O19/180*PI())</f>
        <v>1.3323577982293955</v>
      </c>
      <c r="P27" s="6" t="s">
        <v>10</v>
      </c>
      <c r="U27" s="2">
        <v>23</v>
      </c>
      <c r="V27" s="2">
        <f t="shared" si="7"/>
        <v>0.97026968002319336</v>
      </c>
      <c r="W27" s="2">
        <f t="shared" si="0"/>
        <v>1.1429674651175503E-8</v>
      </c>
      <c r="X27" s="2">
        <f t="shared" si="8"/>
        <v>0.97026979923248291</v>
      </c>
      <c r="Y27" s="2">
        <f t="shared" si="1"/>
        <v>-1.1009374845105668E-7</v>
      </c>
      <c r="Z27" s="2">
        <f t="shared" si="3"/>
        <v>0.97026973962783813</v>
      </c>
      <c r="AA27" s="2">
        <f t="shared" si="2"/>
        <v>-4.9332037010962893E-8</v>
      </c>
      <c r="AB27" s="2">
        <f t="shared" si="4"/>
        <v>-5.6384913291505427E-16</v>
      </c>
      <c r="AC27" s="2">
        <f t="shared" si="5"/>
        <v>5.4311488732631666E-15</v>
      </c>
      <c r="AD27" s="2">
        <f t="shared" si="6"/>
        <v>1.1920928955078125E-7</v>
      </c>
      <c r="AF27" s="2">
        <v>23</v>
      </c>
      <c r="AG27" s="2">
        <f t="shared" si="13"/>
        <v>1548.1677055358887</v>
      </c>
      <c r="AH27" s="2">
        <v>-5.557120913408653E-4</v>
      </c>
      <c r="AI27" s="2">
        <f t="shared" si="14"/>
        <v>1548.1699705123901</v>
      </c>
      <c r="AJ27" s="2">
        <v>7.8788866881041031E-4</v>
      </c>
      <c r="AK27" s="2">
        <f t="shared" si="9"/>
        <v>1548.1688380241394</v>
      </c>
      <c r="AL27" s="2">
        <v>1.160883278998881E-4</v>
      </c>
      <c r="AM27" s="2">
        <f t="shared" si="10"/>
        <v>-6.4511687477510938E-8</v>
      </c>
      <c r="AN27" s="2">
        <f t="shared" si="11"/>
        <v>9.1464678133469247E-8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7.4465087688670817</v>
      </c>
      <c r="H28" s="6" t="s">
        <v>172</v>
      </c>
      <c r="J28" s="14" t="s">
        <v>67</v>
      </c>
      <c r="K28" s="6">
        <f xml:space="preserve"> $C$80 * (8 * ($C$5/1000))</f>
        <v>9.9082780987987196</v>
      </c>
      <c r="L28" s="6" t="s">
        <v>7</v>
      </c>
      <c r="N28" s="6" t="s">
        <v>34</v>
      </c>
      <c r="O28" s="6">
        <f xml:space="preserve"> 1/$C$31 - O25 * SQRT( (2*$C$71*PI()*$C$10^2) / O20^3 )</f>
        <v>1.1390257516412321</v>
      </c>
      <c r="U28" s="2">
        <v>24</v>
      </c>
      <c r="V28" s="2">
        <f t="shared" si="7"/>
        <v>0.97026968002319336</v>
      </c>
      <c r="W28" s="2">
        <f t="shared" si="0"/>
        <v>1.1429674651175503E-8</v>
      </c>
      <c r="X28" s="2">
        <f t="shared" si="8"/>
        <v>0.97026973962783813</v>
      </c>
      <c r="Y28" s="2">
        <f t="shared" si="1"/>
        <v>-4.9332037010962893E-8</v>
      </c>
      <c r="Z28" s="2">
        <f t="shared" si="3"/>
        <v>0.97026970982551575</v>
      </c>
      <c r="AA28" s="2">
        <f t="shared" si="2"/>
        <v>-1.8951181179893695E-8</v>
      </c>
      <c r="AB28" s="2">
        <f t="shared" si="4"/>
        <v>-2.1660583514166521E-16</v>
      </c>
      <c r="AC28" s="2">
        <f t="shared" si="5"/>
        <v>9.3490037136797908E-16</v>
      </c>
      <c r="AD28" s="2">
        <f t="shared" si="6"/>
        <v>5.9604644775390625E-8</v>
      </c>
      <c r="AF28" s="2">
        <v>24</v>
      </c>
      <c r="AG28" s="2">
        <f t="shared" si="13"/>
        <v>1548.1677055358887</v>
      </c>
      <c r="AH28" s="2">
        <v>-5.557120913408653E-4</v>
      </c>
      <c r="AI28" s="2">
        <f t="shared" si="14"/>
        <v>1548.1688380241394</v>
      </c>
      <c r="AJ28" s="2">
        <v>1.160883278998881E-4</v>
      </c>
      <c r="AK28" s="2">
        <f t="shared" si="9"/>
        <v>1548.168271780014</v>
      </c>
      <c r="AL28" s="2">
        <v>-2.1994453175011586E-4</v>
      </c>
      <c r="AM28" s="2">
        <f t="shared" si="10"/>
        <v>1.2222583571784423E-7</v>
      </c>
      <c r="AN28" s="2">
        <f t="shared" si="11"/>
        <v>-2.5532992921594798E-8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207.9052749403852</v>
      </c>
      <c r="H29" s="22" t="s">
        <v>97</v>
      </c>
      <c r="J29" s="14" t="s">
        <v>68</v>
      </c>
      <c r="K29" s="6">
        <f xml:space="preserve"> $C$80 * (13 * ($C$5*2.20462/1000)^1.3 * 0.453592)</f>
        <v>23.269993881649697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0.97026968002319336</v>
      </c>
      <c r="W29" s="2">
        <f t="shared" si="0"/>
        <v>1.1429674651175503E-8</v>
      </c>
      <c r="X29" s="2">
        <f t="shared" si="8"/>
        <v>0.97026970982551575</v>
      </c>
      <c r="Y29" s="2">
        <f t="shared" si="1"/>
        <v>-1.8951181179893695E-8</v>
      </c>
      <c r="Z29" s="2">
        <f t="shared" si="3"/>
        <v>0.97026969492435455</v>
      </c>
      <c r="AA29" s="2">
        <f t="shared" si="2"/>
        <v>-3.7607532643590957E-9</v>
      </c>
      <c r="AB29" s="2">
        <f t="shared" si="4"/>
        <v>-4.2984186254970682E-17</v>
      </c>
      <c r="AC29" s="2">
        <f t="shared" si="5"/>
        <v>7.1270716485745872E-17</v>
      </c>
      <c r="AD29" s="2">
        <f t="shared" si="6"/>
        <v>2.9802322387695312E-8</v>
      </c>
      <c r="AF29" s="2">
        <v>25</v>
      </c>
      <c r="AG29" s="2">
        <f t="shared" si="13"/>
        <v>1548.168271780014</v>
      </c>
      <c r="AH29" s="2">
        <v>-2.1994453175011586E-4</v>
      </c>
      <c r="AI29" s="2">
        <f t="shared" si="14"/>
        <v>1548.1688380241394</v>
      </c>
      <c r="AJ29" s="2">
        <v>1.160883278998881E-4</v>
      </c>
      <c r="AK29" s="2">
        <f t="shared" si="9"/>
        <v>1548.1685549020767</v>
      </c>
      <c r="AL29" s="2">
        <v>-5.1928099082942936E-5</v>
      </c>
      <c r="AM29" s="2">
        <f t="shared" si="10"/>
        <v>1.1421301437471505E-8</v>
      </c>
      <c r="AN29" s="2">
        <f t="shared" si="11"/>
        <v>-6.0282461935585578E-9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-1.1253380046127859E-4</v>
      </c>
      <c r="L30" s="9" t="s">
        <v>7</v>
      </c>
      <c r="N30" s="6" t="s">
        <v>36</v>
      </c>
      <c r="O30" s="6">
        <f xml:space="preserve"> 1/$C$77 * LN( EXP($C$77 * O28) + EXP($C$77 * O29) )</f>
        <v>1.168067384756015</v>
      </c>
      <c r="U30" s="2">
        <v>26</v>
      </c>
      <c r="V30" s="2">
        <f>IF(AB29&gt;0, Z29, V29)</f>
        <v>0.97026968002319336</v>
      </c>
      <c r="W30" s="2">
        <f t="shared" si="0"/>
        <v>1.1429674651175503E-8</v>
      </c>
      <c r="X30" s="2">
        <f t="shared" si="8"/>
        <v>0.97026969492435455</v>
      </c>
      <c r="Y30" s="2">
        <f t="shared" si="1"/>
        <v>-3.7607532643590957E-9</v>
      </c>
      <c r="Z30" s="2">
        <f t="shared" si="3"/>
        <v>0.97026968747377396</v>
      </c>
      <c r="AA30" s="2">
        <f t="shared" si="2"/>
        <v>3.834460748919355E-9</v>
      </c>
      <c r="AB30" s="2">
        <f t="shared" si="4"/>
        <v>4.3826638822850987E-17</v>
      </c>
      <c r="AC30" s="2">
        <f t="shared" si="5"/>
        <v>-1.4420460778555287E-17</v>
      </c>
      <c r="AD30" s="2">
        <f t="shared" si="6"/>
        <v>1.4901161193847656E-8</v>
      </c>
      <c r="AF30" s="2">
        <v>26</v>
      </c>
      <c r="AG30" s="2">
        <f t="shared" si="13"/>
        <v>1548.1685549020767</v>
      </c>
      <c r="AH30" s="2">
        <v>-5.1928099082942936E-5</v>
      </c>
      <c r="AI30" s="2">
        <f t="shared" si="14"/>
        <v>1548.1688380241394</v>
      </c>
      <c r="AJ30" s="2">
        <v>1.160883278998881E-4</v>
      </c>
      <c r="AK30" s="2">
        <f t="shared" si="9"/>
        <v>1548.1686964631081</v>
      </c>
      <c r="AL30" s="2">
        <v>3.1947455340741726E-5</v>
      </c>
      <c r="AM30" s="2">
        <f t="shared" si="10"/>
        <v>-1.6589706263819308E-9</v>
      </c>
      <c r="AN30" s="2">
        <f t="shared" si="11"/>
        <v>3.7087266711630566E-9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0.97026968747377396</v>
      </c>
      <c r="W31" s="2">
        <f t="shared" si="0"/>
        <v>3.834460748919355E-9</v>
      </c>
      <c r="X31" s="2">
        <f t="shared" si="8"/>
        <v>0.97026969492435455</v>
      </c>
      <c r="Y31" s="2">
        <f t="shared" si="1"/>
        <v>-3.7607532643590957E-9</v>
      </c>
      <c r="Z31" s="2">
        <f t="shared" si="3"/>
        <v>0.97026969119906425</v>
      </c>
      <c r="AA31" s="2">
        <f t="shared" si="2"/>
        <v>3.6853742280129609E-11</v>
      </c>
      <c r="AB31" s="2">
        <f t="shared" si="4"/>
        <v>1.4131422822394668E-19</v>
      </c>
      <c r="AC31" s="2">
        <f t="shared" si="5"/>
        <v>-1.3859783158384625E-19</v>
      </c>
      <c r="AD31" s="2">
        <f t="shared" si="6"/>
        <v>7.4505805969238281E-9</v>
      </c>
      <c r="AF31" s="2">
        <v>27</v>
      </c>
      <c r="AG31" s="2">
        <f t="shared" si="13"/>
        <v>1548.1685549020767</v>
      </c>
      <c r="AH31" s="2">
        <v>-5.1928099082942936E-5</v>
      </c>
      <c r="AI31" s="2">
        <f t="shared" si="14"/>
        <v>1548.1686964631081</v>
      </c>
      <c r="AJ31" s="2">
        <v>3.1947455340741726E-5</v>
      </c>
      <c r="AK31" s="2">
        <f t="shared" si="9"/>
        <v>1548.1686256825924</v>
      </c>
      <c r="AL31" s="2">
        <v>-9.8576622349355603E-6</v>
      </c>
      <c r="AM31" s="2">
        <f t="shared" si="10"/>
        <v>5.1188966126191853E-10</v>
      </c>
      <c r="AN31" s="2">
        <f t="shared" si="11"/>
        <v>-3.1492722401472006E-10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0.97026969119906425</v>
      </c>
      <c r="W32" s="2">
        <f t="shared" si="0"/>
        <v>3.6853742280129609E-11</v>
      </c>
      <c r="X32" s="2">
        <f t="shared" si="8"/>
        <v>0.97026969492435455</v>
      </c>
      <c r="Y32" s="2">
        <f t="shared" si="1"/>
        <v>-3.7607532643590957E-9</v>
      </c>
      <c r="Z32" s="2">
        <f t="shared" si="3"/>
        <v>0.9702696930617094</v>
      </c>
      <c r="AA32" s="2">
        <f t="shared" si="2"/>
        <v>-1.8619498165506343E-9</v>
      </c>
      <c r="AB32" s="2">
        <f t="shared" si="4"/>
        <v>-6.861981867769168E-20</v>
      </c>
      <c r="AC32" s="2">
        <f t="shared" si="5"/>
        <v>7.0023338506656174E-18</v>
      </c>
      <c r="AD32" s="2">
        <f t="shared" si="6"/>
        <v>3.7252902984619141E-9</v>
      </c>
      <c r="AF32" s="2">
        <v>28</v>
      </c>
      <c r="AG32" s="2">
        <f t="shared" si="13"/>
        <v>1548.1686256825924</v>
      </c>
      <c r="AH32" s="2">
        <v>-9.8576622349355603E-6</v>
      </c>
      <c r="AI32" s="2">
        <f t="shared" si="14"/>
        <v>1548.1686964631081</v>
      </c>
      <c r="AJ32" s="2">
        <v>3.1947455340741726E-5</v>
      </c>
      <c r="AK32" s="2">
        <f t="shared" si="9"/>
        <v>1548.1686610728502</v>
      </c>
      <c r="AL32" s="2">
        <v>1.1177556416441803E-5</v>
      </c>
      <c r="AM32" s="2">
        <f t="shared" si="10"/>
        <v>-1.1018457576522001E-10</v>
      </c>
      <c r="AN32" s="2">
        <f t="shared" si="11"/>
        <v>3.570944844328956E-10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103.54111171864055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0.97026969119906425</v>
      </c>
      <c r="W33" s="2">
        <f t="shared" si="0"/>
        <v>3.6853742280129609E-11</v>
      </c>
      <c r="X33" s="2">
        <f t="shared" si="8"/>
        <v>0.9702696930617094</v>
      </c>
      <c r="Y33" s="2">
        <f t="shared" si="1"/>
        <v>-1.8619498165506343E-9</v>
      </c>
      <c r="Z33" s="2">
        <f t="shared" si="3"/>
        <v>0.97026969213038683</v>
      </c>
      <c r="AA33" s="2">
        <f t="shared" si="2"/>
        <v>-9.1254803713525234E-10</v>
      </c>
      <c r="AB33" s="2">
        <f t="shared" si="4"/>
        <v>-3.3630810178820734E-20</v>
      </c>
      <c r="AC33" s="2">
        <f t="shared" si="5"/>
        <v>1.6991186503376245E-18</v>
      </c>
      <c r="AD33" s="2">
        <f t="shared" si="6"/>
        <v>1.862645149230957E-9</v>
      </c>
      <c r="AF33" s="2">
        <v>29</v>
      </c>
      <c r="AG33" s="2">
        <f t="shared" si="13"/>
        <v>1548.1686256825924</v>
      </c>
      <c r="AH33" s="2">
        <v>-9.8576622349355603E-6</v>
      </c>
      <c r="AI33" s="2">
        <f t="shared" si="14"/>
        <v>1548.1686610728502</v>
      </c>
      <c r="AJ33" s="2">
        <v>1.1177556416441803E-5</v>
      </c>
      <c r="AK33" s="2">
        <f t="shared" si="9"/>
        <v>1548.1686433777213</v>
      </c>
      <c r="AL33" s="2">
        <v>6.5994731812679674E-7</v>
      </c>
      <c r="AM33" s="2">
        <f t="shared" si="10"/>
        <v>-6.5055377549455284E-12</v>
      </c>
      <c r="AN33" s="2">
        <f t="shared" si="11"/>
        <v>7.3765983802417367E-12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38.76</v>
      </c>
      <c r="L34" s="6" t="s">
        <v>59</v>
      </c>
      <c r="U34" s="2">
        <v>30</v>
      </c>
      <c r="V34" s="2">
        <f t="shared" si="7"/>
        <v>0.97026969119906425</v>
      </c>
      <c r="W34" s="2">
        <f t="shared" si="0"/>
        <v>3.6853742280129609E-11</v>
      </c>
      <c r="X34" s="2">
        <f t="shared" si="8"/>
        <v>0.97026969213038683</v>
      </c>
      <c r="Y34" s="2">
        <f t="shared" si="1"/>
        <v>-9.1254803713525234E-10</v>
      </c>
      <c r="Z34" s="2">
        <f t="shared" si="3"/>
        <v>0.97026969166472554</v>
      </c>
      <c r="AA34" s="2">
        <f t="shared" si="2"/>
        <v>-4.378472029387126E-10</v>
      </c>
      <c r="AB34" s="2">
        <f t="shared" si="4"/>
        <v>-1.6136307975178922E-20</v>
      </c>
      <c r="AC34" s="2">
        <f t="shared" si="5"/>
        <v>3.9955660560688267E-19</v>
      </c>
      <c r="AD34" s="2">
        <f t="shared" si="6"/>
        <v>9.3132257461547852E-10</v>
      </c>
      <c r="AF34" s="2">
        <v>30</v>
      </c>
      <c r="AG34" s="2">
        <f t="shared" si="13"/>
        <v>1548.1686256825924</v>
      </c>
      <c r="AH34" s="2">
        <v>-9.8576622349355603E-6</v>
      </c>
      <c r="AI34" s="2">
        <f t="shared" si="14"/>
        <v>1548.1686433777213</v>
      </c>
      <c r="AJ34" s="2">
        <v>6.5994731812679674E-7</v>
      </c>
      <c r="AK34" s="2">
        <f t="shared" si="9"/>
        <v>1548.1686345301569</v>
      </c>
      <c r="AL34" s="2">
        <v>-4.5988574584043818E-6</v>
      </c>
      <c r="AM34" s="2">
        <f t="shared" si="10"/>
        <v>4.5333983491564608E-11</v>
      </c>
      <c r="AN34" s="2">
        <f t="shared" si="11"/>
        <v>-3.0350036461213885E-12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16.46</v>
      </c>
      <c r="L35" s="6" t="s">
        <v>59</v>
      </c>
      <c r="AF35" s="2">
        <v>31</v>
      </c>
      <c r="AG35" s="2">
        <f t="shared" si="13"/>
        <v>1548.1686345301569</v>
      </c>
      <c r="AH35" s="2">
        <v>-4.5988574584043818E-6</v>
      </c>
      <c r="AI35" s="2">
        <f t="shared" si="14"/>
        <v>1548.1686433777213</v>
      </c>
      <c r="AJ35" s="2">
        <v>6.5994731812679674E-7</v>
      </c>
      <c r="AK35" s="2">
        <f t="shared" si="9"/>
        <v>1548.1686389539391</v>
      </c>
      <c r="AL35" s="2">
        <v>-1.969455297512468E-6</v>
      </c>
      <c r="AM35" s="2">
        <f t="shared" si="10"/>
        <v>9.0572441839592339E-12</v>
      </c>
      <c r="AN35" s="2">
        <f t="shared" si="11"/>
        <v>-1.2997367417639658E-12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15.91</v>
      </c>
      <c r="L36" s="6" t="s">
        <v>59</v>
      </c>
      <c r="AF36" s="2">
        <v>32</v>
      </c>
      <c r="AG36" s="2">
        <f t="shared" si="13"/>
        <v>1548.1686389539391</v>
      </c>
      <c r="AH36" s="2">
        <v>-1.969455297512468E-6</v>
      </c>
      <c r="AI36" s="2">
        <f t="shared" si="14"/>
        <v>1548.1686433777213</v>
      </c>
      <c r="AJ36" s="2">
        <v>6.5994731812679674E-7</v>
      </c>
      <c r="AK36" s="2">
        <f t="shared" si="9"/>
        <v>1548.1686411658302</v>
      </c>
      <c r="AL36" s="2">
        <v>-6.547539896928356E-7</v>
      </c>
      <c r="AM36" s="2">
        <f t="shared" si="10"/>
        <v>1.2895087135679789E-12</v>
      </c>
      <c r="AN36" s="2">
        <f t="shared" si="11"/>
        <v>-4.3210313953060717E-13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24.15</v>
      </c>
      <c r="L37" s="6" t="s">
        <v>59</v>
      </c>
      <c r="AF37" s="2">
        <v>33</v>
      </c>
      <c r="AG37" s="2">
        <f t="shared" si="13"/>
        <v>1548.1686411658302</v>
      </c>
      <c r="AH37" s="2">
        <v>-6.547539896928356E-7</v>
      </c>
      <c r="AI37" s="2">
        <f t="shared" si="14"/>
        <v>1548.1686433777213</v>
      </c>
      <c r="AJ37" s="2">
        <v>6.5994731812679674E-7</v>
      </c>
      <c r="AK37" s="2">
        <f t="shared" si="9"/>
        <v>1548.1686422717758</v>
      </c>
      <c r="AL37" s="2">
        <v>2.5962663130485453E-9</v>
      </c>
      <c r="AM37" s="2">
        <f t="shared" si="10"/>
        <v>-1.6999157267736435E-15</v>
      </c>
      <c r="AN37" s="2">
        <f t="shared" si="11"/>
        <v>1.713398990439334E-15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4.7300000000000004</v>
      </c>
      <c r="L38" s="6" t="s">
        <v>59</v>
      </c>
      <c r="AF38" s="2">
        <v>34</v>
      </c>
      <c r="AG38" s="2">
        <f t="shared" si="13"/>
        <v>1548.1686411658302</v>
      </c>
      <c r="AH38" s="2">
        <v>-6.547539896928356E-7</v>
      </c>
      <c r="AI38" s="2">
        <f t="shared" si="14"/>
        <v>1548.1686422717758</v>
      </c>
      <c r="AJ38" s="2">
        <v>2.5962663130485453E-9</v>
      </c>
      <c r="AK38" s="2">
        <f t="shared" si="9"/>
        <v>1548.168641718803</v>
      </c>
      <c r="AL38" s="2">
        <v>-3.2607874800305581E-7</v>
      </c>
      <c r="AM38" s="2">
        <f t="shared" si="10"/>
        <v>2.1350136120904554E-13</v>
      </c>
      <c r="AN38" s="2">
        <f t="shared" si="11"/>
        <v>-8.4658726884137939E-16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1548.168641718803</v>
      </c>
      <c r="AH39" s="2">
        <v>-3.2607874800305581E-7</v>
      </c>
      <c r="AI39" s="2">
        <f t="shared" si="14"/>
        <v>1548.1686422717758</v>
      </c>
      <c r="AJ39" s="2">
        <v>2.5962663130485453E-9</v>
      </c>
      <c r="AK39" s="2">
        <f t="shared" si="9"/>
        <v>1548.1686419952894</v>
      </c>
      <c r="AL39" s="2">
        <v>-1.6174124084500363E-7</v>
      </c>
      <c r="AM39" s="2">
        <f t="shared" si="10"/>
        <v>5.2740381315199496E-14</v>
      </c>
      <c r="AN39" s="2">
        <f t="shared" si="11"/>
        <v>-4.1992333503655435E-16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1548.1686419952894</v>
      </c>
      <c r="AH40" s="2">
        <v>-1.6174124084500363E-7</v>
      </c>
      <c r="AI40" s="2">
        <f t="shared" si="14"/>
        <v>1548.1686422717758</v>
      </c>
      <c r="AJ40" s="2">
        <v>2.5962663130485453E-9</v>
      </c>
      <c r="AK40" s="2">
        <f t="shared" si="9"/>
        <v>1548.1686421335326</v>
      </c>
      <c r="AL40" s="2">
        <v>-7.95722598923021E-8</v>
      </c>
      <c r="AM40" s="2">
        <f t="shared" si="10"/>
        <v>1.2870116051822057E-14</v>
      </c>
      <c r="AN40" s="2">
        <f t="shared" si="11"/>
        <v>-2.0659077781152781E-16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1548.1686421335326</v>
      </c>
      <c r="AH41" s="2">
        <v>-7.95722598923021E-8</v>
      </c>
      <c r="AI41" s="2">
        <f t="shared" si="14"/>
        <v>1548.1686422717758</v>
      </c>
      <c r="AJ41" s="2">
        <v>2.5962663130485453E-9</v>
      </c>
      <c r="AK41" s="2">
        <f t="shared" si="9"/>
        <v>1548.1686422026542</v>
      </c>
      <c r="AL41" s="2">
        <v>-3.8487883102789056E-8</v>
      </c>
      <c r="AM41" s="2">
        <f t="shared" si="10"/>
        <v>3.0625678369596733E-15</v>
      </c>
      <c r="AN41" s="2">
        <f t="shared" si="11"/>
        <v>-9.9924794360321546E-17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1548.1686422026542</v>
      </c>
      <c r="AH42" s="2">
        <v>-3.8487883102789056E-8</v>
      </c>
      <c r="AI42" s="2">
        <f t="shared" si="14"/>
        <v>1548.1686422717758</v>
      </c>
      <c r="AJ42" s="2">
        <v>2.5962663130485453E-9</v>
      </c>
      <c r="AK42" s="2">
        <f t="shared" si="9"/>
        <v>1548.168642237215</v>
      </c>
      <c r="AL42" s="2">
        <v>-1.7945694708032534E-8</v>
      </c>
      <c r="AM42" s="2">
        <f t="shared" si="10"/>
        <v>6.9069180012109632E-16</v>
      </c>
      <c r="AN42" s="2">
        <f t="shared" si="11"/>
        <v>-4.6591802634718416E-17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254.87</v>
      </c>
      <c r="L43" s="6" t="s">
        <v>7</v>
      </c>
      <c r="AF43" s="2">
        <v>39</v>
      </c>
      <c r="AG43" s="2">
        <f t="shared" si="13"/>
        <v>1548.168642237215</v>
      </c>
      <c r="AH43" s="2">
        <v>-1.7945694708032534E-8</v>
      </c>
      <c r="AI43" s="2">
        <f t="shared" si="14"/>
        <v>1548.1686422717758</v>
      </c>
      <c r="AJ43" s="2">
        <v>2.5962663130485453E-9</v>
      </c>
      <c r="AK43" s="2">
        <f t="shared" si="9"/>
        <v>1548.1686422544954</v>
      </c>
      <c r="AL43" s="2">
        <v>-7.6746573540731333E-9</v>
      </c>
      <c r="AM43" s="2">
        <f t="shared" si="10"/>
        <v>1.3772705786495319E-16</v>
      </c>
      <c r="AN43" s="2">
        <f t="shared" si="11"/>
        <v>-1.9925454352570358E-17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246.26</v>
      </c>
      <c r="L44" s="6" t="s">
        <v>7</v>
      </c>
      <c r="AF44" s="2">
        <v>40</v>
      </c>
      <c r="AG44" s="2">
        <f t="shared" si="13"/>
        <v>1548.1686422544954</v>
      </c>
      <c r="AH44" s="2">
        <v>-7.6746573540731333E-9</v>
      </c>
      <c r="AI44" s="2">
        <f t="shared" si="14"/>
        <v>1548.1686422717758</v>
      </c>
      <c r="AJ44" s="2">
        <v>2.5962663130485453E-9</v>
      </c>
      <c r="AK44" s="5">
        <f t="shared" si="9"/>
        <v>1548.1686422631356</v>
      </c>
      <c r="AL44" s="2">
        <v>-2.5389681468368508E-9</v>
      </c>
      <c r="AM44" s="2">
        <f t="shared" si="10"/>
        <v>1.9485710559878872E-17</v>
      </c>
      <c r="AN44" s="2">
        <f t="shared" si="11"/>
        <v>-6.5918374695358081E-18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373.85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73.19</v>
      </c>
      <c r="L46" s="6" t="s">
        <v>7</v>
      </c>
    </row>
    <row r="47" spans="2:41" x14ac:dyDescent="0.2">
      <c r="J47" s="9" t="s">
        <v>60</v>
      </c>
      <c r="K47" s="9">
        <f>SUM(K42:K46)</f>
        <v>1548.17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0DB-BD57-AB47-BA24-1419F20343D5}">
  <dimension ref="B1:AO81"/>
  <sheetViews>
    <sheetView zoomScale="88" workbookViewId="0">
      <selection activeCell="I45" sqref="I4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324.05300296100711</v>
      </c>
      <c r="L4" s="6" t="s">
        <v>97</v>
      </c>
      <c r="N4" s="6" t="s">
        <v>131</v>
      </c>
      <c r="O4" s="6">
        <f xml:space="preserve"> $C$5 * $C$74</f>
        <v>14302.700255611478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1.1693934014154015</v>
      </c>
      <c r="X4" s="3">
        <v>1</v>
      </c>
      <c r="Y4" s="2">
        <f t="shared" ref="Y4:Y34" si="1" xml:space="preserve"> $O$22 * TAN($O$19/180*PI()) + $O$23 / (2 * SQRT($O$22^2 + X4^2)) - X4</f>
        <v>-3.0614929067268037E-2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0.48710662714884712</v>
      </c>
      <c r="AB4" s="2">
        <f>W4*AA4</f>
        <v>0.56961927557357406</v>
      </c>
      <c r="AC4" s="2">
        <f>Y4*AA4</f>
        <v>-1.4912734838358133E-2</v>
      </c>
      <c r="AD4" s="2">
        <f>X4-V4</f>
        <v>1</v>
      </c>
      <c r="AF4" s="2">
        <v>0</v>
      </c>
      <c r="AH4" s="2">
        <f>K30</f>
        <v>-2.6805453444467275E-5</v>
      </c>
      <c r="AJ4" s="2">
        <f>K30</f>
        <v>-2.6805453444467275E-5</v>
      </c>
      <c r="AL4" s="2">
        <f>K30</f>
        <v>-2.6805453444467275E-5</v>
      </c>
    </row>
    <row r="5" spans="2:41" x14ac:dyDescent="0.2">
      <c r="B5" s="9" t="s">
        <v>38</v>
      </c>
      <c r="C5" s="9">
        <v>1459.37676021988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40.506625370125889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0.48710662714884712</v>
      </c>
      <c r="X5" s="2">
        <f>IF(AC4&gt;0, Z4, X4)</f>
        <v>1</v>
      </c>
      <c r="Y5" s="2">
        <f t="shared" si="1"/>
        <v>-3.0614929067268037E-2</v>
      </c>
      <c r="Z5" s="2">
        <f t="shared" ref="Z5:Z34" si="3" xml:space="preserve"> (V5 + X5)/2</f>
        <v>0.75</v>
      </c>
      <c r="AA5" s="2">
        <f t="shared" si="2"/>
        <v>0.22535053557717866</v>
      </c>
      <c r="AB5" s="2">
        <f t="shared" ref="AB5:AB34" si="4">W5*AA5</f>
        <v>0.10976973931118578</v>
      </c>
      <c r="AC5" s="2">
        <f t="shared" ref="AC5:AC34" si="5">Y5*AA5</f>
        <v>-6.8990906619661868E-3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-611.6416850037532</v>
      </c>
      <c r="AI5" s="3">
        <v>10000</v>
      </c>
      <c r="AJ5" s="2">
        <f t="dataTable" ref="AJ5:AJ44" dt2D="0" dtr="0" r1="C5"/>
        <v>4362.9729261865705</v>
      </c>
      <c r="AK5" s="2">
        <f>(AG5+AI5)/2</f>
        <v>5250</v>
      </c>
      <c r="AL5" s="2">
        <f t="dataTable" ref="AL5:AL44" dt2D="0" dtr="0" r1="C5" ca="1"/>
        <v>2287.7549257444721</v>
      </c>
      <c r="AM5" s="2">
        <f>AH5*AL5</f>
        <v>-1399286.2776579852</v>
      </c>
      <c r="AN5" s="2">
        <f>AJ5*AL5</f>
        <v>9981412.8027730994</v>
      </c>
      <c r="AO5" s="2">
        <f>AI5-AG5</f>
        <v>9500</v>
      </c>
    </row>
    <row r="6" spans="2:41" x14ac:dyDescent="0.2">
      <c r="B6" s="6" t="s">
        <v>168</v>
      </c>
      <c r="C6" s="16">
        <v>419.57494698678801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152.58280634980915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0.16846313012341529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0.22535053557717866</v>
      </c>
      <c r="X6" s="2">
        <f t="shared" ref="X6:X34" si="8">IF(AC5&gt;0, Z5, X5)</f>
        <v>1</v>
      </c>
      <c r="Y6" s="2">
        <f t="shared" si="1"/>
        <v>-3.0614929067268037E-2</v>
      </c>
      <c r="Z6" s="2">
        <f t="shared" si="3"/>
        <v>0.875</v>
      </c>
      <c r="AA6" s="2">
        <f t="shared" si="2"/>
        <v>9.6947507831716684E-2</v>
      </c>
      <c r="AB6" s="2">
        <f t="shared" si="4"/>
        <v>2.1847172812750077E-2</v>
      </c>
      <c r="AC6" s="2">
        <f t="shared" si="5"/>
        <v>-2.9680410755164189E-3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-611.6416850037532</v>
      </c>
      <c r="AI6" s="2">
        <f>IF(AN5&gt;0,AK5,AI5)</f>
        <v>5250</v>
      </c>
      <c r="AJ6" s="2">
        <v>2287.7549257444721</v>
      </c>
      <c r="AK6" s="2">
        <f t="shared" ref="AK6:AK44" si="9">(AG6+AI6)/2</f>
        <v>2875</v>
      </c>
      <c r="AL6" s="2">
        <v>819.41865648416751</v>
      </c>
      <c r="AM6" s="2">
        <f t="shared" ref="AM6:AM44" si="10">AH6*AL6</f>
        <v>-501190.60777548782</v>
      </c>
      <c r="AN6" s="2">
        <f t="shared" ref="AN6:AN44" si="11">AJ6*AL6</f>
        <v>1874629.0676185717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1788.0085577112216</v>
      </c>
      <c r="H7" s="6" t="s">
        <v>21</v>
      </c>
      <c r="J7" s="6" t="s">
        <v>133</v>
      </c>
      <c r="K7" s="6">
        <f>K6/$C$28</f>
        <v>152.58280634980915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9.6947507831716684E-2</v>
      </c>
      <c r="X7" s="2">
        <f t="shared" si="8"/>
        <v>1</v>
      </c>
      <c r="Y7" s="2">
        <f t="shared" si="1"/>
        <v>-3.0614929067268037E-2</v>
      </c>
      <c r="Z7" s="2">
        <f t="shared" si="3"/>
        <v>0.9375</v>
      </c>
      <c r="AA7" s="2">
        <f t="shared" si="2"/>
        <v>3.3081879620411758E-2</v>
      </c>
      <c r="AB7" s="2">
        <f t="shared" si="4"/>
        <v>3.2072057835877774E-3</v>
      </c>
      <c r="AC7" s="2">
        <f t="shared" si="5"/>
        <v>-1.0127993979908061E-3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-611.6416850037532</v>
      </c>
      <c r="AI7" s="2">
        <f t="shared" ref="AI7:AI44" si="14">IF(AN6&gt;0,AK6,AI6)</f>
        <v>2875</v>
      </c>
      <c r="AJ7" s="2">
        <v>819.41865648416751</v>
      </c>
      <c r="AK7" s="2">
        <f t="shared" si="9"/>
        <v>1687.5</v>
      </c>
      <c r="AL7" s="2">
        <v>139.4727981061011</v>
      </c>
      <c r="AM7" s="2">
        <f t="shared" si="10"/>
        <v>-85307.377245803946</v>
      </c>
      <c r="AN7" s="2">
        <f t="shared" si="11"/>
        <v>114286.6128401889</v>
      </c>
      <c r="AO7" s="2">
        <f t="shared" si="12"/>
        <v>2375</v>
      </c>
    </row>
    <row r="8" spans="2:41" x14ac:dyDescent="0.2">
      <c r="B8" s="6" t="s">
        <v>91</v>
      </c>
      <c r="C8" s="16">
        <v>1.65820448767796</v>
      </c>
      <c r="D8" s="6" t="s">
        <v>8</v>
      </c>
      <c r="F8" t="s">
        <v>93</v>
      </c>
      <c r="G8" s="6">
        <f>G10/$C$21</f>
        <v>27.004416913417259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3.3081879620411758E-2</v>
      </c>
      <c r="X8" s="2">
        <f t="shared" si="8"/>
        <v>1</v>
      </c>
      <c r="Y8" s="2">
        <f t="shared" si="1"/>
        <v>-3.0614929067268037E-2</v>
      </c>
      <c r="Z8" s="2">
        <f t="shared" si="3"/>
        <v>0.96875</v>
      </c>
      <c r="AA8" s="2">
        <f t="shared" si="2"/>
        <v>1.2143842056799858E-3</v>
      </c>
      <c r="AB8" s="2">
        <f t="shared" si="4"/>
        <v>4.0174112105234647E-5</v>
      </c>
      <c r="AC8" s="2">
        <f t="shared" si="5"/>
        <v>-3.7178286317303405E-5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-611.6416850037532</v>
      </c>
      <c r="AI8" s="2">
        <f t="shared" si="14"/>
        <v>1687.5</v>
      </c>
      <c r="AJ8" s="2">
        <v>139.4727981061011</v>
      </c>
      <c r="AK8" s="2">
        <f t="shared" si="9"/>
        <v>1093.75</v>
      </c>
      <c r="AL8" s="2">
        <v>-229.07540926064462</v>
      </c>
      <c r="AM8" s="2">
        <f t="shared" si="10"/>
        <v>140112.06931310505</v>
      </c>
      <c r="AN8" s="2">
        <f t="shared" si="11"/>
        <v>-31949.788306882368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6.7552687996328409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1.8250480376239647E-2</v>
      </c>
      <c r="U9" s="2">
        <v>5</v>
      </c>
      <c r="V9" s="2">
        <f t="shared" si="7"/>
        <v>0.96875</v>
      </c>
      <c r="W9" s="2">
        <f t="shared" si="0"/>
        <v>1.2143842056799858E-3</v>
      </c>
      <c r="X9" s="2">
        <f t="shared" si="8"/>
        <v>1</v>
      </c>
      <c r="Y9" s="2">
        <f t="shared" si="1"/>
        <v>-3.0614929067268037E-2</v>
      </c>
      <c r="Z9" s="2">
        <f t="shared" si="3"/>
        <v>0.984375</v>
      </c>
      <c r="AA9" s="2">
        <f t="shared" si="2"/>
        <v>-1.4704821196868223E-2</v>
      </c>
      <c r="AB9" s="2">
        <f t="shared" si="4"/>
        <v>-1.7857302608825034E-5</v>
      </c>
      <c r="AC9" s="2">
        <f t="shared" si="5"/>
        <v>4.5018705788898013E-4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-229.07540926064462</v>
      </c>
      <c r="AI9" s="2">
        <f t="shared" si="14"/>
        <v>1687.5</v>
      </c>
      <c r="AJ9" s="2">
        <v>139.4727981061011</v>
      </c>
      <c r="AK9" s="2">
        <f t="shared" si="9"/>
        <v>1390.625</v>
      </c>
      <c r="AL9" s="2">
        <v>-42.569180156204311</v>
      </c>
      <c r="AM9" s="2">
        <f t="shared" si="10"/>
        <v>9751.5523661726147</v>
      </c>
      <c r="AN9" s="2">
        <f t="shared" si="11"/>
        <v>-5937.2426694685291</v>
      </c>
      <c r="AO9" s="2">
        <f t="shared" si="12"/>
        <v>593.75</v>
      </c>
    </row>
    <row r="10" spans="2:41" x14ac:dyDescent="0.2">
      <c r="B10" s="6" t="s">
        <v>134</v>
      </c>
      <c r="C10" s="16">
        <v>1.5981888185648001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216.03533530733807</v>
      </c>
      <c r="H10" s="22" t="s">
        <v>97</v>
      </c>
      <c r="J10" s="6" t="s">
        <v>92</v>
      </c>
      <c r="K10" s="6">
        <f xml:space="preserve"> $C$18 * (G10*G6 + G20*G13 + G29*G25 + G33*G32)/3600</f>
        <v>92.368234737610067</v>
      </c>
      <c r="L10" s="6" t="s">
        <v>98</v>
      </c>
      <c r="N10" s="6" t="s">
        <v>39</v>
      </c>
      <c r="O10" s="6">
        <f xml:space="preserve"> O5 * $C$12 * O9</f>
        <v>1241.4690996845673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1.2143842056799858E-3</v>
      </c>
      <c r="X10" s="2">
        <f t="shared" si="8"/>
        <v>0.984375</v>
      </c>
      <c r="Y10" s="2">
        <f t="shared" si="1"/>
        <v>-1.4704821196868223E-2</v>
      </c>
      <c r="Z10" s="2">
        <f t="shared" si="3"/>
        <v>0.9765625</v>
      </c>
      <c r="AA10" s="2">
        <f t="shared" si="2"/>
        <v>-6.7463825876880046E-3</v>
      </c>
      <c r="AB10" s="2">
        <f t="shared" si="4"/>
        <v>-8.1927004599627855E-6</v>
      </c>
      <c r="AC10" s="2">
        <f t="shared" si="5"/>
        <v>9.920434967761726E-5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-42.569180156204311</v>
      </c>
      <c r="AI10" s="2">
        <f t="shared" si="14"/>
        <v>1687.5</v>
      </c>
      <c r="AJ10" s="2">
        <v>139.4727981061011</v>
      </c>
      <c r="AK10" s="2">
        <f t="shared" si="9"/>
        <v>1539.0625</v>
      </c>
      <c r="AL10" s="2">
        <v>49.032162868685646</v>
      </c>
      <c r="AM10" s="2">
        <f t="shared" si="10"/>
        <v>-2087.2589746054309</v>
      </c>
      <c r="AN10" s="2">
        <f t="shared" si="11"/>
        <v>6838.6529524896596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0.89560985040758323</v>
      </c>
      <c r="U11" s="2">
        <v>7</v>
      </c>
      <c r="V11" s="2">
        <f t="shared" si="7"/>
        <v>0.96875</v>
      </c>
      <c r="W11" s="2">
        <f t="shared" si="0"/>
        <v>1.2143842056799858E-3</v>
      </c>
      <c r="X11" s="2">
        <f t="shared" si="8"/>
        <v>0.9765625</v>
      </c>
      <c r="Y11" s="2">
        <f t="shared" si="1"/>
        <v>-6.7463825876880046E-3</v>
      </c>
      <c r="Z11" s="2">
        <f t="shared" si="3"/>
        <v>0.97265625</v>
      </c>
      <c r="AA11" s="2">
        <f t="shared" si="2"/>
        <v>-2.7662936694160534E-3</v>
      </c>
      <c r="AB11" s="2">
        <f t="shared" si="4"/>
        <v>-3.3593433404113872E-6</v>
      </c>
      <c r="AC11" s="2">
        <f t="shared" si="5"/>
        <v>1.866247544378002E-5</v>
      </c>
      <c r="AD11" s="2">
        <f t="shared" si="6"/>
        <v>7.8125E-3</v>
      </c>
      <c r="AF11" s="2">
        <v>7</v>
      </c>
      <c r="AG11" s="2">
        <f t="shared" si="13"/>
        <v>1390.625</v>
      </c>
      <c r="AH11" s="2">
        <v>-42.569180156204311</v>
      </c>
      <c r="AI11" s="2">
        <f t="shared" si="14"/>
        <v>1539.0625</v>
      </c>
      <c r="AJ11" s="2">
        <v>49.032162868685646</v>
      </c>
      <c r="AK11" s="2">
        <f t="shared" si="9"/>
        <v>1464.84375</v>
      </c>
      <c r="AL11" s="2">
        <v>3.374508297477405</v>
      </c>
      <c r="AM11" s="2">
        <f t="shared" si="10"/>
        <v>-143.65005165392193</v>
      </c>
      <c r="AN11" s="2">
        <f t="shared" si="11"/>
        <v>165.45944044364325</v>
      </c>
      <c r="AO11" s="2">
        <f t="shared" si="12"/>
        <v>148.4375</v>
      </c>
    </row>
    <row r="12" spans="2:41" x14ac:dyDescent="0.2">
      <c r="B12" s="6" t="s">
        <v>135</v>
      </c>
      <c r="C12" s="16">
        <v>29.999999999999901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0.21025988517039848</v>
      </c>
      <c r="U12" s="2">
        <v>8</v>
      </c>
      <c r="V12" s="2">
        <f t="shared" si="7"/>
        <v>0.96875</v>
      </c>
      <c r="W12" s="2">
        <f t="shared" si="0"/>
        <v>1.2143842056799858E-3</v>
      </c>
      <c r="X12" s="2">
        <f t="shared" si="8"/>
        <v>0.97265625</v>
      </c>
      <c r="Y12" s="2">
        <f t="shared" si="1"/>
        <v>-2.7662936694160534E-3</v>
      </c>
      <c r="Z12" s="2">
        <f t="shared" si="3"/>
        <v>0.970703125</v>
      </c>
      <c r="AA12" s="2">
        <f t="shared" si="2"/>
        <v>-7.7602878936688935E-4</v>
      </c>
      <c r="AB12" s="2">
        <f t="shared" si="4"/>
        <v>-9.4239710496011094E-7</v>
      </c>
      <c r="AC12" s="2">
        <f t="shared" si="5"/>
        <v>2.1467235273102301E-6</v>
      </c>
      <c r="AD12" s="2">
        <f t="shared" si="6"/>
        <v>3.90625E-3</v>
      </c>
      <c r="AF12" s="2">
        <v>8</v>
      </c>
      <c r="AG12" s="2">
        <f t="shared" si="13"/>
        <v>1390.625</v>
      </c>
      <c r="AH12" s="2">
        <v>-42.569180156204311</v>
      </c>
      <c r="AI12" s="2">
        <f t="shared" si="14"/>
        <v>1464.84375</v>
      </c>
      <c r="AJ12" s="2">
        <v>3.374508297477405</v>
      </c>
      <c r="AK12" s="2">
        <f t="shared" si="9"/>
        <v>1427.734375</v>
      </c>
      <c r="AL12" s="2">
        <v>-19.561890822238865</v>
      </c>
      <c r="AM12" s="2">
        <f t="shared" si="10"/>
        <v>832.73365460788591</v>
      </c>
      <c r="AN12" s="2">
        <f t="shared" si="11"/>
        <v>-66.011762893992142</v>
      </c>
      <c r="AO12" s="2">
        <f t="shared" si="12"/>
        <v>74.21875</v>
      </c>
    </row>
    <row r="13" spans="2:41" x14ac:dyDescent="0.2">
      <c r="B13" s="6" t="s">
        <v>136</v>
      </c>
      <c r="C13" s="16">
        <v>5.1573690247195501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2.1297083647067797E-2</v>
      </c>
      <c r="U13" s="2">
        <v>9</v>
      </c>
      <c r="V13" s="2">
        <f t="shared" si="7"/>
        <v>0.96875</v>
      </c>
      <c r="W13" s="2">
        <f t="shared" si="0"/>
        <v>1.2143842056799858E-3</v>
      </c>
      <c r="X13" s="2">
        <f t="shared" si="8"/>
        <v>0.970703125</v>
      </c>
      <c r="Y13" s="2">
        <f t="shared" si="1"/>
        <v>-7.7602878936688935E-4</v>
      </c>
      <c r="Z13" s="2">
        <f t="shared" si="3"/>
        <v>0.9697265625</v>
      </c>
      <c r="AA13" s="2">
        <f t="shared" si="2"/>
        <v>2.1915913866610293E-4</v>
      </c>
      <c r="AB13" s="2">
        <f t="shared" si="4"/>
        <v>2.6614339652654528E-7</v>
      </c>
      <c r="AC13" s="2">
        <f t="shared" si="5"/>
        <v>-1.7007380105774608E-7</v>
      </c>
      <c r="AD13" s="2">
        <f t="shared" si="6"/>
        <v>1.953125E-3</v>
      </c>
      <c r="AF13" s="2">
        <v>9</v>
      </c>
      <c r="AG13" s="2">
        <f t="shared" si="13"/>
        <v>1427.734375</v>
      </c>
      <c r="AH13" s="2">
        <v>-19.561890822238865</v>
      </c>
      <c r="AI13" s="2">
        <f t="shared" si="14"/>
        <v>1464.84375</v>
      </c>
      <c r="AJ13" s="2">
        <v>3.374508297477405</v>
      </c>
      <c r="AK13" s="2">
        <f t="shared" si="9"/>
        <v>1446.2890625</v>
      </c>
      <c r="AL13" s="2">
        <v>-8.0847888098323892</v>
      </c>
      <c r="AM13" s="2">
        <f t="shared" si="10"/>
        <v>158.1537560187997</v>
      </c>
      <c r="AN13" s="2">
        <f t="shared" si="11"/>
        <v>-27.282186922131871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70.220877822712367</v>
      </c>
      <c r="H14" s="6" t="s">
        <v>10</v>
      </c>
      <c r="J14" s="9" t="s">
        <v>75</v>
      </c>
      <c r="K14" s="17">
        <f>C5</f>
        <v>1459.37676021988</v>
      </c>
      <c r="L14" s="6" t="s">
        <v>7</v>
      </c>
      <c r="N14" s="6" t="s">
        <v>40</v>
      </c>
      <c r="O14" s="6">
        <f xml:space="preserve"> O5 * O13 * $C$12</f>
        <v>1448.7109772548267</v>
      </c>
      <c r="P14" s="6" t="s">
        <v>21</v>
      </c>
      <c r="U14" s="2">
        <v>10</v>
      </c>
      <c r="V14" s="2">
        <f t="shared" si="7"/>
        <v>0.9697265625</v>
      </c>
      <c r="W14" s="2">
        <f t="shared" si="0"/>
        <v>2.1915913866610293E-4</v>
      </c>
      <c r="X14" s="2">
        <f t="shared" si="8"/>
        <v>0.970703125</v>
      </c>
      <c r="Y14" s="2">
        <f t="shared" si="1"/>
        <v>-7.7602878936688935E-4</v>
      </c>
      <c r="Z14" s="2">
        <f t="shared" si="3"/>
        <v>0.97021484375</v>
      </c>
      <c r="AA14" s="2">
        <f t="shared" si="2"/>
        <v>-2.7843946081651527E-4</v>
      </c>
      <c r="AB14" s="2">
        <f t="shared" si="4"/>
        <v>-6.1022552403201599E-8</v>
      </c>
      <c r="AC14" s="2">
        <f t="shared" si="5"/>
        <v>2.1607703768940976E-7</v>
      </c>
      <c r="AD14" s="2">
        <f t="shared" si="6"/>
        <v>9.765625E-4</v>
      </c>
      <c r="AF14" s="2">
        <v>10</v>
      </c>
      <c r="AG14" s="2">
        <f t="shared" si="13"/>
        <v>1446.2890625</v>
      </c>
      <c r="AH14" s="2">
        <v>-8.0847888098323892</v>
      </c>
      <c r="AI14" s="2">
        <f t="shared" si="14"/>
        <v>1464.84375</v>
      </c>
      <c r="AJ14" s="2">
        <v>3.374508297477405</v>
      </c>
      <c r="AK14" s="2">
        <f t="shared" si="9"/>
        <v>1455.56640625</v>
      </c>
      <c r="AL14" s="2">
        <v>-2.3529098049040158</v>
      </c>
      <c r="AM14" s="2">
        <f t="shared" si="10"/>
        <v>19.022778861232897</v>
      </c>
      <c r="AN14" s="2">
        <f t="shared" si="11"/>
        <v>-7.9399136598645432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0.21104985583105898</v>
      </c>
      <c r="H15" s="6" t="s">
        <v>120</v>
      </c>
      <c r="J15" s="10" t="s">
        <v>53</v>
      </c>
      <c r="K15" s="6">
        <f xml:space="preserve"> 1000 * K10 / ($C$60 * $C$61 * $C$62)</f>
        <v>194.05091331430685</v>
      </c>
      <c r="L15" s="6" t="s">
        <v>7</v>
      </c>
      <c r="N15" s="6" t="s">
        <v>140</v>
      </c>
      <c r="O15" s="6">
        <f>O4/O14</f>
        <v>9.8727078624846012</v>
      </c>
      <c r="U15" s="2">
        <v>11</v>
      </c>
      <c r="V15" s="2">
        <f t="shared" si="7"/>
        <v>0.9697265625</v>
      </c>
      <c r="W15" s="2">
        <f t="shared" si="0"/>
        <v>2.1915913866610293E-4</v>
      </c>
      <c r="X15" s="2">
        <f t="shared" si="8"/>
        <v>0.97021484375</v>
      </c>
      <c r="Y15" s="2">
        <f t="shared" si="1"/>
        <v>-2.7843946081651527E-4</v>
      </c>
      <c r="Z15" s="2">
        <f t="shared" si="3"/>
        <v>0.969970703125</v>
      </c>
      <c r="AA15" s="2">
        <f t="shared" si="2"/>
        <v>-2.9641320803963644E-5</v>
      </c>
      <c r="AB15" s="2">
        <f t="shared" si="4"/>
        <v>-6.4961663363223097E-9</v>
      </c>
      <c r="AC15" s="2">
        <f t="shared" si="5"/>
        <v>8.2533133825449937E-9</v>
      </c>
      <c r="AD15" s="2">
        <f t="shared" si="6"/>
        <v>4.8828125E-4</v>
      </c>
      <c r="AF15" s="2">
        <v>11</v>
      </c>
      <c r="AG15" s="2">
        <f t="shared" si="13"/>
        <v>1455.56640625</v>
      </c>
      <c r="AH15" s="2">
        <v>-2.3529098049040158</v>
      </c>
      <c r="AI15" s="2">
        <f t="shared" si="14"/>
        <v>1464.84375</v>
      </c>
      <c r="AJ15" s="2">
        <v>3.374508297477405</v>
      </c>
      <c r="AK15" s="2">
        <f t="shared" si="9"/>
        <v>1460.205078125</v>
      </c>
      <c r="AL15" s="2">
        <v>0.51135756662870335</v>
      </c>
      <c r="AM15" s="2">
        <f t="shared" si="10"/>
        <v>-1.2031782323325346</v>
      </c>
      <c r="AN15" s="2">
        <f t="shared" si="11"/>
        <v>1.7255803515664145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1448.7109772548267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105.84312373597896</v>
      </c>
      <c r="L16" s="6" t="s">
        <v>7</v>
      </c>
      <c r="N16" s="6" t="s">
        <v>111</v>
      </c>
      <c r="O16" s="6">
        <f>(O13*$C$12)/(0.3048^2)/($C$5*2.20462/1000)^(2/3)</f>
        <v>3.1555666197104415</v>
      </c>
      <c r="U16" s="2">
        <v>12</v>
      </c>
      <c r="V16" s="2">
        <f t="shared" si="7"/>
        <v>0.9697265625</v>
      </c>
      <c r="W16" s="2">
        <f t="shared" si="0"/>
        <v>2.1915913866610293E-4</v>
      </c>
      <c r="X16" s="2">
        <f t="shared" si="8"/>
        <v>0.969970703125</v>
      </c>
      <c r="Y16" s="2">
        <f t="shared" si="1"/>
        <v>-2.9641320803963644E-5</v>
      </c>
      <c r="Z16" s="2">
        <f t="shared" si="3"/>
        <v>0.9698486328125</v>
      </c>
      <c r="AA16" s="2">
        <f t="shared" si="2"/>
        <v>9.4758618890966595E-5</v>
      </c>
      <c r="AB16" s="2">
        <f t="shared" si="4"/>
        <v>2.0767217297333747E-8</v>
      </c>
      <c r="AC16" s="2">
        <f t="shared" si="5"/>
        <v>-2.8087706214876706E-9</v>
      </c>
      <c r="AD16" s="2">
        <f t="shared" si="6"/>
        <v>2.44140625E-4</v>
      </c>
      <c r="AF16" s="2">
        <v>12</v>
      </c>
      <c r="AG16" s="2">
        <f t="shared" si="13"/>
        <v>1455.56640625</v>
      </c>
      <c r="AH16" s="2">
        <v>-2.3529098049040158</v>
      </c>
      <c r="AI16" s="2">
        <f t="shared" si="14"/>
        <v>1460.205078125</v>
      </c>
      <c r="AJ16" s="2">
        <v>0.51135756662870335</v>
      </c>
      <c r="AK16" s="2">
        <f t="shared" si="9"/>
        <v>1457.8857421875</v>
      </c>
      <c r="AL16" s="2">
        <v>-0.92063674711016574</v>
      </c>
      <c r="AM16" s="2">
        <f t="shared" si="10"/>
        <v>2.1661752290304479</v>
      </c>
      <c r="AN16" s="2">
        <f t="shared" si="11"/>
        <v>-0.47077456675121931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101.72187089987277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0.9698486328125</v>
      </c>
      <c r="W17" s="2">
        <f t="shared" si="0"/>
        <v>9.4758618890966595E-5</v>
      </c>
      <c r="X17" s="2">
        <f t="shared" si="8"/>
        <v>0.969970703125</v>
      </c>
      <c r="Y17" s="2">
        <f t="shared" si="1"/>
        <v>-2.9641320803963644E-5</v>
      </c>
      <c r="Z17" s="2">
        <f t="shared" si="3"/>
        <v>0.96990966796875</v>
      </c>
      <c r="AA17" s="2">
        <f t="shared" si="2"/>
        <v>3.2558576546937168E-5</v>
      </c>
      <c r="AB17" s="2">
        <f t="shared" si="4"/>
        <v>3.0852057466435821E-9</v>
      </c>
      <c r="AC17" s="2">
        <f t="shared" si="5"/>
        <v>-9.6507921234817151E-10</v>
      </c>
      <c r="AD17" s="2">
        <f t="shared" si="6"/>
        <v>1.220703125E-4</v>
      </c>
      <c r="AF17" s="2">
        <v>13</v>
      </c>
      <c r="AG17" s="2">
        <f t="shared" si="13"/>
        <v>1457.8857421875</v>
      </c>
      <c r="AH17" s="2">
        <v>-0.92063674711016574</v>
      </c>
      <c r="AI17" s="2">
        <f t="shared" si="14"/>
        <v>1460.205078125</v>
      </c>
      <c r="AJ17" s="2">
        <v>0.51135756662870335</v>
      </c>
      <c r="AK17" s="2">
        <f t="shared" si="9"/>
        <v>1459.04541015625</v>
      </c>
      <c r="AL17" s="2">
        <v>-0.20460465775306602</v>
      </c>
      <c r="AM17" s="2">
        <f t="shared" si="10"/>
        <v>0.18836656655737147</v>
      </c>
      <c r="AN17" s="2">
        <f t="shared" si="11"/>
        <v>-0.1046261399095065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1.453171261735791</v>
      </c>
      <c r="H18" s="6" t="s">
        <v>172</v>
      </c>
      <c r="J18" s="12" t="s">
        <v>54</v>
      </c>
      <c r="K18" s="6">
        <f xml:space="preserve"> $C$78 * (0.2138 * K4 + 0.2138 * K6)</f>
        <v>81.523788824522015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0.96990966796875</v>
      </c>
      <c r="W18" s="2">
        <f t="shared" si="0"/>
        <v>3.2558576546937168E-5</v>
      </c>
      <c r="X18" s="2">
        <f t="shared" si="8"/>
        <v>0.969970703125</v>
      </c>
      <c r="Y18" s="2">
        <f t="shared" si="1"/>
        <v>-2.9641320803963644E-5</v>
      </c>
      <c r="Z18" s="2">
        <f t="shared" si="3"/>
        <v>0.969940185546875</v>
      </c>
      <c r="AA18" s="2">
        <f t="shared" si="2"/>
        <v>1.4586097489832639E-6</v>
      </c>
      <c r="AB18" s="2">
        <f t="shared" si="4"/>
        <v>4.7490257164380403E-11</v>
      </c>
      <c r="AC18" s="2">
        <f t="shared" si="5"/>
        <v>-4.3235119497401807E-11</v>
      </c>
      <c r="AD18" s="2">
        <f t="shared" si="6"/>
        <v>6.103515625E-5</v>
      </c>
      <c r="AF18" s="2">
        <v>14</v>
      </c>
      <c r="AG18" s="2">
        <f t="shared" si="13"/>
        <v>1459.04541015625</v>
      </c>
      <c r="AH18" s="2">
        <v>-0.20460465775306602</v>
      </c>
      <c r="AI18" s="2">
        <f t="shared" si="14"/>
        <v>1460.205078125</v>
      </c>
      <c r="AJ18" s="2">
        <v>0.51135756662870335</v>
      </c>
      <c r="AK18" s="2">
        <f t="shared" si="9"/>
        <v>1459.625244140625</v>
      </c>
      <c r="AL18" s="2">
        <v>0.15338518872931672</v>
      </c>
      <c r="AM18" s="2">
        <f t="shared" si="10"/>
        <v>-3.1383324044351291E-2</v>
      </c>
      <c r="AN18" s="2">
        <f t="shared" si="11"/>
        <v>7.8434676865507813E-2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4.2710823268786502E-2</v>
      </c>
      <c r="J19" s="12" t="s">
        <v>73</v>
      </c>
      <c r="K19" s="6">
        <f xml:space="preserve"> $C$78 * (0.1149 * K4 + 0.1149 * K6)</f>
        <v>43.812363591850243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0.969940185546875</v>
      </c>
      <c r="W19" s="2">
        <f t="shared" si="0"/>
        <v>1.4586097489832639E-6</v>
      </c>
      <c r="X19" s="2">
        <f t="shared" si="8"/>
        <v>0.969970703125</v>
      </c>
      <c r="Y19" s="2">
        <f t="shared" si="1"/>
        <v>-2.9641320803963644E-5</v>
      </c>
      <c r="Z19" s="2">
        <f t="shared" si="3"/>
        <v>0.9699554443359375</v>
      </c>
      <c r="AA19" s="2">
        <f t="shared" si="2"/>
        <v>-1.4091360057921776E-5</v>
      </c>
      <c r="AB19" s="2">
        <f t="shared" si="4"/>
        <v>-2.0553795156918071E-11</v>
      </c>
      <c r="AC19" s="2">
        <f t="shared" si="5"/>
        <v>4.1768652404101908E-10</v>
      </c>
      <c r="AD19" s="2">
        <f t="shared" si="6"/>
        <v>3.0517578125E-5</v>
      </c>
      <c r="AF19" s="2">
        <v>15</v>
      </c>
      <c r="AG19" s="2">
        <f t="shared" si="13"/>
        <v>1459.04541015625</v>
      </c>
      <c r="AH19" s="2">
        <v>-0.20460465775306602</v>
      </c>
      <c r="AI19" s="2">
        <f t="shared" si="14"/>
        <v>1459.625244140625</v>
      </c>
      <c r="AJ19" s="2">
        <v>0.15338518872931672</v>
      </c>
      <c r="AK19" s="2">
        <f t="shared" si="9"/>
        <v>1459.3353271484375</v>
      </c>
      <c r="AL19" s="2">
        <v>-2.5607684684700871E-2</v>
      </c>
      <c r="AM19" s="2">
        <f t="shared" si="10"/>
        <v>5.2394515607616524E-3</v>
      </c>
      <c r="AN19" s="2">
        <f t="shared" si="11"/>
        <v>-3.927839548283677E-3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101.72187089987277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202.57490315918798</v>
      </c>
      <c r="L20" s="6" t="s">
        <v>7</v>
      </c>
      <c r="N20" s="6" t="s">
        <v>20</v>
      </c>
      <c r="O20" s="6">
        <f xml:space="preserve"> O14 / $C$28</f>
        <v>1448.7109772548267</v>
      </c>
      <c r="P20" s="6" t="s">
        <v>21</v>
      </c>
      <c r="U20" s="2">
        <v>16</v>
      </c>
      <c r="V20" s="2">
        <f t="shared" si="7"/>
        <v>0.969940185546875</v>
      </c>
      <c r="W20" s="2">
        <f t="shared" si="0"/>
        <v>1.4586097489832639E-6</v>
      </c>
      <c r="X20" s="2">
        <f t="shared" si="8"/>
        <v>0.9699554443359375</v>
      </c>
      <c r="Y20" s="2">
        <f t="shared" si="1"/>
        <v>-1.4091360057921776E-5</v>
      </c>
      <c r="Z20" s="2">
        <f t="shared" si="3"/>
        <v>0.96994781494140625</v>
      </c>
      <c r="AA20" s="2">
        <f t="shared" si="2"/>
        <v>-6.3163762871187856E-6</v>
      </c>
      <c r="AB20" s="2">
        <f t="shared" si="4"/>
        <v>-9.2131280306381729E-12</v>
      </c>
      <c r="AC20" s="2">
        <f t="shared" si="5"/>
        <v>8.9006332523109899E-11</v>
      </c>
      <c r="AD20" s="2">
        <f t="shared" si="6"/>
        <v>1.52587890625E-5</v>
      </c>
      <c r="AF20" s="2">
        <v>16</v>
      </c>
      <c r="AG20" s="2">
        <f t="shared" si="13"/>
        <v>1459.3353271484375</v>
      </c>
      <c r="AH20" s="2">
        <v>-2.5607684684700871E-2</v>
      </c>
      <c r="AI20" s="2">
        <f t="shared" si="14"/>
        <v>1459.625244140625</v>
      </c>
      <c r="AJ20" s="2">
        <v>0.15338518872931672</v>
      </c>
      <c r="AK20" s="2">
        <f t="shared" si="9"/>
        <v>1459.4802856445312</v>
      </c>
      <c r="AL20" s="2">
        <v>6.388929121487763E-2</v>
      </c>
      <c r="AM20" s="2">
        <f t="shared" si="10"/>
        <v>-1.6360568241596159E-3</v>
      </c>
      <c r="AN20" s="2">
        <f t="shared" si="11"/>
        <v>9.7996709907762821E-3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37.943795765716885</v>
      </c>
      <c r="L21" s="6" t="s">
        <v>7</v>
      </c>
      <c r="N21" s="6" t="s">
        <v>27</v>
      </c>
      <c r="O21" s="6">
        <f>$C$6*2*PI()/60</f>
        <v>43.937785702800667</v>
      </c>
      <c r="P21" s="6" t="s">
        <v>28</v>
      </c>
      <c r="U21" s="2">
        <v>17</v>
      </c>
      <c r="V21" s="2">
        <f t="shared" si="7"/>
        <v>0.969940185546875</v>
      </c>
      <c r="W21" s="2">
        <f t="shared" si="0"/>
        <v>1.4586097489832639E-6</v>
      </c>
      <c r="X21" s="2">
        <f t="shared" si="8"/>
        <v>0.96994781494140625</v>
      </c>
      <c r="Y21" s="2">
        <f t="shared" si="1"/>
        <v>-6.3163762871187856E-6</v>
      </c>
      <c r="Z21" s="2">
        <f t="shared" si="3"/>
        <v>0.96994400024414062</v>
      </c>
      <c r="AA21" s="2">
        <f t="shared" si="2"/>
        <v>-2.4288835521746321E-6</v>
      </c>
      <c r="AB21" s="2">
        <f t="shared" si="4"/>
        <v>-3.5427932283470187E-12</v>
      </c>
      <c r="AC21" s="2">
        <f t="shared" si="5"/>
        <v>1.5341742473128689E-11</v>
      </c>
      <c r="AD21" s="2">
        <f t="shared" si="6"/>
        <v>7.62939453125E-6</v>
      </c>
      <c r="AF21" s="2">
        <v>17</v>
      </c>
      <c r="AG21" s="2">
        <f t="shared" si="13"/>
        <v>1459.3353271484375</v>
      </c>
      <c r="AH21" s="2">
        <v>-2.5607684684700871E-2</v>
      </c>
      <c r="AI21" s="2">
        <f t="shared" si="14"/>
        <v>1459.4802856445312</v>
      </c>
      <c r="AJ21" s="2">
        <v>6.388929121487763E-2</v>
      </c>
      <c r="AK21" s="2">
        <f t="shared" si="9"/>
        <v>1459.4078063964844</v>
      </c>
      <c r="AL21" s="2">
        <v>1.9140938061241286E-2</v>
      </c>
      <c r="AM21" s="2">
        <f t="shared" si="10"/>
        <v>-4.9015510644165642E-4</v>
      </c>
      <c r="AN21" s="2">
        <f t="shared" si="11"/>
        <v>1.2229009659205797E-3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85.958566337148127</v>
      </c>
      <c r="L22" s="6" t="s">
        <v>7</v>
      </c>
      <c r="N22" s="6" t="s">
        <v>29</v>
      </c>
      <c r="O22" s="6">
        <f xml:space="preserve"> $C$7 * COS(O19/180*PI()) / (O21 * $C$10)</f>
        <v>8.3227605049914125E-2</v>
      </c>
      <c r="U22" s="2">
        <v>18</v>
      </c>
      <c r="V22" s="2">
        <f t="shared" si="7"/>
        <v>0.969940185546875</v>
      </c>
      <c r="W22" s="2">
        <f t="shared" si="0"/>
        <v>1.4586097489832639E-6</v>
      </c>
      <c r="X22" s="2">
        <f t="shared" si="8"/>
        <v>0.96994400024414062</v>
      </c>
      <c r="Y22" s="2">
        <f t="shared" si="1"/>
        <v>-2.4288835521746321E-6</v>
      </c>
      <c r="Z22" s="2">
        <f t="shared" si="3"/>
        <v>0.96994209289550781</v>
      </c>
      <c r="AA22" s="2">
        <f t="shared" si="2"/>
        <v>-4.8513697237240194E-7</v>
      </c>
      <c r="AB22" s="2">
        <f t="shared" si="4"/>
        <v>-7.0762551749460986E-13</v>
      </c>
      <c r="AC22" s="2">
        <f t="shared" si="5"/>
        <v>1.178341212747126E-12</v>
      </c>
      <c r="AD22" s="2">
        <f t="shared" si="6"/>
        <v>3.814697265625E-6</v>
      </c>
      <c r="AF22" s="2">
        <v>18</v>
      </c>
      <c r="AG22" s="2">
        <f t="shared" si="13"/>
        <v>1459.3353271484375</v>
      </c>
      <c r="AH22" s="2">
        <v>-2.5607684684700871E-2</v>
      </c>
      <c r="AI22" s="2">
        <f t="shared" si="14"/>
        <v>1459.4078063964844</v>
      </c>
      <c r="AJ22" s="2">
        <v>1.9140938061241286E-2</v>
      </c>
      <c r="AK22" s="2">
        <f t="shared" si="9"/>
        <v>1459.3715667724609</v>
      </c>
      <c r="AL22" s="2">
        <v>-3.2332327324411381E-3</v>
      </c>
      <c r="AM22" s="2">
        <f t="shared" si="10"/>
        <v>8.279560432460648E-5</v>
      </c>
      <c r="AN22" s="2">
        <f t="shared" si="11"/>
        <v>-6.1887107469233747E-5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17.247647456466225</v>
      </c>
      <c r="L23" s="6" t="s">
        <v>7</v>
      </c>
      <c r="N23" s="6" t="s">
        <v>30</v>
      </c>
      <c r="O23" s="6">
        <f xml:space="preserve"> O20 / ( $C$71 * PI() * $C$10^2 * O21^2 * $C$10^2)</f>
        <v>3.6303468956842208E-2</v>
      </c>
      <c r="U23" s="2">
        <v>19</v>
      </c>
      <c r="V23" s="2">
        <f t="shared" si="7"/>
        <v>0.969940185546875</v>
      </c>
      <c r="W23" s="2">
        <f t="shared" si="0"/>
        <v>1.4586097489832639E-6</v>
      </c>
      <c r="X23" s="2">
        <f t="shared" si="8"/>
        <v>0.96994209289550781</v>
      </c>
      <c r="Y23" s="2">
        <f t="shared" si="1"/>
        <v>-4.8513697237240194E-7</v>
      </c>
      <c r="Z23" s="2">
        <f t="shared" si="3"/>
        <v>0.96994113922119141</v>
      </c>
      <c r="AA23" s="2">
        <f t="shared" si="2"/>
        <v>4.8673637065288489E-7</v>
      </c>
      <c r="AB23" s="2">
        <f t="shared" si="4"/>
        <v>7.0995841541902933E-13</v>
      </c>
      <c r="AC23" s="2">
        <f t="shared" si="5"/>
        <v>-2.361338092020718E-13</v>
      </c>
      <c r="AD23" s="2">
        <f t="shared" si="6"/>
        <v>1.9073486328125E-6</v>
      </c>
      <c r="AF23" s="2">
        <v>19</v>
      </c>
      <c r="AG23" s="2">
        <f t="shared" si="13"/>
        <v>1459.3715667724609</v>
      </c>
      <c r="AH23" s="2">
        <v>-3.2332327324411381E-3</v>
      </c>
      <c r="AI23" s="2">
        <f t="shared" si="14"/>
        <v>1459.4078063964844</v>
      </c>
      <c r="AJ23" s="2">
        <v>1.9140938061241286E-2</v>
      </c>
      <c r="AK23" s="2">
        <f t="shared" si="9"/>
        <v>1459.3896865844727</v>
      </c>
      <c r="AL23" s="2">
        <v>7.9538610892768702E-3</v>
      </c>
      <c r="AM23" s="2">
        <f t="shared" si="10"/>
        <v>-2.57166840231399E-5</v>
      </c>
      <c r="AN23" s="2">
        <f t="shared" si="11"/>
        <v>1.5224436245756573E-4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6.8649642020714285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0.96994113922119141</v>
      </c>
      <c r="W24" s="2">
        <f t="shared" si="0"/>
        <v>4.8673637065288489E-7</v>
      </c>
      <c r="X24" s="2">
        <f t="shared" si="8"/>
        <v>0.96994209289550781</v>
      </c>
      <c r="Y24" s="2">
        <f t="shared" si="1"/>
        <v>-4.8513697237240194E-7</v>
      </c>
      <c r="Z24" s="2">
        <f t="shared" si="3"/>
        <v>0.96994161605834961</v>
      </c>
      <c r="AA24" s="2">
        <f t="shared" si="2"/>
        <v>7.9969475486052488E-10</v>
      </c>
      <c r="AB24" s="2">
        <f t="shared" si="4"/>
        <v>3.8924052261096038E-16</v>
      </c>
      <c r="AC24" s="2">
        <f t="shared" si="5"/>
        <v>-3.879614921951252E-16</v>
      </c>
      <c r="AD24" s="2">
        <f t="shared" si="6"/>
        <v>9.5367431640625E-7</v>
      </c>
      <c r="AF24" s="2">
        <v>20</v>
      </c>
      <c r="AG24" s="2">
        <f t="shared" si="13"/>
        <v>1459.3715667724609</v>
      </c>
      <c r="AH24" s="2">
        <v>-3.2332327324411381E-3</v>
      </c>
      <c r="AI24" s="2">
        <f t="shared" si="14"/>
        <v>1459.3896865844727</v>
      </c>
      <c r="AJ24" s="2">
        <v>7.9538610892768702E-3</v>
      </c>
      <c r="AK24" s="2">
        <f t="shared" si="9"/>
        <v>1459.3806266784668</v>
      </c>
      <c r="AL24" s="2">
        <v>2.3603162846939085E-3</v>
      </c>
      <c r="AM24" s="2">
        <f t="shared" si="10"/>
        <v>-7.6314518705862017E-6</v>
      </c>
      <c r="AN24" s="2">
        <f t="shared" si="11"/>
        <v>1.8773627855213425E-5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14.717839317453834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2735.1304930439933</v>
      </c>
      <c r="P25" s="6" t="s">
        <v>19</v>
      </c>
      <c r="U25" s="2">
        <v>21</v>
      </c>
      <c r="V25" s="2">
        <f t="shared" si="7"/>
        <v>0.96994161605834961</v>
      </c>
      <c r="W25" s="2">
        <f t="shared" si="0"/>
        <v>7.9969475486052488E-10</v>
      </c>
      <c r="X25" s="2">
        <f t="shared" si="8"/>
        <v>0.96994209289550781</v>
      </c>
      <c r="Y25" s="2">
        <f t="shared" si="1"/>
        <v>-4.8513697237240194E-7</v>
      </c>
      <c r="Z25" s="2">
        <f t="shared" si="3"/>
        <v>0.96994185447692871</v>
      </c>
      <c r="AA25" s="2">
        <f t="shared" si="2"/>
        <v>-2.4216863991899373E-7</v>
      </c>
      <c r="AB25" s="2">
        <f t="shared" si="4"/>
        <v>-1.9366099113492641E-16</v>
      </c>
      <c r="AC25" s="2">
        <f t="shared" si="5"/>
        <v>1.1748496077384302E-13</v>
      </c>
      <c r="AD25" s="2">
        <f t="shared" si="6"/>
        <v>4.76837158203125E-7</v>
      </c>
      <c r="AF25" s="2">
        <v>21</v>
      </c>
      <c r="AG25" s="2">
        <f t="shared" si="13"/>
        <v>1459.3715667724609</v>
      </c>
      <c r="AH25" s="2">
        <v>-3.2332327324411381E-3</v>
      </c>
      <c r="AI25" s="2">
        <f t="shared" si="14"/>
        <v>1459.3806266784668</v>
      </c>
      <c r="AJ25" s="2">
        <v>2.3603162846939085E-3</v>
      </c>
      <c r="AK25" s="2">
        <f t="shared" si="9"/>
        <v>1459.3760967254639</v>
      </c>
      <c r="AL25" s="2">
        <v>-4.3656457796714676E-4</v>
      </c>
      <c r="AM25" s="2">
        <f t="shared" si="10"/>
        <v>1.4115148833077301E-6</v>
      </c>
      <c r="AN25" s="2">
        <f t="shared" si="11"/>
        <v>-1.03043048269638E-6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1788.0085577112216</v>
      </c>
      <c r="H26" s="6" t="s">
        <v>21</v>
      </c>
      <c r="J26" s="14" t="s">
        <v>65</v>
      </c>
      <c r="K26" s="6">
        <f xml:space="preserve"> $C$80 * (0.0268 * $C$5)</f>
        <v>31.289037739114232</v>
      </c>
      <c r="L26" s="6" t="s">
        <v>7</v>
      </c>
      <c r="N26" s="6" t="s">
        <v>32</v>
      </c>
      <c r="O26" s="17">
        <f>Z34</f>
        <v>0.9699416165240109</v>
      </c>
      <c r="U26" s="2">
        <v>22</v>
      </c>
      <c r="V26" s="2">
        <f t="shared" si="7"/>
        <v>0.96994161605834961</v>
      </c>
      <c r="W26" s="2">
        <f t="shared" si="0"/>
        <v>7.9969475486052488E-10</v>
      </c>
      <c r="X26" s="2">
        <f t="shared" si="8"/>
        <v>0.96994185447692871</v>
      </c>
      <c r="Y26" s="2">
        <f t="shared" si="1"/>
        <v>-2.4216863991899373E-7</v>
      </c>
      <c r="Z26" s="2">
        <f t="shared" si="3"/>
        <v>0.96994173526763916</v>
      </c>
      <c r="AA26" s="2">
        <f t="shared" si="2"/>
        <v>-1.2068447285962236E-7</v>
      </c>
      <c r="AB26" s="2">
        <f t="shared" si="4"/>
        <v>-9.6510739938947372E-17</v>
      </c>
      <c r="AC26" s="2">
        <f t="shared" si="5"/>
        <v>2.9225994651755461E-14</v>
      </c>
      <c r="AD26" s="2">
        <f t="shared" si="6"/>
        <v>2.384185791015625E-7</v>
      </c>
      <c r="AF26" s="2">
        <v>22</v>
      </c>
      <c r="AG26" s="2">
        <f t="shared" si="13"/>
        <v>1459.3760967254639</v>
      </c>
      <c r="AH26" s="2">
        <v>-4.3656457796714676E-4</v>
      </c>
      <c r="AI26" s="2">
        <f t="shared" si="14"/>
        <v>1459.3806266784668</v>
      </c>
      <c r="AJ26" s="2">
        <v>2.3603162846939085E-3</v>
      </c>
      <c r="AK26" s="2">
        <f t="shared" si="9"/>
        <v>1459.3783617019653</v>
      </c>
      <c r="AL26" s="2">
        <v>9.6176910437861807E-4</v>
      </c>
      <c r="AM26" s="2">
        <f t="shared" si="10"/>
        <v>-4.1987432315489212E-7</v>
      </c>
      <c r="AN26" s="2">
        <f t="shared" si="11"/>
        <v>2.2700792791803278E-6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23.784791026782223</v>
      </c>
      <c r="H27" t="s">
        <v>97</v>
      </c>
      <c r="J27" s="14" t="s">
        <v>66</v>
      </c>
      <c r="K27" s="6">
        <f xml:space="preserve"> $C$80 * (11.5 * ($C$5*2.20462/1000)^0.4 * 0.453592)</f>
        <v>6.6596849007507135</v>
      </c>
      <c r="L27" s="6" t="s">
        <v>7</v>
      </c>
      <c r="N27" s="6" t="s">
        <v>33</v>
      </c>
      <c r="O27" s="6">
        <f xml:space="preserve"> O21 * $C$10 * O26 - $C$7 * SIN(O19/180*PI())</f>
        <v>1.3093200738566111</v>
      </c>
      <c r="P27" s="6" t="s">
        <v>10</v>
      </c>
      <c r="U27" s="2">
        <v>23</v>
      </c>
      <c r="V27" s="2">
        <f t="shared" si="7"/>
        <v>0.96994161605834961</v>
      </c>
      <c r="W27" s="2">
        <f t="shared" si="0"/>
        <v>7.9969475486052488E-10</v>
      </c>
      <c r="X27" s="2">
        <f t="shared" si="8"/>
        <v>0.96994173526763916</v>
      </c>
      <c r="Y27" s="2">
        <f t="shared" si="1"/>
        <v>-1.2068447285962236E-7</v>
      </c>
      <c r="Z27" s="2">
        <f t="shared" si="3"/>
        <v>0.96994167566299438</v>
      </c>
      <c r="AA27" s="2">
        <f t="shared" si="2"/>
        <v>-5.994238916340322E-8</v>
      </c>
      <c r="AB27" s="2">
        <f t="shared" si="4"/>
        <v>-4.7935614207781921E-17</v>
      </c>
      <c r="AC27" s="2">
        <f t="shared" si="5"/>
        <v>7.2341156381316572E-15</v>
      </c>
      <c r="AD27" s="2">
        <f t="shared" si="6"/>
        <v>1.1920928955078125E-7</v>
      </c>
      <c r="AF27" s="2">
        <v>23</v>
      </c>
      <c r="AG27" s="2">
        <f t="shared" si="13"/>
        <v>1459.3760967254639</v>
      </c>
      <c r="AH27" s="2">
        <v>-4.3656457796714676E-4</v>
      </c>
      <c r="AI27" s="2">
        <f t="shared" si="14"/>
        <v>1459.3783617019653</v>
      </c>
      <c r="AJ27" s="2">
        <v>9.6176910437861807E-4</v>
      </c>
      <c r="AK27" s="2">
        <f t="shared" si="9"/>
        <v>1459.3772292137146</v>
      </c>
      <c r="AL27" s="2">
        <v>2.6270917669535265E-4</v>
      </c>
      <c r="AM27" s="2">
        <f t="shared" si="10"/>
        <v>-1.1468952085210322E-7</v>
      </c>
      <c r="AN27" s="2">
        <f t="shared" si="11"/>
        <v>2.5266556958233342E-7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7.669695093056462</v>
      </c>
      <c r="H28" s="6" t="s">
        <v>172</v>
      </c>
      <c r="J28" s="14" t="s">
        <v>67</v>
      </c>
      <c r="K28" s="6">
        <f xml:space="preserve"> $C$80 * (8 * ($C$5/1000))</f>
        <v>9.3400112654072327</v>
      </c>
      <c r="L28" s="6" t="s">
        <v>7</v>
      </c>
      <c r="N28" s="6" t="s">
        <v>34</v>
      </c>
      <c r="O28" s="6">
        <f xml:space="preserve"> 1/$C$31 - O25 * SQRT( (2*$C$71*PI()*$C$10^2) / O20^3 )</f>
        <v>1.1337744885658185</v>
      </c>
      <c r="U28" s="2">
        <v>24</v>
      </c>
      <c r="V28" s="2">
        <f t="shared" si="7"/>
        <v>0.96994161605834961</v>
      </c>
      <c r="W28" s="2">
        <f t="shared" si="0"/>
        <v>7.9969475486052488E-10</v>
      </c>
      <c r="X28" s="2">
        <f t="shared" si="8"/>
        <v>0.96994167566299438</v>
      </c>
      <c r="Y28" s="2">
        <f t="shared" si="1"/>
        <v>-5.994238916340322E-8</v>
      </c>
      <c r="Z28" s="2">
        <f t="shared" si="3"/>
        <v>0.969941645860672</v>
      </c>
      <c r="AA28" s="2">
        <f t="shared" si="2"/>
        <v>-2.9571347259782499E-8</v>
      </c>
      <c r="AB28" s="2">
        <f t="shared" si="4"/>
        <v>-2.364805129780722E-17</v>
      </c>
      <c r="AC28" s="2">
        <f t="shared" si="5"/>
        <v>1.77257720553202E-15</v>
      </c>
      <c r="AD28" s="2">
        <f t="shared" si="6"/>
        <v>5.9604644775390625E-8</v>
      </c>
      <c r="AF28" s="2">
        <v>24</v>
      </c>
      <c r="AG28" s="2">
        <f t="shared" si="13"/>
        <v>1459.3760967254639</v>
      </c>
      <c r="AH28" s="2">
        <v>-4.3656457796714676E-4</v>
      </c>
      <c r="AI28" s="2">
        <f t="shared" si="14"/>
        <v>1459.3772292137146</v>
      </c>
      <c r="AJ28" s="2">
        <v>2.6270917669535265E-4</v>
      </c>
      <c r="AK28" s="2">
        <f t="shared" si="9"/>
        <v>1459.3766629695892</v>
      </c>
      <c r="AL28" s="2">
        <v>-8.69276923367579E-5</v>
      </c>
      <c r="AM28" s="2">
        <f t="shared" si="10"/>
        <v>3.7949551318654693E-8</v>
      </c>
      <c r="AN28" s="2">
        <f t="shared" si="11"/>
        <v>-2.2836702485816583E-8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190.27832821425778</v>
      </c>
      <c r="H29" s="22" t="s">
        <v>97</v>
      </c>
      <c r="J29" s="14" t="s">
        <v>68</v>
      </c>
      <c r="K29" s="6">
        <f xml:space="preserve"> $C$80 * (13 * ($C$5*2.20462/1000)^1.3 * 0.453592)</f>
        <v>21.550147415358815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0.96994161605834961</v>
      </c>
      <c r="W29" s="2">
        <f t="shared" si="0"/>
        <v>7.9969475486052488E-10</v>
      </c>
      <c r="X29" s="2">
        <f t="shared" si="8"/>
        <v>0.969941645860672</v>
      </c>
      <c r="Y29" s="2">
        <f t="shared" si="1"/>
        <v>-2.9571347259782499E-8</v>
      </c>
      <c r="Z29" s="2">
        <f t="shared" si="3"/>
        <v>0.9699416309595108</v>
      </c>
      <c r="AA29" s="2">
        <f t="shared" si="2"/>
        <v>-1.4385826307972138E-8</v>
      </c>
      <c r="AB29" s="2">
        <f t="shared" si="4"/>
        <v>-1.1504269842819869E-17</v>
      </c>
      <c r="AC29" s="2">
        <f t="shared" si="5"/>
        <v>4.2540826537195887E-16</v>
      </c>
      <c r="AD29" s="2">
        <f t="shared" si="6"/>
        <v>2.9802322387695312E-8</v>
      </c>
      <c r="AF29" s="2">
        <v>25</v>
      </c>
      <c r="AG29" s="2">
        <f t="shared" si="13"/>
        <v>1459.3766629695892</v>
      </c>
      <c r="AH29" s="2">
        <v>-8.69276923367579E-5</v>
      </c>
      <c r="AI29" s="2">
        <f t="shared" si="14"/>
        <v>1459.3772292137146</v>
      </c>
      <c r="AJ29" s="2">
        <v>2.6270917669535265E-4</v>
      </c>
      <c r="AK29" s="2">
        <f t="shared" si="9"/>
        <v>1459.3769460916519</v>
      </c>
      <c r="AL29" s="2">
        <v>8.7890744225660455E-5</v>
      </c>
      <c r="AM29" s="2">
        <f t="shared" si="10"/>
        <v>-7.6401395732968933E-9</v>
      </c>
      <c r="AN29" s="2">
        <f t="shared" si="11"/>
        <v>2.308970505466508E-8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-2.6805453444467275E-5</v>
      </c>
      <c r="L30" s="9" t="s">
        <v>7</v>
      </c>
      <c r="N30" s="6" t="s">
        <v>36</v>
      </c>
      <c r="O30" s="6">
        <f xml:space="preserve"> 1/$C$77 * LN( EXP($C$77 * O28) + EXP($C$77 * O29) )</f>
        <v>1.1659698069570537</v>
      </c>
      <c r="U30" s="2">
        <v>26</v>
      </c>
      <c r="V30" s="2">
        <f>IF(AB29&gt;0, Z29, V29)</f>
        <v>0.96994161605834961</v>
      </c>
      <c r="W30" s="2">
        <f t="shared" si="0"/>
        <v>7.9969475486052488E-10</v>
      </c>
      <c r="X30" s="2">
        <f t="shared" si="8"/>
        <v>0.9699416309595108</v>
      </c>
      <c r="Y30" s="2">
        <f t="shared" si="1"/>
        <v>-1.4385826307972138E-8</v>
      </c>
      <c r="Z30" s="2">
        <f t="shared" si="3"/>
        <v>0.96994162350893021</v>
      </c>
      <c r="AA30" s="2">
        <f t="shared" si="2"/>
        <v>-6.7930657765558067E-9</v>
      </c>
      <c r="AB30" s="2">
        <f t="shared" si="4"/>
        <v>-5.4323790709342169E-18</v>
      </c>
      <c r="AC30" s="2">
        <f t="shared" si="5"/>
        <v>9.7723864360161707E-17</v>
      </c>
      <c r="AD30" s="2">
        <f t="shared" si="6"/>
        <v>1.4901161193847656E-8</v>
      </c>
      <c r="AF30" s="2">
        <v>26</v>
      </c>
      <c r="AG30" s="2">
        <f t="shared" si="13"/>
        <v>1459.3766629695892</v>
      </c>
      <c r="AH30" s="2">
        <v>-8.69276923367579E-5</v>
      </c>
      <c r="AI30" s="2">
        <f t="shared" si="14"/>
        <v>1459.3769460916519</v>
      </c>
      <c r="AJ30" s="2">
        <v>8.7890744225660455E-5</v>
      </c>
      <c r="AK30" s="2">
        <f t="shared" si="9"/>
        <v>1459.3768045306206</v>
      </c>
      <c r="AL30" s="2">
        <v>3.7464565139089245E-7</v>
      </c>
      <c r="AM30" s="2">
        <f t="shared" si="10"/>
        <v>-3.2567081919411754E-11</v>
      </c>
      <c r="AN30" s="2">
        <f t="shared" si="11"/>
        <v>3.2927885121652881E-11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0.96994161605834961</v>
      </c>
      <c r="W31" s="2">
        <f t="shared" si="0"/>
        <v>7.9969475486052488E-10</v>
      </c>
      <c r="X31" s="2">
        <f t="shared" si="8"/>
        <v>0.96994162350893021</v>
      </c>
      <c r="Y31" s="2">
        <f t="shared" si="1"/>
        <v>-6.7930657765558067E-9</v>
      </c>
      <c r="Z31" s="2">
        <f t="shared" si="3"/>
        <v>0.96994161978363991</v>
      </c>
      <c r="AA31" s="2">
        <f t="shared" si="2"/>
        <v>-2.9966855663587921E-9</v>
      </c>
      <c r="AB31" s="2">
        <f t="shared" si="4"/>
        <v>-2.3964337293833674E-18</v>
      </c>
      <c r="AC31" s="2">
        <f t="shared" si="5"/>
        <v>2.0356682163930666E-17</v>
      </c>
      <c r="AD31" s="2">
        <f t="shared" si="6"/>
        <v>7.4505805969238281E-9</v>
      </c>
      <c r="AF31" s="2">
        <v>27</v>
      </c>
      <c r="AG31" s="2">
        <f t="shared" si="13"/>
        <v>1459.3766629695892</v>
      </c>
      <c r="AH31" s="2">
        <v>-8.69276923367579E-5</v>
      </c>
      <c r="AI31" s="2">
        <f t="shared" si="14"/>
        <v>1459.3768045306206</v>
      </c>
      <c r="AJ31" s="2">
        <v>3.7464565139089245E-7</v>
      </c>
      <c r="AK31" s="2">
        <f t="shared" si="9"/>
        <v>1459.3767337501049</v>
      </c>
      <c r="AL31" s="2">
        <v>-4.316964248118893E-5</v>
      </c>
      <c r="AM31" s="2">
        <f t="shared" si="10"/>
        <v>3.7526373998926253E-9</v>
      </c>
      <c r="AN31" s="2">
        <f t="shared" si="11"/>
        <v>-1.6173318827676969E-11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0.96994161605834961</v>
      </c>
      <c r="W32" s="2">
        <f t="shared" si="0"/>
        <v>7.9969475486052488E-10</v>
      </c>
      <c r="X32" s="2">
        <f t="shared" si="8"/>
        <v>0.96994161978363991</v>
      </c>
      <c r="Y32" s="2">
        <f t="shared" si="1"/>
        <v>-2.9966855663587921E-9</v>
      </c>
      <c r="Z32" s="2">
        <f t="shared" si="3"/>
        <v>0.96994161792099476</v>
      </c>
      <c r="AA32" s="2">
        <f t="shared" si="2"/>
        <v>-1.0984954057491336E-9</v>
      </c>
      <c r="AB32" s="2">
        <f t="shared" si="4"/>
        <v>-8.7846101421596623E-19</v>
      </c>
      <c r="AC32" s="2">
        <f t="shared" si="5"/>
        <v>3.2918453271198737E-18</v>
      </c>
      <c r="AD32" s="2">
        <f t="shared" si="6"/>
        <v>3.7252902984619141E-9</v>
      </c>
      <c r="AF32" s="2">
        <v>28</v>
      </c>
      <c r="AG32" s="2">
        <f t="shared" si="13"/>
        <v>1459.3767337501049</v>
      </c>
      <c r="AH32" s="2">
        <v>-8.69276923367579E-5</v>
      </c>
      <c r="AI32" s="2">
        <f t="shared" si="14"/>
        <v>1459.3768045306206</v>
      </c>
      <c r="AJ32" s="2">
        <v>3.7464565139089245E-7</v>
      </c>
      <c r="AK32" s="2">
        <f t="shared" si="9"/>
        <v>1459.3767691403627</v>
      </c>
      <c r="AL32" s="2">
        <v>-2.1290617837621539E-5</v>
      </c>
      <c r="AM32" s="2">
        <f t="shared" si="10"/>
        <v>1.850744277048255E-9</v>
      </c>
      <c r="AN32" s="2">
        <f t="shared" si="11"/>
        <v>-7.9764373882902758E-12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101.72187089987277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0.96994161605834961</v>
      </c>
      <c r="W33" s="2">
        <f t="shared" si="0"/>
        <v>7.9969475486052488E-10</v>
      </c>
      <c r="X33" s="2">
        <f t="shared" si="8"/>
        <v>0.96994161792099476</v>
      </c>
      <c r="Y33" s="2">
        <f t="shared" si="1"/>
        <v>-1.0984954057491336E-9</v>
      </c>
      <c r="Z33" s="2">
        <f t="shared" si="3"/>
        <v>0.96994161698967218</v>
      </c>
      <c r="AA33" s="2">
        <f t="shared" si="2"/>
        <v>-1.494003809554556E-10</v>
      </c>
      <c r="AB33" s="2">
        <f t="shared" si="4"/>
        <v>-1.194747010242421E-19</v>
      </c>
      <c r="AC33" s="2">
        <f t="shared" si="5"/>
        <v>1.6411563209673834E-19</v>
      </c>
      <c r="AD33" s="2">
        <f t="shared" si="6"/>
        <v>1.862645149230957E-9</v>
      </c>
      <c r="AF33" s="2">
        <v>29</v>
      </c>
      <c r="AG33" s="2">
        <f t="shared" si="13"/>
        <v>1459.3767691403627</v>
      </c>
      <c r="AH33" s="2">
        <v>-8.69276923367579E-5</v>
      </c>
      <c r="AI33" s="2">
        <f t="shared" si="14"/>
        <v>1459.3768045306206</v>
      </c>
      <c r="AJ33" s="2">
        <v>3.7464565139089245E-7</v>
      </c>
      <c r="AK33" s="2">
        <f t="shared" si="9"/>
        <v>1459.3767868354917</v>
      </c>
      <c r="AL33" s="2">
        <v>-1.0351105402151006E-5</v>
      </c>
      <c r="AM33" s="2">
        <f t="shared" si="10"/>
        <v>8.9979770574353533E-10</v>
      </c>
      <c r="AN33" s="2">
        <f t="shared" si="11"/>
        <v>-3.8779966260046495E-12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41.11</v>
      </c>
      <c r="L34" s="6" t="s">
        <v>59</v>
      </c>
      <c r="U34" s="2">
        <v>30</v>
      </c>
      <c r="V34" s="2">
        <f t="shared" si="7"/>
        <v>0.96994161605834961</v>
      </c>
      <c r="W34" s="2">
        <f t="shared" si="0"/>
        <v>7.9969475486052488E-10</v>
      </c>
      <c r="X34" s="2">
        <f t="shared" si="8"/>
        <v>0.96994161698967218</v>
      </c>
      <c r="Y34" s="2">
        <f t="shared" si="1"/>
        <v>-1.494003809554556E-10</v>
      </c>
      <c r="Z34" s="2">
        <f t="shared" si="3"/>
        <v>0.9699416165240109</v>
      </c>
      <c r="AA34" s="2">
        <f t="shared" si="2"/>
        <v>3.2514713144138341E-10</v>
      </c>
      <c r="AB34" s="2">
        <f t="shared" si="4"/>
        <v>2.6001845557161997E-19</v>
      </c>
      <c r="AC34" s="2">
        <f t="shared" si="5"/>
        <v>-4.8577105303916277E-20</v>
      </c>
      <c r="AD34" s="2">
        <f t="shared" si="6"/>
        <v>9.3132257461547852E-10</v>
      </c>
      <c r="AF34" s="2">
        <v>30</v>
      </c>
      <c r="AG34" s="2">
        <f t="shared" si="13"/>
        <v>1459.3767868354917</v>
      </c>
      <c r="AH34" s="2">
        <v>-8.69276923367579E-5</v>
      </c>
      <c r="AI34" s="2">
        <f t="shared" si="14"/>
        <v>1459.3768045306206</v>
      </c>
      <c r="AJ34" s="2">
        <v>3.7464565139089245E-7</v>
      </c>
      <c r="AK34" s="2">
        <f t="shared" si="9"/>
        <v>1459.3767956830561</v>
      </c>
      <c r="AL34" s="2">
        <v>-4.8813491275723209E-6</v>
      </c>
      <c r="AM34" s="2">
        <f t="shared" si="10"/>
        <v>4.243244151499083E-10</v>
      </c>
      <c r="AN34" s="2">
        <f t="shared" si="11"/>
        <v>-1.8287762235656967E-12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13.3</v>
      </c>
      <c r="L35" s="6" t="s">
        <v>59</v>
      </c>
      <c r="AF35" s="2">
        <v>31</v>
      </c>
      <c r="AG35" s="2">
        <f t="shared" si="13"/>
        <v>1459.3767956830561</v>
      </c>
      <c r="AH35" s="2">
        <v>-8.69276923367579E-5</v>
      </c>
      <c r="AI35" s="2">
        <f t="shared" si="14"/>
        <v>1459.3768045306206</v>
      </c>
      <c r="AJ35" s="2">
        <v>3.7464565139089245E-7</v>
      </c>
      <c r="AK35" s="2">
        <f t="shared" si="9"/>
        <v>1459.3768001068383</v>
      </c>
      <c r="AL35" s="2">
        <v>-2.146471047126397E-6</v>
      </c>
      <c r="AM35" s="2">
        <f t="shared" si="10"/>
        <v>1.8658777479436201E-10</v>
      </c>
      <c r="AN35" s="2">
        <f t="shared" si="11"/>
        <v>-8.0416604364236003E-13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15.84</v>
      </c>
      <c r="L36" s="6" t="s">
        <v>59</v>
      </c>
      <c r="AF36" s="2">
        <v>32</v>
      </c>
      <c r="AG36" s="2">
        <f t="shared" si="13"/>
        <v>1459.3768001068383</v>
      </c>
      <c r="AH36" s="2">
        <v>-8.69276923367579E-5</v>
      </c>
      <c r="AI36" s="2">
        <f t="shared" si="14"/>
        <v>1459.3768045306206</v>
      </c>
      <c r="AJ36" s="2">
        <v>3.7464565139089245E-7</v>
      </c>
      <c r="AK36" s="2">
        <f t="shared" si="9"/>
        <v>1459.3768023187295</v>
      </c>
      <c r="AL36" s="2">
        <v>-9.9279327514523175E-7</v>
      </c>
      <c r="AM36" s="2">
        <f t="shared" si="10"/>
        <v>8.6301228375826939E-11</v>
      </c>
      <c r="AN36" s="2">
        <f t="shared" si="11"/>
        <v>-3.7194568326328287E-13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25.03</v>
      </c>
      <c r="L37" s="6" t="s">
        <v>59</v>
      </c>
      <c r="AF37" s="2">
        <v>33</v>
      </c>
      <c r="AG37" s="2">
        <f t="shared" si="13"/>
        <v>1459.3768023187295</v>
      </c>
      <c r="AH37" s="2">
        <v>-8.69276923367579E-5</v>
      </c>
      <c r="AI37" s="2">
        <f t="shared" si="14"/>
        <v>1459.3768045306206</v>
      </c>
      <c r="AJ37" s="2">
        <v>3.7464565139089245E-7</v>
      </c>
      <c r="AK37" s="2">
        <f t="shared" si="9"/>
        <v>1459.376803424675</v>
      </c>
      <c r="AL37" s="2">
        <v>-3.0907369819033192E-7</v>
      </c>
      <c r="AM37" s="2">
        <f t="shared" si="10"/>
        <v>2.6867063345673141E-11</v>
      </c>
      <c r="AN37" s="2">
        <f t="shared" si="11"/>
        <v>-1.15793116986309E-13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4.72</v>
      </c>
      <c r="L38" s="6" t="s">
        <v>59</v>
      </c>
      <c r="AF38" s="2">
        <v>34</v>
      </c>
      <c r="AG38" s="2">
        <f t="shared" si="13"/>
        <v>1459.376803424675</v>
      </c>
      <c r="AH38" s="2">
        <v>-8.69276923367579E-5</v>
      </c>
      <c r="AI38" s="2">
        <f t="shared" si="14"/>
        <v>1459.3768045306206</v>
      </c>
      <c r="AJ38" s="2">
        <v>3.7464565139089245E-7</v>
      </c>
      <c r="AK38" s="2">
        <f t="shared" si="9"/>
        <v>1459.3768039776478</v>
      </c>
      <c r="AL38" s="2">
        <v>3.2786033443699125E-8</v>
      </c>
      <c r="AM38" s="2">
        <f t="shared" si="10"/>
        <v>-2.8500142281365327E-12</v>
      </c>
      <c r="AN38" s="2">
        <f t="shared" si="11"/>
        <v>1.2283144856038244E-14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1459.376803424675</v>
      </c>
      <c r="AH39" s="2">
        <v>-8.69276923367579E-5</v>
      </c>
      <c r="AI39" s="2">
        <f t="shared" si="14"/>
        <v>1459.3768039776478</v>
      </c>
      <c r="AJ39" s="2">
        <v>3.2786033443699125E-8</v>
      </c>
      <c r="AK39" s="2">
        <f t="shared" si="9"/>
        <v>1459.3768037011614</v>
      </c>
      <c r="AL39" s="2">
        <v>2.0371589926071465E-7</v>
      </c>
      <c r="AM39" s="2">
        <f t="shared" si="10"/>
        <v>-1.7708553015041369E-11</v>
      </c>
      <c r="AN39" s="2">
        <f t="shared" si="11"/>
        <v>6.6790362861750324E-15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1459.376803424675</v>
      </c>
      <c r="AH40" s="2">
        <v>-8.69276923367579E-5</v>
      </c>
      <c r="AI40" s="2">
        <f t="shared" si="14"/>
        <v>1459.3768037011614</v>
      </c>
      <c r="AJ40" s="2">
        <v>-1.3814371868647868E-7</v>
      </c>
      <c r="AK40" s="2">
        <f t="shared" si="9"/>
        <v>1459.3768035629182</v>
      </c>
      <c r="AL40" s="2">
        <v>2.8918077532580355E-7</v>
      </c>
      <c r="AM40" s="2">
        <f t="shared" si="10"/>
        <v>-2.5137817467226561E-11</v>
      </c>
      <c r="AN40" s="2">
        <f t="shared" si="11"/>
        <v>-3.99485076761456E-14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1459.376803424675</v>
      </c>
      <c r="AH41" s="2">
        <v>-8.69276923367579E-5</v>
      </c>
      <c r="AI41" s="2">
        <f t="shared" si="14"/>
        <v>1459.3768037011614</v>
      </c>
      <c r="AJ41" s="2">
        <v>-2.2360893581208074E-7</v>
      </c>
      <c r="AK41" s="2">
        <f t="shared" si="9"/>
        <v>1459.3768035629182</v>
      </c>
      <c r="AL41" s="2">
        <v>3.3191327020176686E-7</v>
      </c>
      <c r="AM41" s="2">
        <f t="shared" si="10"/>
        <v>-2.8852454634586384E-11</v>
      </c>
      <c r="AN41" s="2">
        <f t="shared" si="11"/>
        <v>-7.4218773131724699E-14</v>
      </c>
      <c r="AO41" s="2">
        <f t="shared" si="12"/>
        <v>2.7648638933897018E-7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1459.376803424675</v>
      </c>
      <c r="AH42" s="2">
        <v>-8.69276923367579E-5</v>
      </c>
      <c r="AI42" s="2">
        <f t="shared" si="14"/>
        <v>1459.3768037011614</v>
      </c>
      <c r="AJ42" s="2">
        <v>-2.6634108962753089E-7</v>
      </c>
      <c r="AK42" s="2">
        <f t="shared" si="9"/>
        <v>1459.3768035629182</v>
      </c>
      <c r="AL42" s="2">
        <v>3.5327946079632966E-7</v>
      </c>
      <c r="AM42" s="2">
        <f t="shared" si="10"/>
        <v>-3.0709768276999069E-11</v>
      </c>
      <c r="AN42" s="2">
        <f t="shared" si="11"/>
        <v>-9.4092836531521023E-14</v>
      </c>
      <c r="AO42" s="2">
        <f t="shared" si="12"/>
        <v>2.7648638933897018E-7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194.05</v>
      </c>
      <c r="L43" s="6" t="s">
        <v>7</v>
      </c>
      <c r="AF43" s="2">
        <v>39</v>
      </c>
      <c r="AG43" s="2">
        <f t="shared" si="13"/>
        <v>1459.376803424675</v>
      </c>
      <c r="AH43" s="2">
        <v>-8.69276923367579E-5</v>
      </c>
      <c r="AI43" s="2">
        <f t="shared" si="14"/>
        <v>1459.3768037011614</v>
      </c>
      <c r="AJ43" s="2">
        <v>-2.8770716653525596E-7</v>
      </c>
      <c r="AK43" s="2">
        <f t="shared" si="9"/>
        <v>1459.3768035629182</v>
      </c>
      <c r="AL43" s="2">
        <v>3.6396272662386764E-7</v>
      </c>
      <c r="AM43" s="2">
        <f t="shared" si="10"/>
        <v>-3.1638439922007089E-11</v>
      </c>
      <c r="AN43" s="2">
        <f t="shared" si="11"/>
        <v>-1.0471468480139893E-13</v>
      </c>
      <c r="AO43" s="2">
        <f t="shared" si="12"/>
        <v>2.7648638933897018E-7</v>
      </c>
    </row>
    <row r="44" spans="2:41" x14ac:dyDescent="0.2">
      <c r="J44" s="18" t="s">
        <v>74</v>
      </c>
      <c r="K44" s="6">
        <f>ROUND(SUM(K16:K19), 2)</f>
        <v>231.18</v>
      </c>
      <c r="L44" s="6" t="s">
        <v>7</v>
      </c>
      <c r="AF44" s="2">
        <v>40</v>
      </c>
      <c r="AG44" s="2">
        <f t="shared" si="13"/>
        <v>1459.376803424675</v>
      </c>
      <c r="AH44" s="2">
        <v>-8.69276923367579E-5</v>
      </c>
      <c r="AI44" s="2">
        <f t="shared" si="14"/>
        <v>1459.3768037011614</v>
      </c>
      <c r="AJ44" s="2">
        <v>-2.9839065973646939E-7</v>
      </c>
      <c r="AK44" s="5">
        <f t="shared" si="9"/>
        <v>1459.3768035629182</v>
      </c>
      <c r="AL44" s="2">
        <v>3.6930430269421777E-7</v>
      </c>
      <c r="AM44" s="2">
        <f t="shared" si="10"/>
        <v>-3.2102770803243874E-11</v>
      </c>
      <c r="AN44" s="2">
        <f t="shared" si="11"/>
        <v>-1.1019695452444443E-13</v>
      </c>
      <c r="AO44" s="2">
        <f t="shared" si="12"/>
        <v>2.7648638933897018E-7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365.31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68.84</v>
      </c>
      <c r="L46" s="6" t="s">
        <v>7</v>
      </c>
    </row>
    <row r="47" spans="2:41" x14ac:dyDescent="0.2">
      <c r="J47" s="9" t="s">
        <v>60</v>
      </c>
      <c r="K47" s="9">
        <f>SUM(K42:K46)</f>
        <v>1459.3799999999999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2025-05-18T16:26:34Z</dcterms:modified>
</cp:coreProperties>
</file>