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6_multipoint_optimization_with_varying_batteries/without_fixed_empty_weight/weighted_sum_of_takeoff_weight/multirotor/"/>
    </mc:Choice>
  </mc:AlternateContent>
  <xr:revisionPtr revIDLastSave="0" documentId="13_ncr:1_{A73C47A2-D2F1-E341-9E6C-844591C92DEE}" xr6:coauthVersionLast="47" xr6:coauthVersionMax="47" xr10:uidLastSave="{00000000-0000-0000-0000-000000000000}"/>
  <bookViews>
    <workbookView xWindow="15320" yWindow="740" windowWidth="14920" windowHeight="18900" xr2:uid="{843CD013-835A-1741-B375-CD508AE79BD2}"/>
  </bookViews>
  <sheets>
    <sheet name="obj_val" sheetId="26" r:id="rId1"/>
    <sheet name="uniform_250" sheetId="22" r:id="rId2"/>
    <sheet name="uniform_400" sheetId="23" r:id="rId3"/>
    <sheet name="uniform_550" sheetId="24" r:id="rId4"/>
    <sheet name="uniform_700" sheetId="25" r:id="rId5"/>
    <sheet name="linear_250" sheetId="13" r:id="rId6"/>
    <sheet name="linear_400" sheetId="19" r:id="rId7"/>
    <sheet name="linear_550" sheetId="20" r:id="rId8"/>
    <sheet name="linear_700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6" l="1"/>
  <c r="E14" i="26"/>
  <c r="E13" i="26"/>
  <c r="E12" i="26"/>
  <c r="E10" i="26"/>
  <c r="E9" i="26"/>
  <c r="E8" i="26"/>
  <c r="E7" i="26"/>
  <c r="O45" i="25"/>
  <c r="AN44" i="25"/>
  <c r="AM44" i="25"/>
  <c r="O44" i="25"/>
  <c r="AN43" i="25"/>
  <c r="AM43" i="25"/>
  <c r="AN42" i="25"/>
  <c r="AM42" i="25"/>
  <c r="AN41" i="25"/>
  <c r="AM41" i="25"/>
  <c r="AN40" i="25"/>
  <c r="AM40" i="25"/>
  <c r="AN39" i="25"/>
  <c r="AM39" i="25"/>
  <c r="AN38" i="25"/>
  <c r="AM38" i="25"/>
  <c r="AN37" i="25"/>
  <c r="AM37" i="25"/>
  <c r="AN36" i="25"/>
  <c r="AM36" i="25"/>
  <c r="AN35" i="25"/>
  <c r="AM35" i="25"/>
  <c r="AN34" i="25"/>
  <c r="AM34" i="25"/>
  <c r="G34" i="25"/>
  <c r="AN33" i="25"/>
  <c r="AM33" i="25"/>
  <c r="C33" i="25"/>
  <c r="AN32" i="25"/>
  <c r="AM32" i="25"/>
  <c r="AN31" i="25"/>
  <c r="AM31" i="25"/>
  <c r="K31" i="25"/>
  <c r="C31" i="25"/>
  <c r="AN30" i="25"/>
  <c r="AM30" i="25"/>
  <c r="AN29" i="25"/>
  <c r="AM29" i="25"/>
  <c r="AN28" i="25"/>
  <c r="AM28" i="25"/>
  <c r="G28" i="25"/>
  <c r="AN27" i="25"/>
  <c r="AM27" i="25"/>
  <c r="G27" i="25"/>
  <c r="AN26" i="25"/>
  <c r="AM26" i="25"/>
  <c r="K26" i="25"/>
  <c r="G26" i="25"/>
  <c r="AN25" i="25"/>
  <c r="AM25" i="25"/>
  <c r="K25" i="25"/>
  <c r="G25" i="25"/>
  <c r="G31" i="25" s="1"/>
  <c r="G29" i="25" s="1"/>
  <c r="AN24" i="25"/>
  <c r="AM24" i="25"/>
  <c r="K24" i="25"/>
  <c r="AN23" i="25"/>
  <c r="AM23" i="25"/>
  <c r="K23" i="25"/>
  <c r="AN22" i="25"/>
  <c r="AM22" i="25"/>
  <c r="AN21" i="25"/>
  <c r="AM21" i="25"/>
  <c r="K21" i="25"/>
  <c r="AN20" i="25"/>
  <c r="AM20" i="25"/>
  <c r="K20" i="25"/>
  <c r="AN19" i="25"/>
  <c r="AM19" i="25"/>
  <c r="O19" i="25"/>
  <c r="G16" i="25" s="1"/>
  <c r="G17" i="25" s="1"/>
  <c r="K19" i="25"/>
  <c r="AN18" i="25"/>
  <c r="AM18" i="25"/>
  <c r="K18" i="25"/>
  <c r="AN17" i="25"/>
  <c r="AM17" i="25"/>
  <c r="AN16" i="25"/>
  <c r="AM16" i="25"/>
  <c r="AN15" i="25"/>
  <c r="AM15" i="25"/>
  <c r="AN14" i="25"/>
  <c r="AM14" i="25"/>
  <c r="C14" i="25"/>
  <c r="G15" i="25" s="1"/>
  <c r="AN13" i="25"/>
  <c r="AM13" i="25"/>
  <c r="C13" i="25"/>
  <c r="K39" i="25" s="1"/>
  <c r="AN12" i="25"/>
  <c r="AM12" i="25"/>
  <c r="K12" i="25"/>
  <c r="AN11" i="25"/>
  <c r="AM11" i="25"/>
  <c r="AN10" i="25"/>
  <c r="AM10" i="25"/>
  <c r="C10" i="25"/>
  <c r="AN9" i="25"/>
  <c r="AM9" i="25"/>
  <c r="G9" i="25"/>
  <c r="AN8" i="25"/>
  <c r="AM8" i="25"/>
  <c r="C8" i="25"/>
  <c r="AN7" i="25"/>
  <c r="AM7" i="25"/>
  <c r="G7" i="25"/>
  <c r="G8" i="25" s="1"/>
  <c r="AN6" i="25"/>
  <c r="AM6" i="25"/>
  <c r="AO5" i="25"/>
  <c r="AN5" i="25"/>
  <c r="AI6" i="25" s="1"/>
  <c r="AM5" i="25"/>
  <c r="AG6" i="25" s="1"/>
  <c r="AK5" i="25"/>
  <c r="O5" i="25"/>
  <c r="O7" i="25" s="1"/>
  <c r="O10" i="25" s="1"/>
  <c r="G5" i="25"/>
  <c r="G6" i="25" s="1"/>
  <c r="K9" i="25" s="1"/>
  <c r="AD4" i="25"/>
  <c r="Z4" i="25"/>
  <c r="O4" i="25"/>
  <c r="G4" i="25"/>
  <c r="G12" i="25" s="1"/>
  <c r="O45" i="24"/>
  <c r="AN44" i="24"/>
  <c r="AM44" i="24"/>
  <c r="O44" i="24"/>
  <c r="AN43" i="24"/>
  <c r="AM43" i="24"/>
  <c r="AN42" i="24"/>
  <c r="AM42" i="24"/>
  <c r="AN41" i="24"/>
  <c r="AM41" i="24"/>
  <c r="AN40" i="24"/>
  <c r="AM40" i="24"/>
  <c r="AN39" i="24"/>
  <c r="AM39" i="24"/>
  <c r="AN38" i="24"/>
  <c r="AM38" i="24"/>
  <c r="AN37" i="24"/>
  <c r="AM37" i="24"/>
  <c r="AN36" i="24"/>
  <c r="AM36" i="24"/>
  <c r="AN35" i="24"/>
  <c r="AM35" i="24"/>
  <c r="AN34" i="24"/>
  <c r="AM34" i="24"/>
  <c r="G34" i="24"/>
  <c r="AN33" i="24"/>
  <c r="AM33" i="24"/>
  <c r="C33" i="24"/>
  <c r="AN32" i="24"/>
  <c r="AM32" i="24"/>
  <c r="AN31" i="24"/>
  <c r="AM31" i="24"/>
  <c r="K31" i="24"/>
  <c r="G31" i="24"/>
  <c r="G29" i="24" s="1"/>
  <c r="C31" i="24"/>
  <c r="AN30" i="24"/>
  <c r="AM30" i="24"/>
  <c r="AN29" i="24"/>
  <c r="AM29" i="24"/>
  <c r="AN28" i="24"/>
  <c r="AM28" i="24"/>
  <c r="G28" i="24"/>
  <c r="AN27" i="24"/>
  <c r="AM27" i="24"/>
  <c r="AN26" i="24"/>
  <c r="AM26" i="24"/>
  <c r="K26" i="24"/>
  <c r="G26" i="24"/>
  <c r="AN25" i="24"/>
  <c r="AM25" i="24"/>
  <c r="K25" i="24"/>
  <c r="G25" i="24"/>
  <c r="G27" i="24" s="1"/>
  <c r="AN24" i="24"/>
  <c r="AM24" i="24"/>
  <c r="K24" i="24"/>
  <c r="AN23" i="24"/>
  <c r="AM23" i="24"/>
  <c r="K23" i="24"/>
  <c r="AN22" i="24"/>
  <c r="AM22" i="24"/>
  <c r="AN21" i="24"/>
  <c r="AM21" i="24"/>
  <c r="K21" i="24"/>
  <c r="AN20" i="24"/>
  <c r="AM20" i="24"/>
  <c r="K20" i="24"/>
  <c r="C20" i="24"/>
  <c r="AN19" i="24"/>
  <c r="AM19" i="24"/>
  <c r="O19" i="24"/>
  <c r="G16" i="24" s="1"/>
  <c r="G17" i="24" s="1"/>
  <c r="K19" i="24"/>
  <c r="AN18" i="24"/>
  <c r="AM18" i="24"/>
  <c r="K18" i="24"/>
  <c r="AN17" i="24"/>
  <c r="AM17" i="24"/>
  <c r="AN16" i="24"/>
  <c r="AM16" i="24"/>
  <c r="AN15" i="24"/>
  <c r="AM15" i="24"/>
  <c r="AN14" i="24"/>
  <c r="AM14" i="24"/>
  <c r="C14" i="24"/>
  <c r="AN13" i="24"/>
  <c r="AM13" i="24"/>
  <c r="C13" i="24"/>
  <c r="K39" i="24" s="1"/>
  <c r="AN12" i="24"/>
  <c r="AM12" i="24"/>
  <c r="K12" i="24"/>
  <c r="G12" i="24"/>
  <c r="AN11" i="24"/>
  <c r="AM11" i="24"/>
  <c r="AN10" i="24"/>
  <c r="AM10" i="24"/>
  <c r="C10" i="24"/>
  <c r="AN9" i="24"/>
  <c r="AM9" i="24"/>
  <c r="G9" i="24"/>
  <c r="AN8" i="24"/>
  <c r="AM8" i="24"/>
  <c r="C8" i="24"/>
  <c r="AN7" i="24"/>
  <c r="AM7" i="24"/>
  <c r="G7" i="24"/>
  <c r="G8" i="24" s="1"/>
  <c r="AN6" i="24"/>
  <c r="AM6" i="24"/>
  <c r="AO5" i="24"/>
  <c r="AN5" i="24"/>
  <c r="AI6" i="24" s="1"/>
  <c r="AM5" i="24"/>
  <c r="AG6" i="24" s="1"/>
  <c r="AK5" i="24"/>
  <c r="O5" i="24"/>
  <c r="O7" i="24" s="1"/>
  <c r="O10" i="24" s="1"/>
  <c r="G5" i="24"/>
  <c r="G6" i="24" s="1"/>
  <c r="AD4" i="24"/>
  <c r="Z4" i="24"/>
  <c r="O4" i="24"/>
  <c r="G4" i="24"/>
  <c r="O45" i="23"/>
  <c r="AN44" i="23"/>
  <c r="AM44" i="23"/>
  <c r="O44" i="23"/>
  <c r="AN43" i="23"/>
  <c r="AM43" i="23"/>
  <c r="AN42" i="23"/>
  <c r="AM42" i="23"/>
  <c r="AN41" i="23"/>
  <c r="AM41" i="23"/>
  <c r="AN40" i="23"/>
  <c r="AM40" i="23"/>
  <c r="AN39" i="23"/>
  <c r="AM39" i="23"/>
  <c r="AN38" i="23"/>
  <c r="AM38" i="23"/>
  <c r="AN37" i="23"/>
  <c r="AM37" i="23"/>
  <c r="AN36" i="23"/>
  <c r="AM36" i="23"/>
  <c r="AN35" i="23"/>
  <c r="AM35" i="23"/>
  <c r="AN34" i="23"/>
  <c r="AM34" i="23"/>
  <c r="G34" i="23"/>
  <c r="AN33" i="23"/>
  <c r="AM33" i="23"/>
  <c r="C33" i="23"/>
  <c r="AN32" i="23"/>
  <c r="AM32" i="23"/>
  <c r="AN31" i="23"/>
  <c r="AM31" i="23"/>
  <c r="K31" i="23"/>
  <c r="C31" i="23"/>
  <c r="AN30" i="23"/>
  <c r="AM30" i="23"/>
  <c r="AN29" i="23"/>
  <c r="AM29" i="23"/>
  <c r="AN28" i="23"/>
  <c r="AM28" i="23"/>
  <c r="G28" i="23"/>
  <c r="AN27" i="23"/>
  <c r="AM27" i="23"/>
  <c r="AN26" i="23"/>
  <c r="AM26" i="23"/>
  <c r="K26" i="23"/>
  <c r="G26" i="23"/>
  <c r="AN25" i="23"/>
  <c r="AM25" i="23"/>
  <c r="K25" i="23"/>
  <c r="G25" i="23"/>
  <c r="G27" i="23" s="1"/>
  <c r="AN24" i="23"/>
  <c r="AM24" i="23"/>
  <c r="K24" i="23"/>
  <c r="AN23" i="23"/>
  <c r="AM23" i="23"/>
  <c r="K23" i="23"/>
  <c r="AN22" i="23"/>
  <c r="AM22" i="23"/>
  <c r="AN21" i="23"/>
  <c r="AM21" i="23"/>
  <c r="K21" i="23"/>
  <c r="AN20" i="23"/>
  <c r="AM20" i="23"/>
  <c r="K20" i="23"/>
  <c r="AN19" i="23"/>
  <c r="AM19" i="23"/>
  <c r="O19" i="23"/>
  <c r="K19" i="23"/>
  <c r="AN18" i="23"/>
  <c r="AM18" i="23"/>
  <c r="K18" i="23"/>
  <c r="AN17" i="23"/>
  <c r="AM17" i="23"/>
  <c r="AN16" i="23"/>
  <c r="AM16" i="23"/>
  <c r="G16" i="23"/>
  <c r="G17" i="23" s="1"/>
  <c r="AN15" i="23"/>
  <c r="AM15" i="23"/>
  <c r="AN14" i="23"/>
  <c r="AM14" i="23"/>
  <c r="C14" i="23"/>
  <c r="G15" i="23" s="1"/>
  <c r="AN13" i="23"/>
  <c r="AM13" i="23"/>
  <c r="C13" i="23"/>
  <c r="K39" i="23" s="1"/>
  <c r="AN12" i="23"/>
  <c r="AM12" i="23"/>
  <c r="K12" i="23"/>
  <c r="AN11" i="23"/>
  <c r="AM11" i="23"/>
  <c r="AN10" i="23"/>
  <c r="AM10" i="23"/>
  <c r="C10" i="23"/>
  <c r="C20" i="23" s="1"/>
  <c r="AN9" i="23"/>
  <c r="AM9" i="23"/>
  <c r="G9" i="23"/>
  <c r="AN8" i="23"/>
  <c r="AM8" i="23"/>
  <c r="G8" i="23"/>
  <c r="C8" i="23"/>
  <c r="AN7" i="23"/>
  <c r="AM7" i="23"/>
  <c r="G7" i="23"/>
  <c r="AN6" i="23"/>
  <c r="AM6" i="23"/>
  <c r="AO5" i="23"/>
  <c r="AN5" i="23"/>
  <c r="AI6" i="23" s="1"/>
  <c r="AM5" i="23"/>
  <c r="AG6" i="23" s="1"/>
  <c r="AK5" i="23"/>
  <c r="O5" i="23"/>
  <c r="O7" i="23" s="1"/>
  <c r="O10" i="23" s="1"/>
  <c r="G5" i="23"/>
  <c r="G6" i="23" s="1"/>
  <c r="AD4" i="23"/>
  <c r="Z4" i="23"/>
  <c r="O4" i="23"/>
  <c r="G4" i="23"/>
  <c r="G12" i="23" s="1"/>
  <c r="O45" i="22"/>
  <c r="AN44" i="22"/>
  <c r="AM44" i="22"/>
  <c r="O44" i="22"/>
  <c r="AN43" i="22"/>
  <c r="AM43" i="22"/>
  <c r="AN42" i="22"/>
  <c r="AM42" i="22"/>
  <c r="AN41" i="22"/>
  <c r="AM41" i="22"/>
  <c r="AN40" i="22"/>
  <c r="AM40" i="22"/>
  <c r="AN39" i="22"/>
  <c r="AM39" i="22"/>
  <c r="AN38" i="22"/>
  <c r="AM38" i="22"/>
  <c r="AN37" i="22"/>
  <c r="AM37" i="22"/>
  <c r="AN36" i="22"/>
  <c r="AM36" i="22"/>
  <c r="AN35" i="22"/>
  <c r="AM35" i="22"/>
  <c r="AN34" i="22"/>
  <c r="AM34" i="22"/>
  <c r="G34" i="22"/>
  <c r="AN33" i="22"/>
  <c r="AM33" i="22"/>
  <c r="C33" i="22"/>
  <c r="AN32" i="22"/>
  <c r="AM32" i="22"/>
  <c r="AN31" i="22"/>
  <c r="AM31" i="22"/>
  <c r="K31" i="22"/>
  <c r="C31" i="22"/>
  <c r="AN30" i="22"/>
  <c r="AM30" i="22"/>
  <c r="AN29" i="22"/>
  <c r="AM29" i="22"/>
  <c r="AN28" i="22"/>
  <c r="AM28" i="22"/>
  <c r="G28" i="22"/>
  <c r="AN27" i="22"/>
  <c r="AM27" i="22"/>
  <c r="AN26" i="22"/>
  <c r="AM26" i="22"/>
  <c r="K26" i="22"/>
  <c r="G26" i="22"/>
  <c r="AN25" i="22"/>
  <c r="AM25" i="22"/>
  <c r="K25" i="22"/>
  <c r="G25" i="22"/>
  <c r="G27" i="22" s="1"/>
  <c r="AN24" i="22"/>
  <c r="AM24" i="22"/>
  <c r="K24" i="22"/>
  <c r="AN23" i="22"/>
  <c r="AM23" i="22"/>
  <c r="K23" i="22"/>
  <c r="AN22" i="22"/>
  <c r="AM22" i="22"/>
  <c r="AN21" i="22"/>
  <c r="AM21" i="22"/>
  <c r="K21" i="22"/>
  <c r="AN20" i="22"/>
  <c r="AM20" i="22"/>
  <c r="K20" i="22"/>
  <c r="AN19" i="22"/>
  <c r="AM19" i="22"/>
  <c r="O19" i="22"/>
  <c r="G16" i="22" s="1"/>
  <c r="G17" i="22" s="1"/>
  <c r="K19" i="22"/>
  <c r="AN18" i="22"/>
  <c r="AM18" i="22"/>
  <c r="K18" i="22"/>
  <c r="AN17" i="22"/>
  <c r="AM17" i="22"/>
  <c r="AN16" i="22"/>
  <c r="AM16" i="22"/>
  <c r="AN15" i="22"/>
  <c r="AM15" i="22"/>
  <c r="AN14" i="22"/>
  <c r="AM14" i="22"/>
  <c r="C14" i="22"/>
  <c r="G15" i="22" s="1"/>
  <c r="AN13" i="22"/>
  <c r="AM13" i="22"/>
  <c r="C13" i="22"/>
  <c r="K39" i="22" s="1"/>
  <c r="AN12" i="22"/>
  <c r="AM12" i="22"/>
  <c r="K12" i="22"/>
  <c r="AN11" i="22"/>
  <c r="AM11" i="22"/>
  <c r="AN10" i="22"/>
  <c r="AM10" i="22"/>
  <c r="C10" i="22"/>
  <c r="AN9" i="22"/>
  <c r="AM9" i="22"/>
  <c r="G9" i="22"/>
  <c r="AN8" i="22"/>
  <c r="AM8" i="22"/>
  <c r="C8" i="22"/>
  <c r="AN7" i="22"/>
  <c r="AM7" i="22"/>
  <c r="G7" i="22"/>
  <c r="G8" i="22" s="1"/>
  <c r="AN6" i="22"/>
  <c r="AM6" i="22"/>
  <c r="AO5" i="22"/>
  <c r="AN5" i="22"/>
  <c r="AI6" i="22" s="1"/>
  <c r="AM5" i="22"/>
  <c r="AG6" i="22" s="1"/>
  <c r="AK5" i="22"/>
  <c r="O5" i="22"/>
  <c r="O7" i="22" s="1"/>
  <c r="O10" i="22" s="1"/>
  <c r="G5" i="22"/>
  <c r="G6" i="22" s="1"/>
  <c r="AD4" i="22"/>
  <c r="Z4" i="22"/>
  <c r="O4" i="22"/>
  <c r="G4" i="22"/>
  <c r="G12" i="22" s="1"/>
  <c r="O45" i="21"/>
  <c r="AN44" i="21"/>
  <c r="AM44" i="21"/>
  <c r="O44" i="21"/>
  <c r="AN43" i="21"/>
  <c r="AM43" i="21"/>
  <c r="AN42" i="21"/>
  <c r="AM42" i="21"/>
  <c r="AN41" i="21"/>
  <c r="AM41" i="21"/>
  <c r="AN40" i="21"/>
  <c r="AM40" i="21"/>
  <c r="AN39" i="21"/>
  <c r="AM39" i="21"/>
  <c r="AN38" i="21"/>
  <c r="AM38" i="21"/>
  <c r="AN37" i="21"/>
  <c r="AM37" i="21"/>
  <c r="AN36" i="21"/>
  <c r="AM36" i="21"/>
  <c r="AN35" i="21"/>
  <c r="AM35" i="21"/>
  <c r="AN34" i="21"/>
  <c r="AM34" i="21"/>
  <c r="G34" i="21"/>
  <c r="AN33" i="21"/>
  <c r="AM33" i="21"/>
  <c r="C33" i="21"/>
  <c r="AN32" i="21"/>
  <c r="AM32" i="21"/>
  <c r="AN31" i="21"/>
  <c r="AM31" i="21"/>
  <c r="K31" i="21"/>
  <c r="C31" i="21"/>
  <c r="K19" i="21" s="1"/>
  <c r="AN30" i="21"/>
  <c r="AM30" i="21"/>
  <c r="AN29" i="21"/>
  <c r="AM29" i="21"/>
  <c r="AN28" i="21"/>
  <c r="AM28" i="21"/>
  <c r="G28" i="21"/>
  <c r="AN27" i="21"/>
  <c r="AM27" i="21"/>
  <c r="AN26" i="21"/>
  <c r="AM26" i="21"/>
  <c r="K26" i="21"/>
  <c r="G26" i="21"/>
  <c r="AN25" i="21"/>
  <c r="AM25" i="21"/>
  <c r="K25" i="21"/>
  <c r="G25" i="21"/>
  <c r="G31" i="21" s="1"/>
  <c r="G29" i="21" s="1"/>
  <c r="AN24" i="21"/>
  <c r="AM24" i="21"/>
  <c r="K24" i="21"/>
  <c r="AN23" i="21"/>
  <c r="AM23" i="21"/>
  <c r="K23" i="21"/>
  <c r="AN22" i="21"/>
  <c r="AM22" i="21"/>
  <c r="AN21" i="21"/>
  <c r="AM21" i="21"/>
  <c r="K21" i="21"/>
  <c r="AN20" i="21"/>
  <c r="AM20" i="21"/>
  <c r="K20" i="21"/>
  <c r="AN19" i="21"/>
  <c r="AM19" i="21"/>
  <c r="O19" i="21"/>
  <c r="G16" i="21" s="1"/>
  <c r="G17" i="21" s="1"/>
  <c r="AN18" i="21"/>
  <c r="AM18" i="21"/>
  <c r="K18" i="21"/>
  <c r="AN17" i="21"/>
  <c r="AM17" i="21"/>
  <c r="AN16" i="21"/>
  <c r="AM16" i="21"/>
  <c r="AN15" i="21"/>
  <c r="AM15" i="21"/>
  <c r="AN14" i="21"/>
  <c r="AM14" i="21"/>
  <c r="C14" i="21"/>
  <c r="AN13" i="21"/>
  <c r="AM13" i="21"/>
  <c r="C13" i="21"/>
  <c r="K39" i="21" s="1"/>
  <c r="AN12" i="21"/>
  <c r="AM12" i="21"/>
  <c r="K12" i="21"/>
  <c r="G12" i="21"/>
  <c r="AN11" i="21"/>
  <c r="AM11" i="21"/>
  <c r="AN10" i="21"/>
  <c r="AM10" i="21"/>
  <c r="C10" i="21"/>
  <c r="C20" i="21" s="1"/>
  <c r="AN9" i="21"/>
  <c r="AM9" i="21"/>
  <c r="G9" i="21"/>
  <c r="AN8" i="21"/>
  <c r="AM8" i="21"/>
  <c r="C8" i="21"/>
  <c r="AN7" i="21"/>
  <c r="AM7" i="21"/>
  <c r="G7" i="21"/>
  <c r="G8" i="21" s="1"/>
  <c r="AN6" i="21"/>
  <c r="AM6" i="21"/>
  <c r="AO5" i="21"/>
  <c r="AN5" i="21"/>
  <c r="AM5" i="21"/>
  <c r="AG6" i="21" s="1"/>
  <c r="AK5" i="21"/>
  <c r="O5" i="21"/>
  <c r="O7" i="21" s="1"/>
  <c r="O10" i="21" s="1"/>
  <c r="G5" i="21"/>
  <c r="G6" i="21" s="1"/>
  <c r="AD4" i="21"/>
  <c r="Z4" i="21"/>
  <c r="G4" i="21"/>
  <c r="O45" i="20"/>
  <c r="AN44" i="20"/>
  <c r="AM44" i="20"/>
  <c r="O44" i="20"/>
  <c r="AN43" i="20"/>
  <c r="AM43" i="20"/>
  <c r="AN42" i="20"/>
  <c r="AM42" i="20"/>
  <c r="AN41" i="20"/>
  <c r="AM41" i="20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G34" i="20"/>
  <c r="AN33" i="20"/>
  <c r="AM33" i="20"/>
  <c r="C33" i="20"/>
  <c r="AN32" i="20"/>
  <c r="AM32" i="20"/>
  <c r="AN31" i="20"/>
  <c r="AM31" i="20"/>
  <c r="K31" i="20"/>
  <c r="C31" i="20"/>
  <c r="AN30" i="20"/>
  <c r="AM30" i="20"/>
  <c r="AN29" i="20"/>
  <c r="AM29" i="20"/>
  <c r="AN28" i="20"/>
  <c r="AM28" i="20"/>
  <c r="G28" i="20"/>
  <c r="AN27" i="20"/>
  <c r="AM27" i="20"/>
  <c r="G27" i="20"/>
  <c r="AN26" i="20"/>
  <c r="AM26" i="20"/>
  <c r="K26" i="20"/>
  <c r="G26" i="20"/>
  <c r="AN25" i="20"/>
  <c r="AM25" i="20"/>
  <c r="K25" i="20"/>
  <c r="G25" i="20"/>
  <c r="G31" i="20" s="1"/>
  <c r="G29" i="20" s="1"/>
  <c r="AN24" i="20"/>
  <c r="AM24" i="20"/>
  <c r="K24" i="20"/>
  <c r="AN23" i="20"/>
  <c r="AM23" i="20"/>
  <c r="K23" i="20"/>
  <c r="AN22" i="20"/>
  <c r="AM22" i="20"/>
  <c r="AN21" i="20"/>
  <c r="AM21" i="20"/>
  <c r="K21" i="20"/>
  <c r="AN20" i="20"/>
  <c r="AM20" i="20"/>
  <c r="K20" i="20"/>
  <c r="AN19" i="20"/>
  <c r="AM19" i="20"/>
  <c r="O19" i="20"/>
  <c r="G16" i="20" s="1"/>
  <c r="G17" i="20" s="1"/>
  <c r="K19" i="20"/>
  <c r="AN18" i="20"/>
  <c r="AM18" i="20"/>
  <c r="K18" i="20"/>
  <c r="AN17" i="20"/>
  <c r="AM17" i="20"/>
  <c r="AN16" i="20"/>
  <c r="AM16" i="20"/>
  <c r="AN15" i="20"/>
  <c r="AM15" i="20"/>
  <c r="AN14" i="20"/>
  <c r="AM14" i="20"/>
  <c r="C14" i="20"/>
  <c r="G15" i="20" s="1"/>
  <c r="AN13" i="20"/>
  <c r="AM13" i="20"/>
  <c r="C13" i="20"/>
  <c r="K39" i="20" s="1"/>
  <c r="AN12" i="20"/>
  <c r="AM12" i="20"/>
  <c r="K12" i="20"/>
  <c r="AN11" i="20"/>
  <c r="AM11" i="20"/>
  <c r="AN10" i="20"/>
  <c r="AM10" i="20"/>
  <c r="C10" i="20"/>
  <c r="C20" i="20" s="1"/>
  <c r="AN9" i="20"/>
  <c r="AM9" i="20"/>
  <c r="G9" i="20"/>
  <c r="AN8" i="20"/>
  <c r="AM8" i="20"/>
  <c r="C8" i="20"/>
  <c r="AN7" i="20"/>
  <c r="AM7" i="20"/>
  <c r="G7" i="20"/>
  <c r="G8" i="20" s="1"/>
  <c r="AN6" i="20"/>
  <c r="AM6" i="20"/>
  <c r="AO5" i="20"/>
  <c r="AN5" i="20"/>
  <c r="AM5" i="20"/>
  <c r="AG6" i="20" s="1"/>
  <c r="AK5" i="20"/>
  <c r="O5" i="20"/>
  <c r="O7" i="20" s="1"/>
  <c r="O10" i="20" s="1"/>
  <c r="G5" i="20"/>
  <c r="AD4" i="20"/>
  <c r="Z4" i="20"/>
  <c r="O4" i="20"/>
  <c r="G4" i="20"/>
  <c r="G12" i="20" s="1"/>
  <c r="K22" i="20" s="1"/>
  <c r="O45" i="19"/>
  <c r="AN44" i="19"/>
  <c r="AM44" i="19"/>
  <c r="O44" i="19"/>
  <c r="AN43" i="19"/>
  <c r="AM43" i="19"/>
  <c r="AN42" i="19"/>
  <c r="AM42" i="19"/>
  <c r="AN41" i="19"/>
  <c r="AM41" i="19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G34" i="19"/>
  <c r="AN33" i="19"/>
  <c r="AM33" i="19"/>
  <c r="C33" i="19"/>
  <c r="AN32" i="19"/>
  <c r="AM32" i="19"/>
  <c r="AN31" i="19"/>
  <c r="AM31" i="19"/>
  <c r="K31" i="19"/>
  <c r="C31" i="19"/>
  <c r="AN30" i="19"/>
  <c r="AM30" i="19"/>
  <c r="AN29" i="19"/>
  <c r="AM29" i="19"/>
  <c r="AN28" i="19"/>
  <c r="AM28" i="19"/>
  <c r="G28" i="19"/>
  <c r="AN27" i="19"/>
  <c r="AM27" i="19"/>
  <c r="AN26" i="19"/>
  <c r="AM26" i="19"/>
  <c r="K26" i="19"/>
  <c r="G26" i="19"/>
  <c r="AN25" i="19"/>
  <c r="AM25" i="19"/>
  <c r="K25" i="19"/>
  <c r="G25" i="19"/>
  <c r="G31" i="19" s="1"/>
  <c r="G29" i="19" s="1"/>
  <c r="AN24" i="19"/>
  <c r="AM24" i="19"/>
  <c r="K24" i="19"/>
  <c r="AN23" i="19"/>
  <c r="AM23" i="19"/>
  <c r="K23" i="19"/>
  <c r="AN22" i="19"/>
  <c r="AM22" i="19"/>
  <c r="AN21" i="19"/>
  <c r="AM21" i="19"/>
  <c r="K21" i="19"/>
  <c r="AN20" i="19"/>
  <c r="AM20" i="19"/>
  <c r="K20" i="19"/>
  <c r="AN19" i="19"/>
  <c r="AM19" i="19"/>
  <c r="O19" i="19"/>
  <c r="G16" i="19" s="1"/>
  <c r="G17" i="19" s="1"/>
  <c r="K19" i="19"/>
  <c r="AN18" i="19"/>
  <c r="AM18" i="19"/>
  <c r="K18" i="19"/>
  <c r="AN17" i="19"/>
  <c r="AM17" i="19"/>
  <c r="AN16" i="19"/>
  <c r="AM16" i="19"/>
  <c r="AN15" i="19"/>
  <c r="AM15" i="19"/>
  <c r="AN14" i="19"/>
  <c r="AM14" i="19"/>
  <c r="C14" i="19"/>
  <c r="AN13" i="19"/>
  <c r="AM13" i="19"/>
  <c r="C13" i="19"/>
  <c r="K39" i="19" s="1"/>
  <c r="AN12" i="19"/>
  <c r="AM12" i="19"/>
  <c r="K12" i="19"/>
  <c r="AN11" i="19"/>
  <c r="AM11" i="19"/>
  <c r="AN10" i="19"/>
  <c r="AM10" i="19"/>
  <c r="C10" i="19"/>
  <c r="C20" i="19" s="1"/>
  <c r="AN9" i="19"/>
  <c r="AM9" i="19"/>
  <c r="G9" i="19"/>
  <c r="AN8" i="19"/>
  <c r="AM8" i="19"/>
  <c r="C8" i="19"/>
  <c r="AN7" i="19"/>
  <c r="AM7" i="19"/>
  <c r="G7" i="19"/>
  <c r="G8" i="19" s="1"/>
  <c r="AN6" i="19"/>
  <c r="AM6" i="19"/>
  <c r="AO5" i="19"/>
  <c r="AN5" i="19"/>
  <c r="AI6" i="19" s="1"/>
  <c r="AM5" i="19"/>
  <c r="AG6" i="19" s="1"/>
  <c r="AK5" i="19"/>
  <c r="O5" i="19"/>
  <c r="O7" i="19" s="1"/>
  <c r="O10" i="19" s="1"/>
  <c r="G5" i="19"/>
  <c r="G6" i="19" s="1"/>
  <c r="AD4" i="19"/>
  <c r="Z4" i="19"/>
  <c r="O4" i="19"/>
  <c r="G4" i="19"/>
  <c r="G12" i="19" s="1"/>
  <c r="C8" i="13"/>
  <c r="O4" i="13" s="1"/>
  <c r="C14" i="13"/>
  <c r="O5" i="13"/>
  <c r="G34" i="13"/>
  <c r="F4" i="26" l="1"/>
  <c r="E4" i="26"/>
  <c r="AK6" i="22"/>
  <c r="K35" i="25"/>
  <c r="K43" i="25"/>
  <c r="G30" i="24"/>
  <c r="G30" i="25"/>
  <c r="AG7" i="25"/>
  <c r="AK6" i="25"/>
  <c r="AI7" i="25" s="1"/>
  <c r="K22" i="25"/>
  <c r="K42" i="25" s="1"/>
  <c r="O46" i="25"/>
  <c r="O47" i="25" s="1"/>
  <c r="G10" i="25"/>
  <c r="G11" i="25" s="1"/>
  <c r="AO6" i="25"/>
  <c r="O8" i="25"/>
  <c r="O9" i="25" s="1"/>
  <c r="O13" i="25" s="1"/>
  <c r="C20" i="25"/>
  <c r="K47" i="25"/>
  <c r="O8" i="24"/>
  <c r="O9" i="24" s="1"/>
  <c r="O13" i="24" s="1"/>
  <c r="K35" i="24"/>
  <c r="AO6" i="24"/>
  <c r="G15" i="24"/>
  <c r="K9" i="24" s="1"/>
  <c r="O14" i="24"/>
  <c r="O17" i="24" s="1"/>
  <c r="O20" i="24" s="1"/>
  <c r="O18" i="24"/>
  <c r="O46" i="24"/>
  <c r="O47" i="24" s="1"/>
  <c r="G10" i="24"/>
  <c r="G11" i="24" s="1"/>
  <c r="K22" i="24"/>
  <c r="K34" i="24" s="1"/>
  <c r="AK6" i="24"/>
  <c r="AG7" i="24" s="1"/>
  <c r="K43" i="24"/>
  <c r="K47" i="24"/>
  <c r="K35" i="23"/>
  <c r="K43" i="23"/>
  <c r="AK6" i="23"/>
  <c r="AG7" i="23" s="1"/>
  <c r="O8" i="22"/>
  <c r="O9" i="22" s="1"/>
  <c r="O13" i="22" s="1"/>
  <c r="O14" i="22" s="1"/>
  <c r="O17" i="22" s="1"/>
  <c r="O20" i="22" s="1"/>
  <c r="K9" i="23"/>
  <c r="AI7" i="23"/>
  <c r="AO6" i="23"/>
  <c r="K22" i="23"/>
  <c r="K42" i="23" s="1"/>
  <c r="G10" i="23"/>
  <c r="G11" i="23" s="1"/>
  <c r="O46" i="23"/>
  <c r="O47" i="23" s="1"/>
  <c r="O8" i="23"/>
  <c r="O9" i="23" s="1"/>
  <c r="O13" i="23" s="1"/>
  <c r="G31" i="23"/>
  <c r="G29" i="23" s="1"/>
  <c r="G30" i="23" s="1"/>
  <c r="K47" i="23"/>
  <c r="K35" i="22"/>
  <c r="K43" i="22"/>
  <c r="AG7" i="22"/>
  <c r="AO6" i="22"/>
  <c r="K22" i="22"/>
  <c r="K42" i="22" s="1"/>
  <c r="O46" i="22"/>
  <c r="O47" i="22" s="1"/>
  <c r="G10" i="22"/>
  <c r="G11" i="22" s="1"/>
  <c r="K9" i="22"/>
  <c r="AI7" i="22"/>
  <c r="C20" i="22"/>
  <c r="G31" i="22"/>
  <c r="G29" i="22" s="1"/>
  <c r="G30" i="22" s="1"/>
  <c r="K47" i="22"/>
  <c r="K35" i="21"/>
  <c r="K43" i="21"/>
  <c r="O46" i="21"/>
  <c r="O47" i="21" s="1"/>
  <c r="G10" i="21"/>
  <c r="G11" i="21" s="1"/>
  <c r="G30" i="21"/>
  <c r="O4" i="21"/>
  <c r="O8" i="21" s="1"/>
  <c r="O9" i="21" s="1"/>
  <c r="O13" i="21" s="1"/>
  <c r="G15" i="21"/>
  <c r="K9" i="21" s="1"/>
  <c r="K22" i="21"/>
  <c r="K34" i="21" s="1"/>
  <c r="AI6" i="21"/>
  <c r="AO6" i="21" s="1"/>
  <c r="AG7" i="21"/>
  <c r="G27" i="21"/>
  <c r="K47" i="21"/>
  <c r="O8" i="20"/>
  <c r="O9" i="20" s="1"/>
  <c r="O13" i="20" s="1"/>
  <c r="O14" i="20" s="1"/>
  <c r="O17" i="20" s="1"/>
  <c r="O20" i="20" s="1"/>
  <c r="O23" i="20" s="1"/>
  <c r="K35" i="20"/>
  <c r="K43" i="20"/>
  <c r="O8" i="19"/>
  <c r="O9" i="19" s="1"/>
  <c r="O13" i="19" s="1"/>
  <c r="O14" i="19" s="1"/>
  <c r="O17" i="19" s="1"/>
  <c r="O20" i="19" s="1"/>
  <c r="AI6" i="20"/>
  <c r="AO6" i="20" s="1"/>
  <c r="K42" i="20"/>
  <c r="K34" i="20"/>
  <c r="O46" i="20"/>
  <c r="O47" i="20" s="1"/>
  <c r="G10" i="20"/>
  <c r="G11" i="20" s="1"/>
  <c r="G30" i="20"/>
  <c r="G6" i="20"/>
  <c r="K9" i="20" s="1"/>
  <c r="K47" i="20"/>
  <c r="G30" i="19"/>
  <c r="K35" i="19"/>
  <c r="K43" i="19"/>
  <c r="AO6" i="19"/>
  <c r="G10" i="19"/>
  <c r="G11" i="19" s="1"/>
  <c r="O46" i="19"/>
  <c r="O47" i="19" s="1"/>
  <c r="K22" i="19"/>
  <c r="K42" i="19" s="1"/>
  <c r="K9" i="19"/>
  <c r="AK6" i="19"/>
  <c r="AG7" i="19" s="1"/>
  <c r="G15" i="19"/>
  <c r="G27" i="19"/>
  <c r="K47" i="19"/>
  <c r="O44" i="13"/>
  <c r="O45" i="13" s="1"/>
  <c r="G7" i="13"/>
  <c r="G8" i="13" s="1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19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AN6" i="13"/>
  <c r="AM6" i="13"/>
  <c r="AO5" i="13"/>
  <c r="AN5" i="13"/>
  <c r="AM5" i="13"/>
  <c r="AK5" i="13"/>
  <c r="G5" i="13"/>
  <c r="G6" i="13" s="1"/>
  <c r="AD4" i="13"/>
  <c r="Z4" i="13"/>
  <c r="G4" i="13"/>
  <c r="AI7" i="24" l="1"/>
  <c r="AK7" i="24" s="1"/>
  <c r="AI8" i="24" s="1"/>
  <c r="AK7" i="25"/>
  <c r="AI8" i="25" s="1"/>
  <c r="O18" i="19"/>
  <c r="O21" i="19" s="1"/>
  <c r="G21" i="19" s="1"/>
  <c r="K34" i="25"/>
  <c r="AG8" i="25"/>
  <c r="AK8" i="25" s="1"/>
  <c r="AO7" i="25"/>
  <c r="O18" i="22"/>
  <c r="O21" i="22" s="1"/>
  <c r="G21" i="22" s="1"/>
  <c r="AG9" i="25"/>
  <c r="AO8" i="25"/>
  <c r="AI9" i="25"/>
  <c r="O14" i="25"/>
  <c r="O17" i="25" s="1"/>
  <c r="O20" i="25" s="1"/>
  <c r="O18" i="25"/>
  <c r="AK7" i="23"/>
  <c r="AI8" i="23" s="1"/>
  <c r="O23" i="24"/>
  <c r="O21" i="24"/>
  <c r="G21" i="24" s="1"/>
  <c r="G18" i="24"/>
  <c r="K14" i="24"/>
  <c r="AO7" i="24"/>
  <c r="K42" i="24"/>
  <c r="K34" i="23"/>
  <c r="AO7" i="23"/>
  <c r="O18" i="23"/>
  <c r="O14" i="23"/>
  <c r="O17" i="23" s="1"/>
  <c r="O20" i="23" s="1"/>
  <c r="O23" i="22"/>
  <c r="K34" i="22"/>
  <c r="AO7" i="22"/>
  <c r="AK7" i="22"/>
  <c r="AI8" i="22" s="1"/>
  <c r="O18" i="20"/>
  <c r="O21" i="20" s="1"/>
  <c r="K42" i="21"/>
  <c r="O18" i="21"/>
  <c r="O14" i="21"/>
  <c r="O17" i="21" s="1"/>
  <c r="O20" i="21" s="1"/>
  <c r="AK6" i="21"/>
  <c r="AI7" i="21" s="1"/>
  <c r="AO7" i="21" s="1"/>
  <c r="K34" i="19"/>
  <c r="AI7" i="19"/>
  <c r="AK7" i="19" s="1"/>
  <c r="AK6" i="20"/>
  <c r="O23" i="19"/>
  <c r="AG6" i="13"/>
  <c r="AI6" i="13"/>
  <c r="G27" i="13"/>
  <c r="G15" i="13"/>
  <c r="K9" i="13" s="1"/>
  <c r="K31" i="13"/>
  <c r="AG8" i="22" l="1"/>
  <c r="K14" i="19"/>
  <c r="K15" i="19" s="1"/>
  <c r="G18" i="19"/>
  <c r="AG8" i="24"/>
  <c r="AG8" i="23"/>
  <c r="AK8" i="23" s="1"/>
  <c r="AI9" i="23" s="1"/>
  <c r="AO8" i="24"/>
  <c r="O26" i="22"/>
  <c r="O28" i="22" s="1"/>
  <c r="K14" i="22"/>
  <c r="K15" i="22" s="1"/>
  <c r="G18" i="22"/>
  <c r="K14" i="25"/>
  <c r="O21" i="25"/>
  <c r="G21" i="25" s="1"/>
  <c r="G18" i="25"/>
  <c r="AO9" i="25"/>
  <c r="O23" i="25"/>
  <c r="AK9" i="25"/>
  <c r="AI10" i="25" s="1"/>
  <c r="W4" i="24"/>
  <c r="O26" i="24"/>
  <c r="O28" i="24" s="1"/>
  <c r="K15" i="24"/>
  <c r="AA4" i="24"/>
  <c r="Y4" i="24"/>
  <c r="AK8" i="24"/>
  <c r="AI9" i="24" s="1"/>
  <c r="AG9" i="24"/>
  <c r="AA4" i="22"/>
  <c r="W4" i="22"/>
  <c r="O23" i="23"/>
  <c r="O21" i="23"/>
  <c r="G21" i="23" s="1"/>
  <c r="K14" i="23"/>
  <c r="G18" i="23"/>
  <c r="O26" i="20"/>
  <c r="O28" i="20" s="1"/>
  <c r="K14" i="20"/>
  <c r="K15" i="20" s="1"/>
  <c r="G18" i="20"/>
  <c r="AK8" i="22"/>
  <c r="AI9" i="22" s="1"/>
  <c r="Y4" i="22"/>
  <c r="AK7" i="21"/>
  <c r="O23" i="21"/>
  <c r="O21" i="21"/>
  <c r="G21" i="21" s="1"/>
  <c r="G18" i="21"/>
  <c r="K14" i="21"/>
  <c r="AI8" i="19"/>
  <c r="AG8" i="19"/>
  <c r="AO7" i="19"/>
  <c r="AG7" i="20"/>
  <c r="AI7" i="20"/>
  <c r="W4" i="19"/>
  <c r="Y4" i="19"/>
  <c r="G21" i="20"/>
  <c r="W4" i="20"/>
  <c r="Y4" i="20"/>
  <c r="AA4" i="20"/>
  <c r="O26" i="19"/>
  <c r="O28" i="19" s="1"/>
  <c r="AA4" i="19"/>
  <c r="AO6" i="13"/>
  <c r="AK6" i="13"/>
  <c r="AG7" i="13" s="1"/>
  <c r="AI7" i="13"/>
  <c r="AO8" i="23" l="1"/>
  <c r="AG9" i="23"/>
  <c r="AO9" i="23" s="1"/>
  <c r="AC4" i="22"/>
  <c r="X5" i="22" s="1"/>
  <c r="Y5" i="22" s="1"/>
  <c r="AG9" i="22"/>
  <c r="AO9" i="22" s="1"/>
  <c r="AB4" i="22"/>
  <c r="V5" i="22" s="1"/>
  <c r="W5" i="22" s="1"/>
  <c r="AO8" i="22"/>
  <c r="AG10" i="25"/>
  <c r="AO10" i="25" s="1"/>
  <c r="Y4" i="25"/>
  <c r="W4" i="25"/>
  <c r="AA4" i="25"/>
  <c r="AB4" i="24"/>
  <c r="V5" i="24" s="1"/>
  <c r="W5" i="24" s="1"/>
  <c r="AK10" i="25"/>
  <c r="AG11" i="25" s="1"/>
  <c r="O26" i="25"/>
  <c r="O28" i="25" s="1"/>
  <c r="K15" i="25"/>
  <c r="AK9" i="24"/>
  <c r="AI10" i="24" s="1"/>
  <c r="AO9" i="24"/>
  <c r="AC4" i="24"/>
  <c r="X5" i="24" s="1"/>
  <c r="K15" i="23"/>
  <c r="AA4" i="23"/>
  <c r="W4" i="23"/>
  <c r="Y4" i="23"/>
  <c r="AK9" i="23"/>
  <c r="AI10" i="23" s="1"/>
  <c r="O26" i="23"/>
  <c r="O28" i="23" s="1"/>
  <c r="AK8" i="19"/>
  <c r="AI9" i="19" s="1"/>
  <c r="AI8" i="21"/>
  <c r="AG8" i="21"/>
  <c r="W4" i="21"/>
  <c r="Y4" i="21"/>
  <c r="AK7" i="20"/>
  <c r="AI8" i="20" s="1"/>
  <c r="AO8" i="19"/>
  <c r="O26" i="21"/>
  <c r="O28" i="21" s="1"/>
  <c r="AA4" i="21"/>
  <c r="K15" i="21"/>
  <c r="AB4" i="19"/>
  <c r="V5" i="19" s="1"/>
  <c r="W5" i="19" s="1"/>
  <c r="AO7" i="20"/>
  <c r="AG9" i="19"/>
  <c r="AC4" i="20"/>
  <c r="X5" i="20" s="1"/>
  <c r="AB4" i="20"/>
  <c r="V5" i="20" s="1"/>
  <c r="AC4" i="19"/>
  <c r="X5" i="19" s="1"/>
  <c r="AK7" i="13"/>
  <c r="AI8" i="13" s="1"/>
  <c r="AO7" i="13"/>
  <c r="AG10" i="23" l="1"/>
  <c r="AG8" i="20"/>
  <c r="AK8" i="20" s="1"/>
  <c r="AK9" i="22"/>
  <c r="Z5" i="22"/>
  <c r="AA5" i="22" s="1"/>
  <c r="AC5" i="22" s="1"/>
  <c r="X6" i="22" s="1"/>
  <c r="AI11" i="25"/>
  <c r="AK11" i="25" s="1"/>
  <c r="AI12" i="25" s="1"/>
  <c r="AI10" i="22"/>
  <c r="AG10" i="22"/>
  <c r="AD5" i="22"/>
  <c r="AC4" i="23"/>
  <c r="X5" i="23" s="1"/>
  <c r="Y5" i="23" s="1"/>
  <c r="AG10" i="24"/>
  <c r="AO10" i="24" s="1"/>
  <c r="AB4" i="25"/>
  <c r="V5" i="25" s="1"/>
  <c r="AC4" i="25"/>
  <c r="X5" i="25" s="1"/>
  <c r="AD5" i="24"/>
  <c r="Y5" i="24"/>
  <c r="Z5" i="24"/>
  <c r="AA5" i="24" s="1"/>
  <c r="AB5" i="24" s="1"/>
  <c r="V6" i="24" s="1"/>
  <c r="AK9" i="19"/>
  <c r="AI10" i="19" s="1"/>
  <c r="AK10" i="23"/>
  <c r="AI11" i="23" s="1"/>
  <c r="AG11" i="23"/>
  <c r="AB4" i="23"/>
  <c r="V5" i="23" s="1"/>
  <c r="AO10" i="23"/>
  <c r="AK8" i="21"/>
  <c r="AG9" i="21" s="1"/>
  <c r="AO8" i="21"/>
  <c r="AC4" i="21"/>
  <c r="X5" i="21" s="1"/>
  <c r="Y5" i="21" s="1"/>
  <c r="AO9" i="19"/>
  <c r="AB4" i="21"/>
  <c r="V5" i="21" s="1"/>
  <c r="AD5" i="20"/>
  <c r="Y5" i="20"/>
  <c r="Z5" i="20"/>
  <c r="AA5" i="20" s="1"/>
  <c r="W5" i="20"/>
  <c r="AD5" i="19"/>
  <c r="Y5" i="19"/>
  <c r="Z5" i="19"/>
  <c r="AA5" i="19" s="1"/>
  <c r="AB5" i="19" s="1"/>
  <c r="V6" i="19" s="1"/>
  <c r="AG8" i="13"/>
  <c r="AK8" i="13" s="1"/>
  <c r="AI9" i="13" s="1"/>
  <c r="AK11" i="23" l="1"/>
  <c r="AG12" i="23" s="1"/>
  <c r="AO11" i="25"/>
  <c r="AK10" i="22"/>
  <c r="AI9" i="20"/>
  <c r="AG9" i="20"/>
  <c r="AO9" i="20" s="1"/>
  <c r="AO8" i="20"/>
  <c r="AB5" i="22"/>
  <c r="V6" i="22" s="1"/>
  <c r="W6" i="22" s="1"/>
  <c r="AD5" i="23"/>
  <c r="AG12" i="25"/>
  <c r="AK12" i="25" s="1"/>
  <c r="AI13" i="25" s="1"/>
  <c r="AO10" i="22"/>
  <c r="AK10" i="24"/>
  <c r="AI11" i="22"/>
  <c r="AG11" i="22"/>
  <c r="AI9" i="21"/>
  <c r="AK9" i="21" s="1"/>
  <c r="AG10" i="21" s="1"/>
  <c r="AG10" i="19"/>
  <c r="AK10" i="19" s="1"/>
  <c r="AI11" i="19" s="1"/>
  <c r="Y5" i="25"/>
  <c r="AD5" i="25"/>
  <c r="Z5" i="25"/>
  <c r="AA5" i="25" s="1"/>
  <c r="W5" i="25"/>
  <c r="W6" i="24"/>
  <c r="AC5" i="24"/>
  <c r="X6" i="24" s="1"/>
  <c r="AO11" i="23"/>
  <c r="AI12" i="23"/>
  <c r="AO12" i="23" s="1"/>
  <c r="Z5" i="23"/>
  <c r="AA5" i="23" s="1"/>
  <c r="AC5" i="23" s="1"/>
  <c r="X6" i="23" s="1"/>
  <c r="W5" i="23"/>
  <c r="Y6" i="22"/>
  <c r="Z5" i="21"/>
  <c r="AA5" i="21" s="1"/>
  <c r="AC5" i="21" s="1"/>
  <c r="X6" i="21" s="1"/>
  <c r="W5" i="21"/>
  <c r="AD5" i="21"/>
  <c r="AB5" i="20"/>
  <c r="V6" i="20" s="1"/>
  <c r="W6" i="20" s="1"/>
  <c r="AO8" i="13"/>
  <c r="AC5" i="20"/>
  <c r="X6" i="20" s="1"/>
  <c r="W6" i="19"/>
  <c r="AC5" i="19"/>
  <c r="X6" i="19" s="1"/>
  <c r="AG9" i="13"/>
  <c r="AK9" i="13" s="1"/>
  <c r="AK12" i="23" l="1"/>
  <c r="AI13" i="23" s="1"/>
  <c r="AG13" i="23"/>
  <c r="AK13" i="23" s="1"/>
  <c r="AG14" i="23" s="1"/>
  <c r="Z6" i="22"/>
  <c r="AA6" i="22" s="1"/>
  <c r="AB6" i="22" s="1"/>
  <c r="V7" i="22" s="1"/>
  <c r="W7" i="22" s="1"/>
  <c r="AD6" i="22"/>
  <c r="AO9" i="21"/>
  <c r="AK9" i="20"/>
  <c r="AI10" i="20" s="1"/>
  <c r="AO12" i="25"/>
  <c r="AG13" i="25"/>
  <c r="AO13" i="25" s="1"/>
  <c r="AK11" i="22"/>
  <c r="AG12" i="22" s="1"/>
  <c r="AI10" i="21"/>
  <c r="AK10" i="21" s="1"/>
  <c r="AO11" i="22"/>
  <c r="AI11" i="24"/>
  <c r="AG11" i="24"/>
  <c r="AO10" i="19"/>
  <c r="AG11" i="19"/>
  <c r="AO11" i="19" s="1"/>
  <c r="AB5" i="25"/>
  <c r="V6" i="25" s="1"/>
  <c r="W6" i="25" s="1"/>
  <c r="AB5" i="23"/>
  <c r="V6" i="23" s="1"/>
  <c r="AD6" i="23" s="1"/>
  <c r="AC5" i="25"/>
  <c r="X6" i="25" s="1"/>
  <c r="AD6" i="24"/>
  <c r="Y6" i="24"/>
  <c r="Z6" i="24"/>
  <c r="AA6" i="24" s="1"/>
  <c r="AB6" i="24" s="1"/>
  <c r="V7" i="24" s="1"/>
  <c r="AG10" i="20"/>
  <c r="AO10" i="20" s="1"/>
  <c r="Y6" i="23"/>
  <c r="AO13" i="23"/>
  <c r="AB5" i="21"/>
  <c r="V6" i="21" s="1"/>
  <c r="AD6" i="21" s="1"/>
  <c r="Y6" i="21"/>
  <c r="AD6" i="20"/>
  <c r="Y6" i="20"/>
  <c r="Z6" i="20"/>
  <c r="AA6" i="20" s="1"/>
  <c r="AB6" i="20" s="1"/>
  <c r="V7" i="20" s="1"/>
  <c r="AD6" i="19"/>
  <c r="Y6" i="19"/>
  <c r="Z6" i="19"/>
  <c r="AA6" i="19" s="1"/>
  <c r="AB6" i="19" s="1"/>
  <c r="V7" i="19" s="1"/>
  <c r="AO9" i="13"/>
  <c r="AG10" i="13"/>
  <c r="AI10" i="13"/>
  <c r="AK11" i="24" l="1"/>
  <c r="AC6" i="22"/>
  <c r="X7" i="22" s="1"/>
  <c r="Z7" i="22" s="1"/>
  <c r="AA7" i="22" s="1"/>
  <c r="AB7" i="22" s="1"/>
  <c r="V8" i="22" s="1"/>
  <c r="AO10" i="21"/>
  <c r="AK13" i="25"/>
  <c r="AI14" i="25" s="1"/>
  <c r="AI12" i="22"/>
  <c r="AO12" i="22" s="1"/>
  <c r="W6" i="23"/>
  <c r="AK11" i="19"/>
  <c r="AG14" i="25"/>
  <c r="AK14" i="25" s="1"/>
  <c r="AI15" i="25" s="1"/>
  <c r="AK12" i="22"/>
  <c r="AI13" i="22" s="1"/>
  <c r="AG12" i="24"/>
  <c r="AI12" i="24"/>
  <c r="AO11" i="24"/>
  <c r="Z6" i="23"/>
  <c r="AA6" i="23" s="1"/>
  <c r="AC6" i="23" s="1"/>
  <c r="X7" i="23" s="1"/>
  <c r="AI14" i="23"/>
  <c r="AO14" i="23" s="1"/>
  <c r="Y6" i="25"/>
  <c r="AD6" i="25"/>
  <c r="Z6" i="25"/>
  <c r="AA6" i="25" s="1"/>
  <c r="AB6" i="25" s="1"/>
  <c r="V7" i="25" s="1"/>
  <c r="W7" i="25" s="1"/>
  <c r="AK10" i="20"/>
  <c r="AI11" i="20" s="1"/>
  <c r="W7" i="24"/>
  <c r="AC6" i="24"/>
  <c r="X7" i="24" s="1"/>
  <c r="W6" i="21"/>
  <c r="Z6" i="21"/>
  <c r="AA6" i="21" s="1"/>
  <c r="AC6" i="21" s="1"/>
  <c r="X7" i="21" s="1"/>
  <c r="AG11" i="21"/>
  <c r="AI11" i="21"/>
  <c r="W7" i="20"/>
  <c r="AC6" i="20"/>
  <c r="X7" i="20" s="1"/>
  <c r="W7" i="19"/>
  <c r="AC6" i="19"/>
  <c r="X7" i="19" s="1"/>
  <c r="AO10" i="13"/>
  <c r="AK10" i="13"/>
  <c r="AG11" i="13" s="1"/>
  <c r="AD7" i="22" l="1"/>
  <c r="Y7" i="22"/>
  <c r="AC7" i="22" s="1"/>
  <c r="X8" i="22" s="1"/>
  <c r="AG13" i="22"/>
  <c r="AO13" i="22" s="1"/>
  <c r="AG12" i="19"/>
  <c r="AI12" i="19"/>
  <c r="AO12" i="19" s="1"/>
  <c r="AO12" i="24"/>
  <c r="AK14" i="23"/>
  <c r="AO14" i="25"/>
  <c r="AB6" i="23"/>
  <c r="V7" i="23" s="1"/>
  <c r="AD7" i="23" s="1"/>
  <c r="AK13" i="22"/>
  <c r="AG14" i="22" s="1"/>
  <c r="AB6" i="21"/>
  <c r="V7" i="21" s="1"/>
  <c r="W7" i="21" s="1"/>
  <c r="AG15" i="25"/>
  <c r="AK15" i="25" s="1"/>
  <c r="AG16" i="25" s="1"/>
  <c r="AK12" i="24"/>
  <c r="AI14" i="22"/>
  <c r="AG11" i="20"/>
  <c r="AO11" i="20" s="1"/>
  <c r="AC6" i="25"/>
  <c r="X7" i="25" s="1"/>
  <c r="AO11" i="21"/>
  <c r="AD7" i="24"/>
  <c r="Y7" i="24"/>
  <c r="Z7" i="24"/>
  <c r="AA7" i="24" s="1"/>
  <c r="AB7" i="24" s="1"/>
  <c r="V8" i="24" s="1"/>
  <c r="Y7" i="23"/>
  <c r="W7" i="23"/>
  <c r="W8" i="22"/>
  <c r="AK11" i="21"/>
  <c r="AI12" i="21" s="1"/>
  <c r="Y7" i="21"/>
  <c r="AD7" i="20"/>
  <c r="Y7" i="20"/>
  <c r="Z7" i="20"/>
  <c r="AA7" i="20" s="1"/>
  <c r="AB7" i="20" s="1"/>
  <c r="V8" i="20" s="1"/>
  <c r="AD7" i="19"/>
  <c r="Y7" i="19"/>
  <c r="Z7" i="19"/>
  <c r="AA7" i="19" s="1"/>
  <c r="AB7" i="19" s="1"/>
  <c r="V8" i="19" s="1"/>
  <c r="AI11" i="13"/>
  <c r="AK11" i="13" s="1"/>
  <c r="Z7" i="23" l="1"/>
  <c r="AA7" i="23" s="1"/>
  <c r="AK14" i="22"/>
  <c r="AK12" i="19"/>
  <c r="AO15" i="25"/>
  <c r="AI15" i="23"/>
  <c r="AG15" i="23"/>
  <c r="AK15" i="23" s="1"/>
  <c r="AO14" i="22"/>
  <c r="Z7" i="21"/>
  <c r="AA7" i="21" s="1"/>
  <c r="AB7" i="21" s="1"/>
  <c r="V8" i="21" s="1"/>
  <c r="W8" i="21" s="1"/>
  <c r="AD7" i="21"/>
  <c r="AK11" i="20"/>
  <c r="AI12" i="20" s="1"/>
  <c r="AI13" i="24"/>
  <c r="AG13" i="24"/>
  <c r="AI15" i="22"/>
  <c r="AG15" i="22"/>
  <c r="AI16" i="25"/>
  <c r="AO16" i="25" s="1"/>
  <c r="AD7" i="25"/>
  <c r="Z7" i="25"/>
  <c r="AA7" i="25" s="1"/>
  <c r="AB7" i="25" s="1"/>
  <c r="V8" i="25" s="1"/>
  <c r="W8" i="25" s="1"/>
  <c r="Y7" i="25"/>
  <c r="W8" i="24"/>
  <c r="AC7" i="24"/>
  <c r="X8" i="24" s="1"/>
  <c r="AB7" i="23"/>
  <c r="V8" i="23" s="1"/>
  <c r="W8" i="23" s="1"/>
  <c r="AC7" i="23"/>
  <c r="X8" i="23" s="1"/>
  <c r="AD8" i="22"/>
  <c r="Y8" i="22"/>
  <c r="Z8" i="22"/>
  <c r="AA8" i="22" s="1"/>
  <c r="AB8" i="22" s="1"/>
  <c r="V9" i="22" s="1"/>
  <c r="AG12" i="21"/>
  <c r="AO12" i="21" s="1"/>
  <c r="W8" i="20"/>
  <c r="AC7" i="20"/>
  <c r="X8" i="20" s="1"/>
  <c r="W8" i="19"/>
  <c r="AC7" i="19"/>
  <c r="X8" i="19" s="1"/>
  <c r="AO11" i="13"/>
  <c r="AG12" i="13"/>
  <c r="AI12" i="13"/>
  <c r="AG12" i="20" l="1"/>
  <c r="AO12" i="20" s="1"/>
  <c r="AI13" i="19"/>
  <c r="AG13" i="19"/>
  <c r="AK15" i="22"/>
  <c r="AG16" i="22" s="1"/>
  <c r="AC7" i="21"/>
  <c r="X8" i="21" s="1"/>
  <c r="AD8" i="21" s="1"/>
  <c r="AK16" i="25"/>
  <c r="AG16" i="23"/>
  <c r="AI16" i="23"/>
  <c r="AO16" i="23" s="1"/>
  <c r="AO15" i="23"/>
  <c r="AO15" i="22"/>
  <c r="AC7" i="25"/>
  <c r="X8" i="25" s="1"/>
  <c r="Y8" i="25" s="1"/>
  <c r="AO13" i="24"/>
  <c r="AK13" i="24"/>
  <c r="AK12" i="21"/>
  <c r="AI13" i="21" s="1"/>
  <c r="AK12" i="20"/>
  <c r="AI13" i="20" s="1"/>
  <c r="AD8" i="24"/>
  <c r="Y8" i="24"/>
  <c r="Z8" i="24"/>
  <c r="AA8" i="24" s="1"/>
  <c r="AB8" i="24" s="1"/>
  <c r="V9" i="24" s="1"/>
  <c r="AD8" i="23"/>
  <c r="Y8" i="23"/>
  <c r="Z8" i="23"/>
  <c r="AA8" i="23" s="1"/>
  <c r="AB8" i="23" s="1"/>
  <c r="V9" i="23" s="1"/>
  <c r="W9" i="22"/>
  <c r="AC8" i="22"/>
  <c r="X9" i="22" s="1"/>
  <c r="AD8" i="20"/>
  <c r="Y8" i="20"/>
  <c r="Z8" i="20"/>
  <c r="AA8" i="20" s="1"/>
  <c r="AB8" i="20" s="1"/>
  <c r="V9" i="20" s="1"/>
  <c r="AD8" i="19"/>
  <c r="Y8" i="19"/>
  <c r="Z8" i="19"/>
  <c r="AA8" i="19" s="1"/>
  <c r="AB8" i="19" s="1"/>
  <c r="V9" i="19" s="1"/>
  <c r="AO12" i="13"/>
  <c r="AK12" i="13"/>
  <c r="AI13" i="13" s="1"/>
  <c r="AG13" i="20" l="1"/>
  <c r="AK13" i="20" s="1"/>
  <c r="AK13" i="19"/>
  <c r="AO13" i="19"/>
  <c r="AI16" i="22"/>
  <c r="AO16" i="22" s="1"/>
  <c r="AD8" i="25"/>
  <c r="Z8" i="21"/>
  <c r="AA8" i="21" s="1"/>
  <c r="AB8" i="21" s="1"/>
  <c r="V9" i="21" s="1"/>
  <c r="W9" i="21" s="1"/>
  <c r="Y8" i="21"/>
  <c r="AI17" i="25"/>
  <c r="AG17" i="25"/>
  <c r="Z8" i="25"/>
  <c r="AA8" i="25" s="1"/>
  <c r="AB8" i="25" s="1"/>
  <c r="V9" i="25" s="1"/>
  <c r="W9" i="25" s="1"/>
  <c r="AK16" i="23"/>
  <c r="AK16" i="22"/>
  <c r="AG17" i="22" s="1"/>
  <c r="AG14" i="24"/>
  <c r="AI14" i="24"/>
  <c r="AG13" i="21"/>
  <c r="AK13" i="21" s="1"/>
  <c r="AO13" i="20"/>
  <c r="W9" i="24"/>
  <c r="AC8" i="24"/>
  <c r="X9" i="24" s="1"/>
  <c r="W9" i="23"/>
  <c r="AC8" i="23"/>
  <c r="X9" i="23" s="1"/>
  <c r="AD9" i="22"/>
  <c r="Y9" i="22"/>
  <c r="Z9" i="22"/>
  <c r="AA9" i="22" s="1"/>
  <c r="AB9" i="22" s="1"/>
  <c r="V10" i="22" s="1"/>
  <c r="W9" i="20"/>
  <c r="AC8" i="20"/>
  <c r="X9" i="20" s="1"/>
  <c r="W9" i="19"/>
  <c r="AC8" i="19"/>
  <c r="X9" i="19" s="1"/>
  <c r="AG13" i="13"/>
  <c r="AK13" i="13" s="1"/>
  <c r="AI14" i="13" s="1"/>
  <c r="AK17" i="25" l="1"/>
  <c r="AC8" i="21"/>
  <c r="X9" i="21" s="1"/>
  <c r="AI17" i="22"/>
  <c r="AO17" i="22" s="1"/>
  <c r="AG14" i="20"/>
  <c r="AI14" i="20"/>
  <c r="AO14" i="20" s="1"/>
  <c r="AG14" i="19"/>
  <c r="AI14" i="19"/>
  <c r="AO13" i="21"/>
  <c r="AG18" i="25"/>
  <c r="AI18" i="25"/>
  <c r="AC8" i="25"/>
  <c r="X9" i="25" s="1"/>
  <c r="Z9" i="25" s="1"/>
  <c r="AA9" i="25" s="1"/>
  <c r="AB9" i="25" s="1"/>
  <c r="V10" i="25" s="1"/>
  <c r="W10" i="25" s="1"/>
  <c r="AO17" i="25"/>
  <c r="AG17" i="23"/>
  <c r="AI17" i="23"/>
  <c r="AO14" i="24"/>
  <c r="AG14" i="21"/>
  <c r="AI14" i="21"/>
  <c r="AK14" i="24"/>
  <c r="AK14" i="20"/>
  <c r="AG15" i="20" s="1"/>
  <c r="AD9" i="24"/>
  <c r="Y9" i="24"/>
  <c r="Z9" i="24"/>
  <c r="AA9" i="24" s="1"/>
  <c r="AB9" i="24" s="1"/>
  <c r="V10" i="24" s="1"/>
  <c r="AD9" i="23"/>
  <c r="Y9" i="23"/>
  <c r="Z9" i="23"/>
  <c r="AA9" i="23" s="1"/>
  <c r="AB9" i="23" s="1"/>
  <c r="V10" i="23" s="1"/>
  <c r="W10" i="22"/>
  <c r="AC9" i="22"/>
  <c r="X10" i="22" s="1"/>
  <c r="AD9" i="21"/>
  <c r="Y9" i="21"/>
  <c r="Z9" i="21"/>
  <c r="AA9" i="21" s="1"/>
  <c r="AB9" i="21" s="1"/>
  <c r="V10" i="21" s="1"/>
  <c r="AD9" i="20"/>
  <c r="Y9" i="20"/>
  <c r="Z9" i="20"/>
  <c r="AA9" i="20" s="1"/>
  <c r="AB9" i="20" s="1"/>
  <c r="V10" i="20" s="1"/>
  <c r="AD9" i="19"/>
  <c r="Y9" i="19"/>
  <c r="Z9" i="19"/>
  <c r="AA9" i="19" s="1"/>
  <c r="AB9" i="19" s="1"/>
  <c r="V10" i="19" s="1"/>
  <c r="AO13" i="13"/>
  <c r="AG14" i="13"/>
  <c r="AO14" i="13" s="1"/>
  <c r="AK17" i="22" l="1"/>
  <c r="AG18" i="22" s="1"/>
  <c r="AO18" i="25"/>
  <c r="AO14" i="21"/>
  <c r="AO14" i="19"/>
  <c r="AO17" i="23"/>
  <c r="AI15" i="20"/>
  <c r="AK15" i="20" s="1"/>
  <c r="AK14" i="19"/>
  <c r="AI18" i="22"/>
  <c r="Y9" i="25"/>
  <c r="AC9" i="25" s="1"/>
  <c r="X10" i="25" s="1"/>
  <c r="Z10" i="25" s="1"/>
  <c r="AA10" i="25" s="1"/>
  <c r="AB10" i="25" s="1"/>
  <c r="V11" i="25" s="1"/>
  <c r="AD9" i="25"/>
  <c r="AK18" i="25"/>
  <c r="AK17" i="23"/>
  <c r="AK14" i="21"/>
  <c r="AG15" i="21" s="1"/>
  <c r="AI15" i="24"/>
  <c r="AG15" i="24"/>
  <c r="W10" i="24"/>
  <c r="AC9" i="24"/>
  <c r="X10" i="24" s="1"/>
  <c r="W10" i="23"/>
  <c r="AC9" i="23"/>
  <c r="X10" i="23" s="1"/>
  <c r="AD10" i="22"/>
  <c r="Y10" i="22"/>
  <c r="Z10" i="22"/>
  <c r="AA10" i="22" s="1"/>
  <c r="AB10" i="22" s="1"/>
  <c r="V11" i="22" s="1"/>
  <c r="W10" i="21"/>
  <c r="AC9" i="21"/>
  <c r="X10" i="21" s="1"/>
  <c r="W10" i="20"/>
  <c r="AC9" i="20"/>
  <c r="X10" i="20" s="1"/>
  <c r="W10" i="19"/>
  <c r="AC9" i="19"/>
  <c r="X10" i="19" s="1"/>
  <c r="AK14" i="13"/>
  <c r="AG15" i="13" s="1"/>
  <c r="AD10" i="25" l="1"/>
  <c r="AI15" i="21"/>
  <c r="AO15" i="20"/>
  <c r="AI16" i="20"/>
  <c r="AG16" i="20"/>
  <c r="AK16" i="20" s="1"/>
  <c r="Y10" i="25"/>
  <c r="AC10" i="25" s="1"/>
  <c r="X11" i="25" s="1"/>
  <c r="AI15" i="19"/>
  <c r="AG15" i="19"/>
  <c r="AK15" i="19" s="1"/>
  <c r="AK15" i="24"/>
  <c r="AG16" i="24" s="1"/>
  <c r="AK18" i="22"/>
  <c r="AO18" i="22"/>
  <c r="AO15" i="21"/>
  <c r="AI19" i="25"/>
  <c r="AG19" i="25"/>
  <c r="AG18" i="23"/>
  <c r="AI18" i="23"/>
  <c r="AO18" i="23" s="1"/>
  <c r="AO15" i="24"/>
  <c r="W11" i="25"/>
  <c r="AD10" i="24"/>
  <c r="Y10" i="24"/>
  <c r="Z10" i="24"/>
  <c r="AA10" i="24" s="1"/>
  <c r="AB10" i="24" s="1"/>
  <c r="V11" i="24" s="1"/>
  <c r="AD10" i="23"/>
  <c r="Y10" i="23"/>
  <c r="Z10" i="23"/>
  <c r="AA10" i="23" s="1"/>
  <c r="AB10" i="23" s="1"/>
  <c r="V11" i="23" s="1"/>
  <c r="W11" i="22"/>
  <c r="AC10" i="22"/>
  <c r="X11" i="22" s="1"/>
  <c r="AK15" i="21"/>
  <c r="AI16" i="21" s="1"/>
  <c r="AD10" i="21"/>
  <c r="Y10" i="21"/>
  <c r="Z10" i="21"/>
  <c r="AA10" i="21" s="1"/>
  <c r="AB10" i="21" s="1"/>
  <c r="V11" i="21" s="1"/>
  <c r="AD10" i="20"/>
  <c r="Y10" i="20"/>
  <c r="Z10" i="20"/>
  <c r="AA10" i="20" s="1"/>
  <c r="AB10" i="20" s="1"/>
  <c r="V11" i="20" s="1"/>
  <c r="AD10" i="19"/>
  <c r="Y10" i="19"/>
  <c r="Z10" i="19"/>
  <c r="AA10" i="19" s="1"/>
  <c r="AB10" i="19" s="1"/>
  <c r="V11" i="19" s="1"/>
  <c r="AI15" i="13"/>
  <c r="AK15" i="13" s="1"/>
  <c r="AG17" i="20" l="1"/>
  <c r="AI17" i="20"/>
  <c r="AK17" i="20" s="1"/>
  <c r="AG18" i="20" s="1"/>
  <c r="AO16" i="20"/>
  <c r="AK19" i="25"/>
  <c r="AI20" i="25" s="1"/>
  <c r="AI16" i="24"/>
  <c r="AK16" i="24" s="1"/>
  <c r="AI16" i="19"/>
  <c r="AG16" i="19"/>
  <c r="AK16" i="19" s="1"/>
  <c r="AO15" i="19"/>
  <c r="AG19" i="22"/>
  <c r="AI19" i="22"/>
  <c r="AG20" i="25"/>
  <c r="AO19" i="25"/>
  <c r="AK18" i="23"/>
  <c r="AD11" i="25"/>
  <c r="Y11" i="25"/>
  <c r="Z11" i="25"/>
  <c r="AA11" i="25" s="1"/>
  <c r="AB11" i="25" s="1"/>
  <c r="V12" i="25" s="1"/>
  <c r="AO17" i="20"/>
  <c r="W11" i="24"/>
  <c r="AC10" i="24"/>
  <c r="X11" i="24" s="1"/>
  <c r="W11" i="23"/>
  <c r="AC10" i="23"/>
  <c r="X11" i="23" s="1"/>
  <c r="AD11" i="22"/>
  <c r="Y11" i="22"/>
  <c r="Z11" i="22"/>
  <c r="AA11" i="22" s="1"/>
  <c r="AB11" i="22" s="1"/>
  <c r="V12" i="22" s="1"/>
  <c r="AG16" i="21"/>
  <c r="AO16" i="21" s="1"/>
  <c r="W11" i="21"/>
  <c r="AC10" i="21"/>
  <c r="X11" i="21" s="1"/>
  <c r="W11" i="20"/>
  <c r="AC10" i="20"/>
  <c r="X11" i="20" s="1"/>
  <c r="W11" i="19"/>
  <c r="AC10" i="19"/>
  <c r="X11" i="19" s="1"/>
  <c r="AO15" i="13"/>
  <c r="AG16" i="13"/>
  <c r="AI16" i="13"/>
  <c r="AO16" i="24" l="1"/>
  <c r="AI18" i="20"/>
  <c r="AO18" i="20" s="1"/>
  <c r="AO20" i="25"/>
  <c r="AI17" i="19"/>
  <c r="AG17" i="19"/>
  <c r="AK17" i="19" s="1"/>
  <c r="AO16" i="19"/>
  <c r="AK19" i="22"/>
  <c r="AO19" i="22"/>
  <c r="AK20" i="25"/>
  <c r="AG19" i="23"/>
  <c r="AI19" i="23"/>
  <c r="AG17" i="24"/>
  <c r="AI17" i="24"/>
  <c r="W12" i="25"/>
  <c r="AC11" i="25"/>
  <c r="X12" i="25" s="1"/>
  <c r="AD11" i="24"/>
  <c r="Y11" i="24"/>
  <c r="Z11" i="24"/>
  <c r="AA11" i="24" s="1"/>
  <c r="AB11" i="24" s="1"/>
  <c r="V12" i="24" s="1"/>
  <c r="AD11" i="23"/>
  <c r="Y11" i="23"/>
  <c r="Z11" i="23"/>
  <c r="AA11" i="23" s="1"/>
  <c r="AB11" i="23" s="1"/>
  <c r="V12" i="23" s="1"/>
  <c r="AK16" i="21"/>
  <c r="AI17" i="21" s="1"/>
  <c r="W12" i="22"/>
  <c r="AC11" i="22"/>
  <c r="X12" i="22" s="1"/>
  <c r="AG17" i="21"/>
  <c r="AD11" i="21"/>
  <c r="Y11" i="21"/>
  <c r="Z11" i="21"/>
  <c r="AA11" i="21" s="1"/>
  <c r="AB11" i="21" s="1"/>
  <c r="V12" i="21" s="1"/>
  <c r="AD11" i="20"/>
  <c r="Y11" i="20"/>
  <c r="Z11" i="20"/>
  <c r="AA11" i="20" s="1"/>
  <c r="AB11" i="20" s="1"/>
  <c r="V12" i="20" s="1"/>
  <c r="AD11" i="19"/>
  <c r="Y11" i="19"/>
  <c r="Z11" i="19"/>
  <c r="AA11" i="19" s="1"/>
  <c r="AB11" i="19" s="1"/>
  <c r="V12" i="19" s="1"/>
  <c r="AO16" i="13"/>
  <c r="AK16" i="13"/>
  <c r="AK18" i="20" l="1"/>
  <c r="AG19" i="20" s="1"/>
  <c r="AI18" i="19"/>
  <c r="AG18" i="19"/>
  <c r="AK18" i="19" s="1"/>
  <c r="AO17" i="19"/>
  <c r="AO17" i="24"/>
  <c r="AI20" i="22"/>
  <c r="AG20" i="22"/>
  <c r="AI21" i="25"/>
  <c r="AG21" i="25"/>
  <c r="AK19" i="23"/>
  <c r="AO19" i="23"/>
  <c r="AK17" i="24"/>
  <c r="AD12" i="25"/>
  <c r="Y12" i="25"/>
  <c r="Z12" i="25"/>
  <c r="AA12" i="25" s="1"/>
  <c r="AB12" i="25" s="1"/>
  <c r="V13" i="25" s="1"/>
  <c r="W12" i="24"/>
  <c r="AC11" i="24"/>
  <c r="X12" i="24" s="1"/>
  <c r="W12" i="23"/>
  <c r="AC11" i="23"/>
  <c r="X12" i="23" s="1"/>
  <c r="AD12" i="22"/>
  <c r="Y12" i="22"/>
  <c r="Z12" i="22"/>
  <c r="AA12" i="22" s="1"/>
  <c r="AB12" i="22" s="1"/>
  <c r="V13" i="22" s="1"/>
  <c r="AK17" i="21"/>
  <c r="AO17" i="21"/>
  <c r="W12" i="21"/>
  <c r="AC11" i="21"/>
  <c r="X12" i="21" s="1"/>
  <c r="W12" i="20"/>
  <c r="AC11" i="20"/>
  <c r="X12" i="20" s="1"/>
  <c r="W12" i="19"/>
  <c r="AC11" i="19"/>
  <c r="X12" i="19" s="1"/>
  <c r="AG17" i="13"/>
  <c r="AI17" i="13"/>
  <c r="AI19" i="20" l="1"/>
  <c r="AK20" i="22"/>
  <c r="AK21" i="25"/>
  <c r="AG19" i="19"/>
  <c r="AI19" i="19"/>
  <c r="AO18" i="19"/>
  <c r="AG21" i="22"/>
  <c r="AI21" i="22"/>
  <c r="AO20" i="22"/>
  <c r="AG22" i="25"/>
  <c r="AI22" i="25"/>
  <c r="AO21" i="25"/>
  <c r="AG20" i="23"/>
  <c r="AI20" i="23"/>
  <c r="AG18" i="24"/>
  <c r="AI18" i="24"/>
  <c r="W13" i="25"/>
  <c r="AC12" i="25"/>
  <c r="X13" i="25" s="1"/>
  <c r="AD12" i="24"/>
  <c r="Y12" i="24"/>
  <c r="Z12" i="24"/>
  <c r="AA12" i="24" s="1"/>
  <c r="AB12" i="24" s="1"/>
  <c r="V13" i="24" s="1"/>
  <c r="AD12" i="23"/>
  <c r="Y12" i="23"/>
  <c r="Z12" i="23"/>
  <c r="AA12" i="23" s="1"/>
  <c r="AB12" i="23" s="1"/>
  <c r="V13" i="23" s="1"/>
  <c r="W13" i="22"/>
  <c r="AC12" i="22"/>
  <c r="X13" i="22" s="1"/>
  <c r="AG18" i="21"/>
  <c r="AI18" i="21"/>
  <c r="AD12" i="21"/>
  <c r="Y12" i="21"/>
  <c r="Z12" i="21"/>
  <c r="AA12" i="21" s="1"/>
  <c r="AB12" i="21" s="1"/>
  <c r="V13" i="21" s="1"/>
  <c r="AD12" i="20"/>
  <c r="Y12" i="20"/>
  <c r="Z12" i="20"/>
  <c r="AA12" i="20" s="1"/>
  <c r="AB12" i="20" s="1"/>
  <c r="V13" i="20" s="1"/>
  <c r="AD12" i="19"/>
  <c r="Y12" i="19"/>
  <c r="Z12" i="19"/>
  <c r="AA12" i="19" s="1"/>
  <c r="AB12" i="19" s="1"/>
  <c r="V13" i="19" s="1"/>
  <c r="AK17" i="13"/>
  <c r="AO17" i="13"/>
  <c r="AK19" i="20" l="1"/>
  <c r="AO19" i="20"/>
  <c r="AO21" i="22"/>
  <c r="AO19" i="19"/>
  <c r="AO22" i="25"/>
  <c r="AO20" i="23"/>
  <c r="AK19" i="19"/>
  <c r="AO18" i="24"/>
  <c r="AK21" i="22"/>
  <c r="AK22" i="25"/>
  <c r="AK20" i="23"/>
  <c r="AK18" i="24"/>
  <c r="AO18" i="21"/>
  <c r="AD13" i="25"/>
  <c r="Y13" i="25"/>
  <c r="Z13" i="25"/>
  <c r="AA13" i="25" s="1"/>
  <c r="AB13" i="25" s="1"/>
  <c r="V14" i="25" s="1"/>
  <c r="W13" i="24"/>
  <c r="AC12" i="24"/>
  <c r="X13" i="24" s="1"/>
  <c r="W13" i="23"/>
  <c r="AC12" i="23"/>
  <c r="X13" i="23" s="1"/>
  <c r="AD13" i="22"/>
  <c r="Y13" i="22"/>
  <c r="Z13" i="22"/>
  <c r="AA13" i="22" s="1"/>
  <c r="AB13" i="22" s="1"/>
  <c r="V14" i="22" s="1"/>
  <c r="AK18" i="21"/>
  <c r="W13" i="21"/>
  <c r="AC12" i="21"/>
  <c r="X13" i="21" s="1"/>
  <c r="W13" i="20"/>
  <c r="AC12" i="20"/>
  <c r="X13" i="20" s="1"/>
  <c r="W13" i="19"/>
  <c r="AC12" i="19"/>
  <c r="X13" i="19" s="1"/>
  <c r="AI18" i="13"/>
  <c r="AG18" i="13"/>
  <c r="AI20" i="20" l="1"/>
  <c r="AG20" i="20"/>
  <c r="AK20" i="20" s="1"/>
  <c r="AG20" i="19"/>
  <c r="AI20" i="19"/>
  <c r="AI22" i="22"/>
  <c r="AG22" i="22"/>
  <c r="AK22" i="22" s="1"/>
  <c r="AG23" i="25"/>
  <c r="AI23" i="25"/>
  <c r="AG21" i="23"/>
  <c r="AI21" i="23"/>
  <c r="AG19" i="24"/>
  <c r="AI19" i="24"/>
  <c r="W14" i="25"/>
  <c r="AC13" i="25"/>
  <c r="X14" i="25" s="1"/>
  <c r="AD13" i="24"/>
  <c r="Y13" i="24"/>
  <c r="Z13" i="24"/>
  <c r="AA13" i="24" s="1"/>
  <c r="AB13" i="24" s="1"/>
  <c r="V14" i="24" s="1"/>
  <c r="AD13" i="23"/>
  <c r="Y13" i="23"/>
  <c r="Z13" i="23"/>
  <c r="AA13" i="23" s="1"/>
  <c r="AB13" i="23" s="1"/>
  <c r="V14" i="23" s="1"/>
  <c r="W14" i="22"/>
  <c r="AC13" i="22"/>
  <c r="X14" i="22" s="1"/>
  <c r="AG19" i="21"/>
  <c r="AI19" i="21"/>
  <c r="AD13" i="21"/>
  <c r="Y13" i="21"/>
  <c r="Z13" i="21"/>
  <c r="AA13" i="21" s="1"/>
  <c r="AB13" i="21" s="1"/>
  <c r="V14" i="21" s="1"/>
  <c r="AD13" i="20"/>
  <c r="Y13" i="20"/>
  <c r="Z13" i="20"/>
  <c r="AA13" i="20" s="1"/>
  <c r="AB13" i="20" s="1"/>
  <c r="V14" i="20" s="1"/>
  <c r="AD13" i="19"/>
  <c r="Y13" i="19"/>
  <c r="Z13" i="19"/>
  <c r="AA13" i="19" s="1"/>
  <c r="AB13" i="19" s="1"/>
  <c r="V14" i="19" s="1"/>
  <c r="AK18" i="13"/>
  <c r="AG19" i="13" s="1"/>
  <c r="AO18" i="13"/>
  <c r="AI21" i="20" l="1"/>
  <c r="AG21" i="20"/>
  <c r="AK21" i="20" s="1"/>
  <c r="AO20" i="20"/>
  <c r="AO21" i="23"/>
  <c r="AO20" i="19"/>
  <c r="AO19" i="24"/>
  <c r="AO23" i="25"/>
  <c r="AK20" i="19"/>
  <c r="AG23" i="22"/>
  <c r="AI23" i="22"/>
  <c r="AO22" i="22"/>
  <c r="AK23" i="25"/>
  <c r="AK21" i="23"/>
  <c r="AK19" i="24"/>
  <c r="AD14" i="25"/>
  <c r="Y14" i="25"/>
  <c r="Z14" i="25"/>
  <c r="AA14" i="25" s="1"/>
  <c r="AB14" i="25" s="1"/>
  <c r="V15" i="25" s="1"/>
  <c r="W14" i="24"/>
  <c r="AC13" i="24"/>
  <c r="X14" i="24" s="1"/>
  <c r="AO19" i="21"/>
  <c r="W14" i="23"/>
  <c r="AC13" i="23"/>
  <c r="X14" i="23" s="1"/>
  <c r="AD14" i="22"/>
  <c r="Y14" i="22"/>
  <c r="Z14" i="22"/>
  <c r="AA14" i="22" s="1"/>
  <c r="AB14" i="22" s="1"/>
  <c r="V15" i="22" s="1"/>
  <c r="AK19" i="21"/>
  <c r="AI20" i="21" s="1"/>
  <c r="W14" i="21"/>
  <c r="AC13" i="21"/>
  <c r="X14" i="21" s="1"/>
  <c r="W14" i="20"/>
  <c r="AC13" i="20"/>
  <c r="X14" i="20" s="1"/>
  <c r="W14" i="19"/>
  <c r="AC13" i="19"/>
  <c r="X14" i="19" s="1"/>
  <c r="AI19" i="13"/>
  <c r="AO19" i="13" s="1"/>
  <c r="AO23" i="22" l="1"/>
  <c r="AG22" i="20"/>
  <c r="AI22" i="20"/>
  <c r="AO21" i="20"/>
  <c r="AI21" i="19"/>
  <c r="AG21" i="19"/>
  <c r="AK21" i="19" s="1"/>
  <c r="AK23" i="22"/>
  <c r="AG24" i="25"/>
  <c r="AI24" i="25"/>
  <c r="AO24" i="25" s="1"/>
  <c r="AI22" i="23"/>
  <c r="AG22" i="23"/>
  <c r="AG20" i="24"/>
  <c r="AI20" i="24"/>
  <c r="W15" i="25"/>
  <c r="AC14" i="25"/>
  <c r="X15" i="25" s="1"/>
  <c r="AD14" i="24"/>
  <c r="Y14" i="24"/>
  <c r="Z14" i="24"/>
  <c r="AA14" i="24" s="1"/>
  <c r="AB14" i="24" s="1"/>
  <c r="V15" i="24" s="1"/>
  <c r="AD14" i="23"/>
  <c r="Y14" i="23"/>
  <c r="Z14" i="23"/>
  <c r="AA14" i="23" s="1"/>
  <c r="AB14" i="23" s="1"/>
  <c r="V15" i="23" s="1"/>
  <c r="W15" i="22"/>
  <c r="AC14" i="22"/>
  <c r="X15" i="22" s="1"/>
  <c r="AG20" i="21"/>
  <c r="AO20" i="21" s="1"/>
  <c r="AD14" i="21"/>
  <c r="Y14" i="21"/>
  <c r="Z14" i="21"/>
  <c r="AA14" i="21" s="1"/>
  <c r="AB14" i="21" s="1"/>
  <c r="V15" i="21" s="1"/>
  <c r="AD14" i="20"/>
  <c r="Y14" i="20"/>
  <c r="Z14" i="20"/>
  <c r="AA14" i="20" s="1"/>
  <c r="AB14" i="20" s="1"/>
  <c r="V15" i="20" s="1"/>
  <c r="AD14" i="19"/>
  <c r="Y14" i="19"/>
  <c r="Z14" i="19"/>
  <c r="AA14" i="19" s="1"/>
  <c r="AB14" i="19" s="1"/>
  <c r="V15" i="19" s="1"/>
  <c r="AK19" i="13"/>
  <c r="AG20" i="13" s="1"/>
  <c r="AO22" i="20" l="1"/>
  <c r="AI23" i="20"/>
  <c r="AK22" i="20"/>
  <c r="AG23" i="20" s="1"/>
  <c r="AK23" i="20" s="1"/>
  <c r="AO20" i="24"/>
  <c r="AI22" i="19"/>
  <c r="AG22" i="19"/>
  <c r="AK22" i="19" s="1"/>
  <c r="AO21" i="19"/>
  <c r="AK22" i="23"/>
  <c r="AG24" i="22"/>
  <c r="AI24" i="22"/>
  <c r="AK24" i="25"/>
  <c r="AG23" i="23"/>
  <c r="AI23" i="23"/>
  <c r="AO22" i="23"/>
  <c r="AK20" i="24"/>
  <c r="AD15" i="25"/>
  <c r="Y15" i="25"/>
  <c r="Z15" i="25"/>
  <c r="AA15" i="25" s="1"/>
  <c r="AB15" i="25" s="1"/>
  <c r="V16" i="25" s="1"/>
  <c r="W15" i="24"/>
  <c r="AC14" i="24"/>
  <c r="X15" i="24" s="1"/>
  <c r="W15" i="23"/>
  <c r="AC14" i="23"/>
  <c r="X15" i="23" s="1"/>
  <c r="AD15" i="22"/>
  <c r="Y15" i="22"/>
  <c r="Z15" i="22"/>
  <c r="AA15" i="22" s="1"/>
  <c r="AB15" i="22" s="1"/>
  <c r="V16" i="22" s="1"/>
  <c r="AK20" i="21"/>
  <c r="AI21" i="21" s="1"/>
  <c r="W15" i="21"/>
  <c r="AC14" i="21"/>
  <c r="X15" i="21" s="1"/>
  <c r="W15" i="20"/>
  <c r="AI24" i="20"/>
  <c r="AG24" i="20"/>
  <c r="AC14" i="20"/>
  <c r="X15" i="20" s="1"/>
  <c r="W15" i="19"/>
  <c r="AC14" i="19"/>
  <c r="X15" i="19" s="1"/>
  <c r="AI20" i="13"/>
  <c r="AO20" i="13" s="1"/>
  <c r="AO24" i="22" l="1"/>
  <c r="AO23" i="20"/>
  <c r="AG21" i="21"/>
  <c r="AK21" i="21" s="1"/>
  <c r="AG22" i="21" s="1"/>
  <c r="AG23" i="19"/>
  <c r="AI23" i="19"/>
  <c r="AO23" i="19" s="1"/>
  <c r="AO22" i="19"/>
  <c r="AO23" i="23"/>
  <c r="AK24" i="22"/>
  <c r="AG25" i="25"/>
  <c r="AI25" i="25"/>
  <c r="AO25" i="25" s="1"/>
  <c r="AK23" i="23"/>
  <c r="AG21" i="24"/>
  <c r="AI21" i="24"/>
  <c r="W16" i="25"/>
  <c r="AC15" i="25"/>
  <c r="X16" i="25" s="1"/>
  <c r="AD15" i="24"/>
  <c r="Y15" i="24"/>
  <c r="Z15" i="24"/>
  <c r="AA15" i="24" s="1"/>
  <c r="AB15" i="24" s="1"/>
  <c r="V16" i="24" s="1"/>
  <c r="AO21" i="21"/>
  <c r="AD15" i="23"/>
  <c r="Y15" i="23"/>
  <c r="Z15" i="23"/>
  <c r="AA15" i="23" s="1"/>
  <c r="AB15" i="23" s="1"/>
  <c r="V16" i="23" s="1"/>
  <c r="W16" i="22"/>
  <c r="AC15" i="22"/>
  <c r="X16" i="22" s="1"/>
  <c r="AD15" i="21"/>
  <c r="Y15" i="21"/>
  <c r="Z15" i="21"/>
  <c r="AA15" i="21" s="1"/>
  <c r="AB15" i="21" s="1"/>
  <c r="V16" i="21" s="1"/>
  <c r="AK24" i="20"/>
  <c r="AG25" i="20" s="1"/>
  <c r="AO24" i="20"/>
  <c r="AD15" i="20"/>
  <c r="Y15" i="20"/>
  <c r="Z15" i="20"/>
  <c r="AA15" i="20" s="1"/>
  <c r="AB15" i="20" s="1"/>
  <c r="V16" i="20" s="1"/>
  <c r="AD15" i="19"/>
  <c r="Y15" i="19"/>
  <c r="Z15" i="19"/>
  <c r="AA15" i="19" s="1"/>
  <c r="AB15" i="19" s="1"/>
  <c r="V16" i="19" s="1"/>
  <c r="AK20" i="13"/>
  <c r="AG21" i="13" s="1"/>
  <c r="AO21" i="24" l="1"/>
  <c r="AK23" i="19"/>
  <c r="AG25" i="22"/>
  <c r="AI25" i="22"/>
  <c r="AO25" i="22" s="1"/>
  <c r="AK25" i="25"/>
  <c r="AI24" i="23"/>
  <c r="AG24" i="23"/>
  <c r="AI22" i="21"/>
  <c r="AO22" i="21" s="1"/>
  <c r="AK21" i="24"/>
  <c r="AD16" i="25"/>
  <c r="Y16" i="25"/>
  <c r="Z16" i="25"/>
  <c r="AA16" i="25" s="1"/>
  <c r="AB16" i="25" s="1"/>
  <c r="V17" i="25" s="1"/>
  <c r="W16" i="24"/>
  <c r="AC15" i="24"/>
  <c r="X16" i="24" s="1"/>
  <c r="W16" i="23"/>
  <c r="AC15" i="23"/>
  <c r="X16" i="23" s="1"/>
  <c r="AD16" i="22"/>
  <c r="Y16" i="22"/>
  <c r="Z16" i="22"/>
  <c r="AA16" i="22" s="1"/>
  <c r="AB16" i="22" s="1"/>
  <c r="V17" i="22" s="1"/>
  <c r="W16" i="21"/>
  <c r="AC15" i="21"/>
  <c r="X16" i="21" s="1"/>
  <c r="AI25" i="20"/>
  <c r="AO25" i="20" s="1"/>
  <c r="W16" i="20"/>
  <c r="AC15" i="20"/>
  <c r="X16" i="20" s="1"/>
  <c r="W16" i="19"/>
  <c r="AC15" i="19"/>
  <c r="X16" i="19" s="1"/>
  <c r="AI21" i="13"/>
  <c r="AO21" i="13" s="1"/>
  <c r="AK24" i="23" l="1"/>
  <c r="AI24" i="19"/>
  <c r="AG24" i="19"/>
  <c r="AK24" i="19" s="1"/>
  <c r="AG25" i="19" s="1"/>
  <c r="AK25" i="22"/>
  <c r="AK22" i="21"/>
  <c r="AI23" i="21" s="1"/>
  <c r="AG26" i="25"/>
  <c r="AI26" i="25"/>
  <c r="AO26" i="25" s="1"/>
  <c r="AG25" i="23"/>
  <c r="AI25" i="23"/>
  <c r="AO25" i="23" s="1"/>
  <c r="AO24" i="23"/>
  <c r="AI22" i="24"/>
  <c r="AG22" i="24"/>
  <c r="W17" i="25"/>
  <c r="AC16" i="25"/>
  <c r="X17" i="25" s="1"/>
  <c r="AD16" i="24"/>
  <c r="Y16" i="24"/>
  <c r="Z16" i="24"/>
  <c r="AA16" i="24" s="1"/>
  <c r="AB16" i="24" s="1"/>
  <c r="V17" i="24" s="1"/>
  <c r="AD16" i="23"/>
  <c r="Y16" i="23"/>
  <c r="Z16" i="23"/>
  <c r="AA16" i="23" s="1"/>
  <c r="AB16" i="23" s="1"/>
  <c r="V17" i="23" s="1"/>
  <c r="AK25" i="20"/>
  <c r="AG26" i="20" s="1"/>
  <c r="AI25" i="19"/>
  <c r="AO25" i="19" s="1"/>
  <c r="W17" i="22"/>
  <c r="AC16" i="22"/>
  <c r="X17" i="22" s="1"/>
  <c r="AD16" i="21"/>
  <c r="Y16" i="21"/>
  <c r="Z16" i="21"/>
  <c r="AA16" i="21" s="1"/>
  <c r="AB16" i="21" s="1"/>
  <c r="V17" i="21" s="1"/>
  <c r="AD16" i="20"/>
  <c r="Y16" i="20"/>
  <c r="Z16" i="20"/>
  <c r="AA16" i="20" s="1"/>
  <c r="AB16" i="20" s="1"/>
  <c r="V17" i="20" s="1"/>
  <c r="AD16" i="19"/>
  <c r="Y16" i="19"/>
  <c r="Z16" i="19"/>
  <c r="AA16" i="19" s="1"/>
  <c r="AB16" i="19" s="1"/>
  <c r="V17" i="19" s="1"/>
  <c r="AK21" i="13"/>
  <c r="AG22" i="13" s="1"/>
  <c r="AI26" i="20" l="1"/>
  <c r="AO24" i="19"/>
  <c r="AK22" i="24"/>
  <c r="AI26" i="22"/>
  <c r="AG26" i="22"/>
  <c r="AG23" i="21"/>
  <c r="AK23" i="21" s="1"/>
  <c r="AI24" i="21" s="1"/>
  <c r="AK26" i="25"/>
  <c r="AK25" i="23"/>
  <c r="AG23" i="24"/>
  <c r="AI23" i="24"/>
  <c r="AO22" i="24"/>
  <c r="AK25" i="19"/>
  <c r="AG26" i="19" s="1"/>
  <c r="AD17" i="25"/>
  <c r="Y17" i="25"/>
  <c r="Z17" i="25"/>
  <c r="AA17" i="25" s="1"/>
  <c r="AB17" i="25" s="1"/>
  <c r="V18" i="25" s="1"/>
  <c r="W17" i="24"/>
  <c r="AC16" i="24"/>
  <c r="X17" i="24" s="1"/>
  <c r="W17" i="23"/>
  <c r="AC16" i="23"/>
  <c r="X17" i="23" s="1"/>
  <c r="AD17" i="22"/>
  <c r="Y17" i="22"/>
  <c r="Z17" i="22"/>
  <c r="AA17" i="22" s="1"/>
  <c r="AB17" i="22" s="1"/>
  <c r="V18" i="22" s="1"/>
  <c r="W17" i="21"/>
  <c r="AC16" i="21"/>
  <c r="X17" i="21" s="1"/>
  <c r="AK26" i="20"/>
  <c r="AG27" i="20" s="1"/>
  <c r="W17" i="20"/>
  <c r="AI27" i="20"/>
  <c r="AC16" i="20"/>
  <c r="X17" i="20" s="1"/>
  <c r="AO26" i="20"/>
  <c r="W17" i="19"/>
  <c r="AC16" i="19"/>
  <c r="X17" i="19" s="1"/>
  <c r="AI22" i="13"/>
  <c r="AO22" i="13" s="1"/>
  <c r="AO23" i="24" l="1"/>
  <c r="AO23" i="21"/>
  <c r="AG24" i="21"/>
  <c r="AO24" i="21" s="1"/>
  <c r="AO26" i="22"/>
  <c r="AK26" i="22"/>
  <c r="AI27" i="25"/>
  <c r="AG27" i="25"/>
  <c r="AG26" i="23"/>
  <c r="AI26" i="23"/>
  <c r="AK23" i="24"/>
  <c r="AI26" i="19"/>
  <c r="AO26" i="19" s="1"/>
  <c r="W18" i="25"/>
  <c r="AC17" i="25"/>
  <c r="X18" i="25" s="1"/>
  <c r="AD17" i="24"/>
  <c r="Y17" i="24"/>
  <c r="Z17" i="24"/>
  <c r="AA17" i="24" s="1"/>
  <c r="AB17" i="24" s="1"/>
  <c r="V18" i="24" s="1"/>
  <c r="AD17" i="23"/>
  <c r="Y17" i="23"/>
  <c r="Z17" i="23"/>
  <c r="AA17" i="23" s="1"/>
  <c r="AB17" i="23" s="1"/>
  <c r="V18" i="23" s="1"/>
  <c r="W18" i="22"/>
  <c r="AC17" i="22"/>
  <c r="X18" i="22" s="1"/>
  <c r="AD17" i="21"/>
  <c r="Y17" i="21"/>
  <c r="Z17" i="21"/>
  <c r="AA17" i="21" s="1"/>
  <c r="AB17" i="21" s="1"/>
  <c r="V18" i="21" s="1"/>
  <c r="AK27" i="20"/>
  <c r="AG28" i="20" s="1"/>
  <c r="AD17" i="20"/>
  <c r="Y17" i="20"/>
  <c r="AI28" i="20"/>
  <c r="AO27" i="20"/>
  <c r="Z17" i="20"/>
  <c r="AA17" i="20" s="1"/>
  <c r="AB17" i="20" s="1"/>
  <c r="V18" i="20" s="1"/>
  <c r="AD17" i="19"/>
  <c r="Y17" i="19"/>
  <c r="Z17" i="19"/>
  <c r="AA17" i="19" s="1"/>
  <c r="AB17" i="19" s="1"/>
  <c r="V18" i="19" s="1"/>
  <c r="AK22" i="13"/>
  <c r="AG23" i="13" s="1"/>
  <c r="AK24" i="21" l="1"/>
  <c r="AI25" i="21" s="1"/>
  <c r="AO26" i="23"/>
  <c r="AK27" i="25"/>
  <c r="AG25" i="21"/>
  <c r="AK25" i="21" s="1"/>
  <c r="AI26" i="21" s="1"/>
  <c r="AI27" i="22"/>
  <c r="AG27" i="22"/>
  <c r="AK27" i="22" s="1"/>
  <c r="AO25" i="21"/>
  <c r="AG28" i="25"/>
  <c r="AI28" i="25"/>
  <c r="AO27" i="25"/>
  <c r="AK26" i="23"/>
  <c r="AI24" i="24"/>
  <c r="AG24" i="24"/>
  <c r="AK26" i="19"/>
  <c r="AD18" i="25"/>
  <c r="Y18" i="25"/>
  <c r="Z18" i="25"/>
  <c r="AA18" i="25" s="1"/>
  <c r="AB18" i="25" s="1"/>
  <c r="V19" i="25" s="1"/>
  <c r="W18" i="24"/>
  <c r="AC17" i="24"/>
  <c r="X18" i="24" s="1"/>
  <c r="W18" i="23"/>
  <c r="AC17" i="23"/>
  <c r="X18" i="23" s="1"/>
  <c r="AD18" i="22"/>
  <c r="Y18" i="22"/>
  <c r="Z18" i="22"/>
  <c r="AA18" i="22" s="1"/>
  <c r="AB18" i="22" s="1"/>
  <c r="V19" i="22" s="1"/>
  <c r="W18" i="21"/>
  <c r="AC17" i="21"/>
  <c r="X18" i="21" s="1"/>
  <c r="AK28" i="20"/>
  <c r="AI29" i="20" s="1"/>
  <c r="W18" i="20"/>
  <c r="AG29" i="20"/>
  <c r="AO28" i="20"/>
  <c r="AC17" i="20"/>
  <c r="X18" i="20" s="1"/>
  <c r="W18" i="19"/>
  <c r="AC17" i="19"/>
  <c r="X18" i="19" s="1"/>
  <c r="AI23" i="13"/>
  <c r="AO23" i="13" s="1"/>
  <c r="AG26" i="21" l="1"/>
  <c r="AK26" i="21" s="1"/>
  <c r="AG27" i="21" s="1"/>
  <c r="AO28" i="25"/>
  <c r="AI27" i="21"/>
  <c r="AO27" i="21" s="1"/>
  <c r="AO26" i="21"/>
  <c r="AI28" i="22"/>
  <c r="AG28" i="22"/>
  <c r="AO27" i="22"/>
  <c r="AK24" i="24"/>
  <c r="AI25" i="24" s="1"/>
  <c r="AK28" i="25"/>
  <c r="AI27" i="23"/>
  <c r="AG27" i="23"/>
  <c r="AK27" i="23" s="1"/>
  <c r="AK27" i="21"/>
  <c r="AI28" i="21" s="1"/>
  <c r="AO24" i="24"/>
  <c r="AG27" i="19"/>
  <c r="AI27" i="19"/>
  <c r="W19" i="25"/>
  <c r="AC18" i="25"/>
  <c r="X19" i="25" s="1"/>
  <c r="AD18" i="24"/>
  <c r="Y18" i="24"/>
  <c r="Z18" i="24"/>
  <c r="AA18" i="24" s="1"/>
  <c r="AB18" i="24" s="1"/>
  <c r="V19" i="24" s="1"/>
  <c r="AD18" i="23"/>
  <c r="Y18" i="23"/>
  <c r="Z18" i="23"/>
  <c r="AA18" i="23" s="1"/>
  <c r="AB18" i="23" s="1"/>
  <c r="V19" i="23" s="1"/>
  <c r="W19" i="22"/>
  <c r="AC18" i="22"/>
  <c r="X19" i="22" s="1"/>
  <c r="AD18" i="21"/>
  <c r="Y18" i="21"/>
  <c r="Z18" i="21"/>
  <c r="AA18" i="21" s="1"/>
  <c r="AB18" i="21" s="1"/>
  <c r="V19" i="21" s="1"/>
  <c r="AK29" i="20"/>
  <c r="AI30" i="20" s="1"/>
  <c r="AD18" i="20"/>
  <c r="Y18" i="20"/>
  <c r="AG30" i="20"/>
  <c r="AO29" i="20"/>
  <c r="Z18" i="20"/>
  <c r="AA18" i="20" s="1"/>
  <c r="AB18" i="20" s="1"/>
  <c r="V19" i="20" s="1"/>
  <c r="AD18" i="19"/>
  <c r="Y18" i="19"/>
  <c r="Z18" i="19"/>
  <c r="AA18" i="19" s="1"/>
  <c r="AB18" i="19" s="1"/>
  <c r="V19" i="19" s="1"/>
  <c r="AK23" i="13"/>
  <c r="AG24" i="13" s="1"/>
  <c r="AK28" i="22" l="1"/>
  <c r="AG25" i="24"/>
  <c r="AO25" i="24" s="1"/>
  <c r="AG28" i="21"/>
  <c r="AO28" i="21" s="1"/>
  <c r="AI29" i="22"/>
  <c r="AG29" i="22"/>
  <c r="AO28" i="22"/>
  <c r="AO27" i="19"/>
  <c r="AG29" i="25"/>
  <c r="AI29" i="25"/>
  <c r="AI28" i="23"/>
  <c r="AG28" i="23"/>
  <c r="AO27" i="23"/>
  <c r="AK27" i="19"/>
  <c r="AD19" i="25"/>
  <c r="Y19" i="25"/>
  <c r="Z19" i="25"/>
  <c r="AA19" i="25" s="1"/>
  <c r="AB19" i="25" s="1"/>
  <c r="V20" i="25" s="1"/>
  <c r="W19" i="24"/>
  <c r="AC18" i="24"/>
  <c r="X19" i="24" s="1"/>
  <c r="W19" i="23"/>
  <c r="AC18" i="23"/>
  <c r="X19" i="23" s="1"/>
  <c r="AD19" i="22"/>
  <c r="Y19" i="22"/>
  <c r="Z19" i="22"/>
  <c r="AA19" i="22" s="1"/>
  <c r="AB19" i="22" s="1"/>
  <c r="V20" i="22" s="1"/>
  <c r="W19" i="21"/>
  <c r="AC18" i="21"/>
  <c r="X19" i="21" s="1"/>
  <c r="AK30" i="20"/>
  <c r="AG31" i="20" s="1"/>
  <c r="W19" i="20"/>
  <c r="AI31" i="20"/>
  <c r="AO30" i="20"/>
  <c r="AC18" i="20"/>
  <c r="X19" i="20" s="1"/>
  <c r="W19" i="19"/>
  <c r="AC18" i="19"/>
  <c r="X19" i="19" s="1"/>
  <c r="AI24" i="13"/>
  <c r="AO24" i="13" s="1"/>
  <c r="AK25" i="24" l="1"/>
  <c r="AK28" i="21"/>
  <c r="AG29" i="21" s="1"/>
  <c r="AK28" i="23"/>
  <c r="AK29" i="22"/>
  <c r="AI29" i="21"/>
  <c r="AK29" i="21" s="1"/>
  <c r="AI30" i="21" s="1"/>
  <c r="AO29" i="25"/>
  <c r="AI30" i="22"/>
  <c r="AG30" i="22"/>
  <c r="AO29" i="22"/>
  <c r="AK29" i="25"/>
  <c r="AI29" i="23"/>
  <c r="AG29" i="23"/>
  <c r="AK29" i="23" s="1"/>
  <c r="AO28" i="23"/>
  <c r="AI26" i="24"/>
  <c r="AG26" i="24"/>
  <c r="AI28" i="19"/>
  <c r="AG28" i="19"/>
  <c r="W20" i="25"/>
  <c r="AC19" i="25"/>
  <c r="X20" i="25" s="1"/>
  <c r="AD19" i="24"/>
  <c r="Y19" i="24"/>
  <c r="Z19" i="24"/>
  <c r="AA19" i="24" s="1"/>
  <c r="AB19" i="24" s="1"/>
  <c r="V20" i="24" s="1"/>
  <c r="AD19" i="23"/>
  <c r="Y19" i="23"/>
  <c r="Z19" i="23"/>
  <c r="AA19" i="23" s="1"/>
  <c r="AB19" i="23" s="1"/>
  <c r="V20" i="23" s="1"/>
  <c r="W20" i="22"/>
  <c r="AC19" i="22"/>
  <c r="X20" i="22" s="1"/>
  <c r="AD19" i="21"/>
  <c r="Y19" i="21"/>
  <c r="Z19" i="21"/>
  <c r="AA19" i="21" s="1"/>
  <c r="AB19" i="21" s="1"/>
  <c r="V20" i="21" s="1"/>
  <c r="AO31" i="20"/>
  <c r="AD19" i="20"/>
  <c r="Y19" i="20"/>
  <c r="AK31" i="20"/>
  <c r="Z19" i="20"/>
  <c r="AA19" i="20" s="1"/>
  <c r="AB19" i="20" s="1"/>
  <c r="V20" i="20" s="1"/>
  <c r="AD19" i="19"/>
  <c r="Y19" i="19"/>
  <c r="Z19" i="19"/>
  <c r="AA19" i="19" s="1"/>
  <c r="AB19" i="19" s="1"/>
  <c r="V20" i="19" s="1"/>
  <c r="AK24" i="13"/>
  <c r="AI25" i="13" s="1"/>
  <c r="AK30" i="22" l="1"/>
  <c r="AO29" i="21"/>
  <c r="AK26" i="24"/>
  <c r="AG30" i="21"/>
  <c r="AK28" i="19"/>
  <c r="AG29" i="19" s="1"/>
  <c r="AG31" i="22"/>
  <c r="AI31" i="22"/>
  <c r="AO30" i="22"/>
  <c r="AI29" i="19"/>
  <c r="AO29" i="19" s="1"/>
  <c r="AG30" i="25"/>
  <c r="AI30" i="25"/>
  <c r="AI30" i="23"/>
  <c r="AG30" i="23"/>
  <c r="AO29" i="23"/>
  <c r="AI27" i="24"/>
  <c r="AG27" i="24"/>
  <c r="AO26" i="24"/>
  <c r="AO28" i="19"/>
  <c r="AD20" i="25"/>
  <c r="Y20" i="25"/>
  <c r="Z20" i="25"/>
  <c r="AA20" i="25" s="1"/>
  <c r="AB20" i="25" s="1"/>
  <c r="V21" i="25" s="1"/>
  <c r="W20" i="24"/>
  <c r="AC19" i="24"/>
  <c r="X20" i="24" s="1"/>
  <c r="AO30" i="21"/>
  <c r="W20" i="23"/>
  <c r="AC19" i="23"/>
  <c r="X20" i="23" s="1"/>
  <c r="AD20" i="22"/>
  <c r="Y20" i="22"/>
  <c r="Z20" i="22"/>
  <c r="AA20" i="22" s="1"/>
  <c r="AB20" i="22" s="1"/>
  <c r="V21" i="22" s="1"/>
  <c r="AK30" i="21"/>
  <c r="W20" i="21"/>
  <c r="AC19" i="21"/>
  <c r="X20" i="21" s="1"/>
  <c r="W20" i="20"/>
  <c r="AG32" i="20"/>
  <c r="AI32" i="20"/>
  <c r="AC19" i="20"/>
  <c r="X20" i="20" s="1"/>
  <c r="W20" i="19"/>
  <c r="AC19" i="19"/>
  <c r="X20" i="19" s="1"/>
  <c r="AG25" i="13"/>
  <c r="AK25" i="13" s="1"/>
  <c r="AK30" i="23" l="1"/>
  <c r="AO31" i="22"/>
  <c r="AK29" i="19"/>
  <c r="AO30" i="25"/>
  <c r="AK31" i="22"/>
  <c r="AK30" i="25"/>
  <c r="AG31" i="23"/>
  <c r="AI31" i="23"/>
  <c r="AO31" i="23" s="1"/>
  <c r="AO30" i="23"/>
  <c r="AO27" i="24"/>
  <c r="AK27" i="24"/>
  <c r="W21" i="25"/>
  <c r="AC20" i="25"/>
  <c r="X21" i="25" s="1"/>
  <c r="AD20" i="24"/>
  <c r="Y20" i="24"/>
  <c r="Z20" i="24"/>
  <c r="AA20" i="24" s="1"/>
  <c r="AB20" i="24" s="1"/>
  <c r="V21" i="24" s="1"/>
  <c r="AD20" i="23"/>
  <c r="Y20" i="23"/>
  <c r="Z20" i="23"/>
  <c r="AA20" i="23" s="1"/>
  <c r="AB20" i="23" s="1"/>
  <c r="V21" i="23" s="1"/>
  <c r="W21" i="22"/>
  <c r="AC20" i="22"/>
  <c r="X21" i="22" s="1"/>
  <c r="AG31" i="21"/>
  <c r="AI31" i="21"/>
  <c r="AD20" i="21"/>
  <c r="Y20" i="21"/>
  <c r="Z20" i="21"/>
  <c r="AA20" i="21" s="1"/>
  <c r="AB20" i="21" s="1"/>
  <c r="V21" i="21" s="1"/>
  <c r="AO32" i="20"/>
  <c r="AD20" i="20"/>
  <c r="Y20" i="20"/>
  <c r="AK32" i="20"/>
  <c r="Z20" i="20"/>
  <c r="AA20" i="20" s="1"/>
  <c r="AB20" i="20" s="1"/>
  <c r="V21" i="20" s="1"/>
  <c r="AG30" i="19"/>
  <c r="AI30" i="19"/>
  <c r="AD20" i="19"/>
  <c r="Y20" i="19"/>
  <c r="Z20" i="19"/>
  <c r="AA20" i="19" s="1"/>
  <c r="AB20" i="19" s="1"/>
  <c r="V21" i="19" s="1"/>
  <c r="AI26" i="13"/>
  <c r="AG26" i="13"/>
  <c r="AO25" i="13"/>
  <c r="AO31" i="21" l="1"/>
  <c r="AG32" i="22"/>
  <c r="AI32" i="22"/>
  <c r="AG31" i="25"/>
  <c r="AI31" i="25"/>
  <c r="AO31" i="25" s="1"/>
  <c r="AK31" i="23"/>
  <c r="AI28" i="24"/>
  <c r="AG28" i="24"/>
  <c r="AD21" i="25"/>
  <c r="Y21" i="25"/>
  <c r="Z21" i="25"/>
  <c r="AA21" i="25" s="1"/>
  <c r="AB21" i="25" s="1"/>
  <c r="V22" i="25" s="1"/>
  <c r="W21" i="24"/>
  <c r="AC20" i="24"/>
  <c r="X21" i="24" s="1"/>
  <c r="W21" i="23"/>
  <c r="AC20" i="23"/>
  <c r="X21" i="23" s="1"/>
  <c r="AD21" i="22"/>
  <c r="Y21" i="22"/>
  <c r="Z21" i="22"/>
  <c r="AA21" i="22" s="1"/>
  <c r="AB21" i="22" s="1"/>
  <c r="V22" i="22" s="1"/>
  <c r="AK31" i="21"/>
  <c r="AO30" i="19"/>
  <c r="W21" i="21"/>
  <c r="AC20" i="21"/>
  <c r="X21" i="21" s="1"/>
  <c r="W21" i="20"/>
  <c r="AG33" i="20"/>
  <c r="AI33" i="20"/>
  <c r="AC20" i="20"/>
  <c r="X21" i="20" s="1"/>
  <c r="W21" i="19"/>
  <c r="AC20" i="19"/>
  <c r="X21" i="19" s="1"/>
  <c r="AK30" i="19"/>
  <c r="AO26" i="13"/>
  <c r="AK26" i="13"/>
  <c r="AG27" i="13" s="1"/>
  <c r="AK28" i="24" l="1"/>
  <c r="AK32" i="22"/>
  <c r="AO32" i="22"/>
  <c r="AK31" i="25"/>
  <c r="AG32" i="23"/>
  <c r="AI32" i="23"/>
  <c r="AO32" i="23" s="1"/>
  <c r="AI29" i="24"/>
  <c r="AG29" i="24"/>
  <c r="AO28" i="24"/>
  <c r="W22" i="25"/>
  <c r="AC21" i="25"/>
  <c r="X22" i="25" s="1"/>
  <c r="AD21" i="24"/>
  <c r="Y21" i="24"/>
  <c r="Z21" i="24"/>
  <c r="AA21" i="24" s="1"/>
  <c r="AB21" i="24" s="1"/>
  <c r="V22" i="24" s="1"/>
  <c r="AI27" i="13"/>
  <c r="AO27" i="13" s="1"/>
  <c r="AD21" i="23"/>
  <c r="Y21" i="23"/>
  <c r="Z21" i="23"/>
  <c r="AA21" i="23" s="1"/>
  <c r="AB21" i="23" s="1"/>
  <c r="V22" i="23" s="1"/>
  <c r="W22" i="22"/>
  <c r="AC21" i="22"/>
  <c r="X22" i="22" s="1"/>
  <c r="AG32" i="21"/>
  <c r="AI32" i="21"/>
  <c r="AD21" i="21"/>
  <c r="Y21" i="21"/>
  <c r="Z21" i="21"/>
  <c r="AA21" i="21" s="1"/>
  <c r="AB21" i="21" s="1"/>
  <c r="V22" i="21" s="1"/>
  <c r="AO33" i="20"/>
  <c r="AD21" i="20"/>
  <c r="Y21" i="20"/>
  <c r="AK33" i="20"/>
  <c r="Z21" i="20"/>
  <c r="AA21" i="20" s="1"/>
  <c r="AB21" i="20" s="1"/>
  <c r="V22" i="20" s="1"/>
  <c r="AI31" i="19"/>
  <c r="AG31" i="19"/>
  <c r="AD21" i="19"/>
  <c r="Y21" i="19"/>
  <c r="Z21" i="19"/>
  <c r="AA21" i="19" s="1"/>
  <c r="AB21" i="19" s="1"/>
  <c r="V22" i="19" s="1"/>
  <c r="AK31" i="19" l="1"/>
  <c r="AK29" i="24"/>
  <c r="AG33" i="22"/>
  <c r="AI33" i="22"/>
  <c r="AO33" i="22" s="1"/>
  <c r="AG32" i="25"/>
  <c r="AI32" i="25"/>
  <c r="AK32" i="23"/>
  <c r="AI30" i="24"/>
  <c r="AG30" i="24"/>
  <c r="AO29" i="24"/>
  <c r="AO32" i="21"/>
  <c r="AK27" i="13"/>
  <c r="AI28" i="13" s="1"/>
  <c r="AD22" i="25"/>
  <c r="Y22" i="25"/>
  <c r="Z22" i="25"/>
  <c r="AA22" i="25" s="1"/>
  <c r="AB22" i="25" s="1"/>
  <c r="V23" i="25" s="1"/>
  <c r="W22" i="24"/>
  <c r="AC21" i="24"/>
  <c r="X22" i="24" s="1"/>
  <c r="W22" i="23"/>
  <c r="AC21" i="23"/>
  <c r="X22" i="23" s="1"/>
  <c r="AD22" i="22"/>
  <c r="Y22" i="22"/>
  <c r="Z22" i="22"/>
  <c r="AA22" i="22" s="1"/>
  <c r="AB22" i="22" s="1"/>
  <c r="V23" i="22" s="1"/>
  <c r="AK32" i="21"/>
  <c r="W22" i="21"/>
  <c r="AC21" i="21"/>
  <c r="X22" i="21" s="1"/>
  <c r="W22" i="20"/>
  <c r="AI34" i="20"/>
  <c r="AG34" i="20"/>
  <c r="AC21" i="20"/>
  <c r="X22" i="20" s="1"/>
  <c r="W22" i="19"/>
  <c r="AC21" i="19"/>
  <c r="X22" i="19" s="1"/>
  <c r="AG32" i="19"/>
  <c r="AI32" i="19"/>
  <c r="AO31" i="19"/>
  <c r="AO32" i="25" l="1"/>
  <c r="AG28" i="13"/>
  <c r="AO28" i="13" s="1"/>
  <c r="AK30" i="24"/>
  <c r="AI31" i="24" s="1"/>
  <c r="AK33" i="22"/>
  <c r="AK32" i="25"/>
  <c r="AG33" i="23"/>
  <c r="AI33" i="23"/>
  <c r="AG31" i="24"/>
  <c r="AO30" i="24"/>
  <c r="W23" i="25"/>
  <c r="AC22" i="25"/>
  <c r="X23" i="25" s="1"/>
  <c r="AD22" i="24"/>
  <c r="Y22" i="24"/>
  <c r="Z22" i="24"/>
  <c r="AA22" i="24" s="1"/>
  <c r="AB22" i="24" s="1"/>
  <c r="V23" i="24" s="1"/>
  <c r="AD22" i="23"/>
  <c r="Y22" i="23"/>
  <c r="Z22" i="23"/>
  <c r="AA22" i="23" s="1"/>
  <c r="AB22" i="23" s="1"/>
  <c r="V23" i="23" s="1"/>
  <c r="W23" i="22"/>
  <c r="AC22" i="22"/>
  <c r="X23" i="22" s="1"/>
  <c r="AI33" i="21"/>
  <c r="AG33" i="21"/>
  <c r="AD22" i="21"/>
  <c r="Y22" i="21"/>
  <c r="Z22" i="21"/>
  <c r="AA22" i="21" s="1"/>
  <c r="AB22" i="21" s="1"/>
  <c r="V23" i="21" s="1"/>
  <c r="AK34" i="20"/>
  <c r="AI35" i="20" s="1"/>
  <c r="AD22" i="20"/>
  <c r="Y22" i="20"/>
  <c r="AO34" i="20"/>
  <c r="AG35" i="20"/>
  <c r="Z22" i="20"/>
  <c r="AA22" i="20" s="1"/>
  <c r="AB22" i="20" s="1"/>
  <c r="V23" i="20" s="1"/>
  <c r="AO32" i="19"/>
  <c r="AK32" i="19"/>
  <c r="AD22" i="19"/>
  <c r="Y22" i="19"/>
  <c r="Z22" i="19"/>
  <c r="AA22" i="19" s="1"/>
  <c r="AB22" i="19" s="1"/>
  <c r="V23" i="19" s="1"/>
  <c r="AO33" i="23" l="1"/>
  <c r="AK28" i="13"/>
  <c r="AG29" i="13" s="1"/>
  <c r="AO31" i="24"/>
  <c r="AK33" i="21"/>
  <c r="AG34" i="22"/>
  <c r="AI34" i="22"/>
  <c r="AO34" i="22" s="1"/>
  <c r="AI33" i="25"/>
  <c r="AG33" i="25"/>
  <c r="AK33" i="25" s="1"/>
  <c r="AK33" i="23"/>
  <c r="AK31" i="24"/>
  <c r="AD23" i="25"/>
  <c r="Y23" i="25"/>
  <c r="Z23" i="25"/>
  <c r="AA23" i="25" s="1"/>
  <c r="AB23" i="25" s="1"/>
  <c r="V24" i="25" s="1"/>
  <c r="W23" i="24"/>
  <c r="AC22" i="24"/>
  <c r="X23" i="24" s="1"/>
  <c r="W23" i="23"/>
  <c r="AC22" i="23"/>
  <c r="X23" i="23" s="1"/>
  <c r="AD23" i="22"/>
  <c r="Y23" i="22"/>
  <c r="Z23" i="22"/>
  <c r="AA23" i="22" s="1"/>
  <c r="AB23" i="22" s="1"/>
  <c r="V24" i="22" s="1"/>
  <c r="AI34" i="21"/>
  <c r="AG34" i="21"/>
  <c r="AO33" i="21"/>
  <c r="W23" i="21"/>
  <c r="AC22" i="21"/>
  <c r="X23" i="21" s="1"/>
  <c r="AK35" i="20"/>
  <c r="AG36" i="20" s="1"/>
  <c r="W23" i="20"/>
  <c r="AO35" i="20"/>
  <c r="AC22" i="20"/>
  <c r="X23" i="20" s="1"/>
  <c r="W23" i="19"/>
  <c r="AC22" i="19"/>
  <c r="X23" i="19" s="1"/>
  <c r="AG33" i="19"/>
  <c r="AI33" i="19"/>
  <c r="AI29" i="13"/>
  <c r="AK29" i="13" s="1"/>
  <c r="AI36" i="20" l="1"/>
  <c r="AK34" i="22"/>
  <c r="AI34" i="25"/>
  <c r="AG34" i="25"/>
  <c r="AK34" i="25" s="1"/>
  <c r="AO33" i="25"/>
  <c r="AI34" i="23"/>
  <c r="AG34" i="23"/>
  <c r="AK34" i="23" s="1"/>
  <c r="AG32" i="24"/>
  <c r="AI32" i="24"/>
  <c r="AK34" i="21"/>
  <c r="AG35" i="21" s="1"/>
  <c r="W24" i="25"/>
  <c r="AC23" i="25"/>
  <c r="X24" i="25" s="1"/>
  <c r="AD23" i="24"/>
  <c r="Y23" i="24"/>
  <c r="Z23" i="24"/>
  <c r="AA23" i="24" s="1"/>
  <c r="AB23" i="24" s="1"/>
  <c r="V24" i="24" s="1"/>
  <c r="AD23" i="23"/>
  <c r="Y23" i="23"/>
  <c r="Z23" i="23"/>
  <c r="AA23" i="23" s="1"/>
  <c r="AB23" i="23" s="1"/>
  <c r="V24" i="23" s="1"/>
  <c r="W24" i="22"/>
  <c r="AC23" i="22"/>
  <c r="X24" i="22" s="1"/>
  <c r="AO34" i="21"/>
  <c r="AD23" i="21"/>
  <c r="Y23" i="21"/>
  <c r="Z23" i="21"/>
  <c r="AA23" i="21" s="1"/>
  <c r="AB23" i="21" s="1"/>
  <c r="V24" i="21" s="1"/>
  <c r="AO33" i="19"/>
  <c r="AK36" i="20"/>
  <c r="AG37" i="20" s="1"/>
  <c r="AD23" i="20"/>
  <c r="Y23" i="20"/>
  <c r="AI37" i="20"/>
  <c r="AO36" i="20"/>
  <c r="Z23" i="20"/>
  <c r="AA23" i="20" s="1"/>
  <c r="AB23" i="20" s="1"/>
  <c r="V24" i="20" s="1"/>
  <c r="AK33" i="19"/>
  <c r="AD23" i="19"/>
  <c r="Y23" i="19"/>
  <c r="Z23" i="19"/>
  <c r="AA23" i="19" s="1"/>
  <c r="AB23" i="19" s="1"/>
  <c r="V24" i="19" s="1"/>
  <c r="AO29" i="13"/>
  <c r="AG30" i="13"/>
  <c r="AI30" i="13"/>
  <c r="AI35" i="21" l="1"/>
  <c r="AG35" i="22"/>
  <c r="AI35" i="22"/>
  <c r="AO35" i="22" s="1"/>
  <c r="AG35" i="25"/>
  <c r="AI35" i="25"/>
  <c r="AO34" i="25"/>
  <c r="AG35" i="23"/>
  <c r="AI35" i="23"/>
  <c r="AO35" i="23" s="1"/>
  <c r="AO34" i="23"/>
  <c r="AO32" i="24"/>
  <c r="AK32" i="24"/>
  <c r="AO35" i="21"/>
  <c r="AD24" i="25"/>
  <c r="Y24" i="25"/>
  <c r="Z24" i="25"/>
  <c r="AA24" i="25" s="1"/>
  <c r="AB24" i="25" s="1"/>
  <c r="V25" i="25" s="1"/>
  <c r="W24" i="24"/>
  <c r="AC23" i="24"/>
  <c r="X24" i="24" s="1"/>
  <c r="W24" i="23"/>
  <c r="AC23" i="23"/>
  <c r="X24" i="23" s="1"/>
  <c r="AD24" i="22"/>
  <c r="Y24" i="22"/>
  <c r="Z24" i="22"/>
  <c r="AA24" i="22" s="1"/>
  <c r="AB24" i="22" s="1"/>
  <c r="V25" i="22" s="1"/>
  <c r="AK35" i="21"/>
  <c r="W24" i="21"/>
  <c r="AC23" i="21"/>
  <c r="X24" i="21" s="1"/>
  <c r="AK37" i="20"/>
  <c r="AI38" i="20" s="1"/>
  <c r="W24" i="20"/>
  <c r="AG38" i="20"/>
  <c r="AO37" i="20"/>
  <c r="AC23" i="20"/>
  <c r="X24" i="20" s="1"/>
  <c r="W24" i="19"/>
  <c r="AC23" i="19"/>
  <c r="X24" i="19" s="1"/>
  <c r="AI34" i="19"/>
  <c r="AG34" i="19"/>
  <c r="AK30" i="13"/>
  <c r="AO30" i="13"/>
  <c r="AO35" i="25" l="1"/>
  <c r="AK35" i="22"/>
  <c r="AK35" i="25"/>
  <c r="AK35" i="23"/>
  <c r="AG33" i="24"/>
  <c r="AI33" i="24"/>
  <c r="AO33" i="24" s="1"/>
  <c r="W25" i="25"/>
  <c r="AC24" i="25"/>
  <c r="X25" i="25" s="1"/>
  <c r="AD24" i="24"/>
  <c r="Y24" i="24"/>
  <c r="Z24" i="24"/>
  <c r="AA24" i="24" s="1"/>
  <c r="AB24" i="24" s="1"/>
  <c r="V25" i="24" s="1"/>
  <c r="AD24" i="23"/>
  <c r="Y24" i="23"/>
  <c r="Z24" i="23"/>
  <c r="AA24" i="23" s="1"/>
  <c r="AB24" i="23" s="1"/>
  <c r="V25" i="23" s="1"/>
  <c r="W25" i="22"/>
  <c r="AC24" i="22"/>
  <c r="X25" i="22" s="1"/>
  <c r="AG36" i="21"/>
  <c r="AI36" i="21"/>
  <c r="AD24" i="21"/>
  <c r="Y24" i="21"/>
  <c r="Z24" i="21"/>
  <c r="AA24" i="21" s="1"/>
  <c r="AB24" i="21" s="1"/>
  <c r="V25" i="21" s="1"/>
  <c r="AO38" i="20"/>
  <c r="AK38" i="20"/>
  <c r="AD24" i="20"/>
  <c r="Y24" i="20"/>
  <c r="Z24" i="20"/>
  <c r="AA24" i="20" s="1"/>
  <c r="AB24" i="20" s="1"/>
  <c r="V25" i="20" s="1"/>
  <c r="AO34" i="19"/>
  <c r="AK34" i="19"/>
  <c r="AG35" i="19" s="1"/>
  <c r="AD24" i="19"/>
  <c r="Y24" i="19"/>
  <c r="Z24" i="19"/>
  <c r="AA24" i="19" s="1"/>
  <c r="AB24" i="19" s="1"/>
  <c r="V25" i="19" s="1"/>
  <c r="AG31" i="13"/>
  <c r="AI31" i="13"/>
  <c r="AG36" i="22" l="1"/>
  <c r="AI36" i="22"/>
  <c r="AI36" i="25"/>
  <c r="AG36" i="25"/>
  <c r="AK36" i="25" s="1"/>
  <c r="AI36" i="23"/>
  <c r="AG36" i="23"/>
  <c r="AK33" i="24"/>
  <c r="AD25" i="25"/>
  <c r="Y25" i="25"/>
  <c r="Z25" i="25"/>
  <c r="AA25" i="25" s="1"/>
  <c r="AB25" i="25" s="1"/>
  <c r="V26" i="25" s="1"/>
  <c r="AO36" i="21"/>
  <c r="W25" i="24"/>
  <c r="AC24" i="24"/>
  <c r="X25" i="24" s="1"/>
  <c r="W25" i="23"/>
  <c r="AC24" i="23"/>
  <c r="X25" i="23" s="1"/>
  <c r="AD25" i="22"/>
  <c r="Y25" i="22"/>
  <c r="Z25" i="22"/>
  <c r="AA25" i="22" s="1"/>
  <c r="AB25" i="22" s="1"/>
  <c r="V26" i="22" s="1"/>
  <c r="AK36" i="21"/>
  <c r="AI35" i="19"/>
  <c r="AO35" i="19" s="1"/>
  <c r="W25" i="21"/>
  <c r="AC24" i="21"/>
  <c r="X25" i="21" s="1"/>
  <c r="W25" i="20"/>
  <c r="AC24" i="20"/>
  <c r="X25" i="20" s="1"/>
  <c r="AI39" i="20"/>
  <c r="AG39" i="20"/>
  <c r="W25" i="19"/>
  <c r="AC24" i="19"/>
  <c r="X25" i="19" s="1"/>
  <c r="AK31" i="13"/>
  <c r="AO31" i="13"/>
  <c r="AK36" i="23" l="1"/>
  <c r="AO36" i="22"/>
  <c r="AK36" i="22"/>
  <c r="AG37" i="25"/>
  <c r="AI37" i="25"/>
  <c r="AO37" i="25" s="1"/>
  <c r="AO36" i="25"/>
  <c r="AG37" i="23"/>
  <c r="AI37" i="23"/>
  <c r="AO37" i="23" s="1"/>
  <c r="AO36" i="23"/>
  <c r="AG34" i="24"/>
  <c r="AI34" i="24"/>
  <c r="W26" i="25"/>
  <c r="AC25" i="25"/>
  <c r="X26" i="25" s="1"/>
  <c r="AD25" i="24"/>
  <c r="Y25" i="24"/>
  <c r="Z25" i="24"/>
  <c r="AA25" i="24" s="1"/>
  <c r="AB25" i="24" s="1"/>
  <c r="V26" i="24" s="1"/>
  <c r="AD25" i="23"/>
  <c r="Y25" i="23"/>
  <c r="Z25" i="23"/>
  <c r="AA25" i="23" s="1"/>
  <c r="AB25" i="23" s="1"/>
  <c r="V26" i="23" s="1"/>
  <c r="AK35" i="19"/>
  <c r="AG36" i="19" s="1"/>
  <c r="W26" i="22"/>
  <c r="AC25" i="22"/>
  <c r="X26" i="22" s="1"/>
  <c r="AI37" i="21"/>
  <c r="AG37" i="21"/>
  <c r="AD25" i="21"/>
  <c r="Y25" i="21"/>
  <c r="Z25" i="21"/>
  <c r="AA25" i="21" s="1"/>
  <c r="AB25" i="21" s="1"/>
  <c r="V26" i="21" s="1"/>
  <c r="AK39" i="20"/>
  <c r="AG40" i="20" s="1"/>
  <c r="AD25" i="20"/>
  <c r="Y25" i="20"/>
  <c r="AO39" i="20"/>
  <c r="Z25" i="20"/>
  <c r="AA25" i="20" s="1"/>
  <c r="AB25" i="20" s="1"/>
  <c r="V26" i="20" s="1"/>
  <c r="AD25" i="19"/>
  <c r="Y25" i="19"/>
  <c r="Z25" i="19"/>
  <c r="AA25" i="19" s="1"/>
  <c r="AB25" i="19" s="1"/>
  <c r="V26" i="19" s="1"/>
  <c r="AG32" i="13"/>
  <c r="AI32" i="13"/>
  <c r="AO34" i="24" l="1"/>
  <c r="AG37" i="22"/>
  <c r="AI37" i="22"/>
  <c r="AO37" i="22" s="1"/>
  <c r="AK37" i="25"/>
  <c r="AK37" i="23"/>
  <c r="AK34" i="24"/>
  <c r="AI36" i="19"/>
  <c r="AK36" i="19" s="1"/>
  <c r="AD26" i="25"/>
  <c r="Y26" i="25"/>
  <c r="Z26" i="25"/>
  <c r="AA26" i="25" s="1"/>
  <c r="AB26" i="25" s="1"/>
  <c r="V27" i="25" s="1"/>
  <c r="W26" i="24"/>
  <c r="AC25" i="24"/>
  <c r="X26" i="24" s="1"/>
  <c r="AI40" i="20"/>
  <c r="AO40" i="20" s="1"/>
  <c r="W26" i="23"/>
  <c r="AC25" i="23"/>
  <c r="X26" i="23" s="1"/>
  <c r="AD26" i="22"/>
  <c r="Y26" i="22"/>
  <c r="Z26" i="22"/>
  <c r="AA26" i="22" s="1"/>
  <c r="AB26" i="22" s="1"/>
  <c r="V27" i="22" s="1"/>
  <c r="AK37" i="21"/>
  <c r="AI38" i="21" s="1"/>
  <c r="AO37" i="21"/>
  <c r="W26" i="21"/>
  <c r="AC25" i="21"/>
  <c r="X26" i="21" s="1"/>
  <c r="W26" i="20"/>
  <c r="AC25" i="20"/>
  <c r="X26" i="20" s="1"/>
  <c r="W26" i="19"/>
  <c r="AC25" i="19"/>
  <c r="X26" i="19" s="1"/>
  <c r="AO32" i="13"/>
  <c r="AK32" i="13"/>
  <c r="AO36" i="19" l="1"/>
  <c r="AK37" i="22"/>
  <c r="AG38" i="25"/>
  <c r="AI38" i="25"/>
  <c r="AO38" i="25" s="1"/>
  <c r="AG38" i="23"/>
  <c r="AI38" i="23"/>
  <c r="AO38" i="23" s="1"/>
  <c r="AG35" i="24"/>
  <c r="AI35" i="24"/>
  <c r="AK40" i="20"/>
  <c r="AG41" i="20" s="1"/>
  <c r="W27" i="25"/>
  <c r="AC26" i="25"/>
  <c r="X27" i="25" s="1"/>
  <c r="AG38" i="21"/>
  <c r="AK38" i="21" s="1"/>
  <c r="AD26" i="24"/>
  <c r="Y26" i="24"/>
  <c r="Z26" i="24"/>
  <c r="AA26" i="24" s="1"/>
  <c r="AB26" i="24" s="1"/>
  <c r="V27" i="24" s="1"/>
  <c r="AD26" i="23"/>
  <c r="Y26" i="23"/>
  <c r="Z26" i="23"/>
  <c r="AA26" i="23" s="1"/>
  <c r="AB26" i="23" s="1"/>
  <c r="V27" i="23" s="1"/>
  <c r="W27" i="22"/>
  <c r="AC26" i="22"/>
  <c r="X27" i="22" s="1"/>
  <c r="AD26" i="21"/>
  <c r="Y26" i="21"/>
  <c r="Z26" i="21"/>
  <c r="AA26" i="21" s="1"/>
  <c r="AB26" i="21" s="1"/>
  <c r="V27" i="21" s="1"/>
  <c r="AD26" i="20"/>
  <c r="Y26" i="20"/>
  <c r="Z26" i="20"/>
  <c r="AA26" i="20" s="1"/>
  <c r="AB26" i="20" s="1"/>
  <c r="V27" i="20" s="1"/>
  <c r="AD26" i="19"/>
  <c r="Y26" i="19"/>
  <c r="AI37" i="19"/>
  <c r="AG37" i="19"/>
  <c r="Z26" i="19"/>
  <c r="AA26" i="19" s="1"/>
  <c r="AB26" i="19" s="1"/>
  <c r="V27" i="19" s="1"/>
  <c r="AG33" i="13"/>
  <c r="AI33" i="13"/>
  <c r="AI41" i="20" l="1"/>
  <c r="AO35" i="24"/>
  <c r="AG38" i="22"/>
  <c r="AI38" i="22"/>
  <c r="AO38" i="22" s="1"/>
  <c r="AK38" i="25"/>
  <c r="AK38" i="23"/>
  <c r="AK41" i="20"/>
  <c r="AI42" i="20" s="1"/>
  <c r="AK35" i="24"/>
  <c r="AG39" i="21"/>
  <c r="AI39" i="21"/>
  <c r="AO39" i="21" s="1"/>
  <c r="AO38" i="21"/>
  <c r="AD27" i="25"/>
  <c r="Y27" i="25"/>
  <c r="Z27" i="25"/>
  <c r="AA27" i="25" s="1"/>
  <c r="AB27" i="25" s="1"/>
  <c r="V28" i="25" s="1"/>
  <c r="W27" i="24"/>
  <c r="AC26" i="24"/>
  <c r="X27" i="24" s="1"/>
  <c r="W27" i="23"/>
  <c r="AC26" i="23"/>
  <c r="X27" i="23" s="1"/>
  <c r="AD27" i="22"/>
  <c r="Y27" i="22"/>
  <c r="Z27" i="22"/>
  <c r="AA27" i="22" s="1"/>
  <c r="AB27" i="22" s="1"/>
  <c r="V28" i="22" s="1"/>
  <c r="W27" i="21"/>
  <c r="AC26" i="21"/>
  <c r="X27" i="21" s="1"/>
  <c r="AK37" i="19"/>
  <c r="AG38" i="19" s="1"/>
  <c r="W27" i="20"/>
  <c r="AC26" i="20"/>
  <c r="X27" i="20" s="1"/>
  <c r="AO41" i="20"/>
  <c r="W27" i="19"/>
  <c r="AO37" i="19"/>
  <c r="AC26" i="19"/>
  <c r="X27" i="19" s="1"/>
  <c r="AK33" i="13"/>
  <c r="AO33" i="13"/>
  <c r="AK39" i="21" l="1"/>
  <c r="AG42" i="20"/>
  <c r="AO42" i="20" s="1"/>
  <c r="AK38" i="22"/>
  <c r="AI39" i="25"/>
  <c r="AG39" i="25"/>
  <c r="AK39" i="25" s="1"/>
  <c r="AG39" i="23"/>
  <c r="AI39" i="23"/>
  <c r="AI36" i="24"/>
  <c r="AG36" i="24"/>
  <c r="W28" i="25"/>
  <c r="AC27" i="25"/>
  <c r="X28" i="25" s="1"/>
  <c r="AD27" i="24"/>
  <c r="Y27" i="24"/>
  <c r="Z27" i="24"/>
  <c r="AA27" i="24" s="1"/>
  <c r="AB27" i="24" s="1"/>
  <c r="V28" i="24" s="1"/>
  <c r="AD27" i="23"/>
  <c r="Y27" i="23"/>
  <c r="Z27" i="23"/>
  <c r="AA27" i="23" s="1"/>
  <c r="AB27" i="23" s="1"/>
  <c r="V28" i="23" s="1"/>
  <c r="AI38" i="19"/>
  <c r="AO38" i="19" s="1"/>
  <c r="W28" i="22"/>
  <c r="AC27" i="22"/>
  <c r="X28" i="22" s="1"/>
  <c r="AG40" i="21"/>
  <c r="AI40" i="21"/>
  <c r="AD27" i="21"/>
  <c r="Y27" i="21"/>
  <c r="Z27" i="21"/>
  <c r="AA27" i="21" s="1"/>
  <c r="AB27" i="21" s="1"/>
  <c r="V28" i="21" s="1"/>
  <c r="AD27" i="20"/>
  <c r="Y27" i="20"/>
  <c r="Z27" i="20"/>
  <c r="AA27" i="20" s="1"/>
  <c r="AB27" i="20" s="1"/>
  <c r="V28" i="20" s="1"/>
  <c r="AD27" i="19"/>
  <c r="Y27" i="19"/>
  <c r="Z27" i="19"/>
  <c r="AA27" i="19" s="1"/>
  <c r="AB27" i="19" s="1"/>
  <c r="V28" i="19" s="1"/>
  <c r="AG34" i="13"/>
  <c r="AI34" i="13"/>
  <c r="AK36" i="24" l="1"/>
  <c r="AK42" i="20"/>
  <c r="AO39" i="23"/>
  <c r="AO40" i="21"/>
  <c r="AG39" i="22"/>
  <c r="AI39" i="22"/>
  <c r="AI40" i="25"/>
  <c r="AG40" i="25"/>
  <c r="AO39" i="25"/>
  <c r="AK39" i="23"/>
  <c r="AG37" i="24"/>
  <c r="AI37" i="24"/>
  <c r="AO36" i="24"/>
  <c r="AK38" i="19"/>
  <c r="AG39" i="19" s="1"/>
  <c r="AD28" i="25"/>
  <c r="Y28" i="25"/>
  <c r="Z28" i="25"/>
  <c r="AA28" i="25" s="1"/>
  <c r="AB28" i="25" s="1"/>
  <c r="V29" i="25" s="1"/>
  <c r="W28" i="24"/>
  <c r="AC27" i="24"/>
  <c r="X28" i="24" s="1"/>
  <c r="W28" i="23"/>
  <c r="AC27" i="23"/>
  <c r="X28" i="23" s="1"/>
  <c r="AD28" i="22"/>
  <c r="Y28" i="22"/>
  <c r="Z28" i="22"/>
  <c r="AA28" i="22" s="1"/>
  <c r="AB28" i="22" s="1"/>
  <c r="V29" i="22" s="1"/>
  <c r="AK40" i="21"/>
  <c r="W28" i="21"/>
  <c r="AC27" i="21"/>
  <c r="X28" i="21" s="1"/>
  <c r="W28" i="20"/>
  <c r="AI43" i="20"/>
  <c r="AG43" i="20"/>
  <c r="AC27" i="20"/>
  <c r="X28" i="20" s="1"/>
  <c r="W28" i="19"/>
  <c r="AC27" i="19"/>
  <c r="X28" i="19" s="1"/>
  <c r="AO34" i="13"/>
  <c r="AK34" i="13"/>
  <c r="AK40" i="25" l="1"/>
  <c r="AK39" i="22"/>
  <c r="AO39" i="22"/>
  <c r="AG41" i="25"/>
  <c r="AI41" i="25"/>
  <c r="AO41" i="25" s="1"/>
  <c r="AO40" i="25"/>
  <c r="AG40" i="23"/>
  <c r="AI40" i="23"/>
  <c r="AI39" i="19"/>
  <c r="AK39" i="19" s="1"/>
  <c r="AG40" i="19" s="1"/>
  <c r="AK37" i="24"/>
  <c r="AO37" i="24"/>
  <c r="W29" i="25"/>
  <c r="AC28" i="25"/>
  <c r="X29" i="25" s="1"/>
  <c r="AD28" i="24"/>
  <c r="Y28" i="24"/>
  <c r="Z28" i="24"/>
  <c r="AA28" i="24" s="1"/>
  <c r="AB28" i="24" s="1"/>
  <c r="V29" i="24" s="1"/>
  <c r="AD28" i="23"/>
  <c r="Y28" i="23"/>
  <c r="Z28" i="23"/>
  <c r="AA28" i="23" s="1"/>
  <c r="AB28" i="23" s="1"/>
  <c r="V29" i="23" s="1"/>
  <c r="W29" i="22"/>
  <c r="AC28" i="22"/>
  <c r="X29" i="22" s="1"/>
  <c r="AI41" i="21"/>
  <c r="AG41" i="21"/>
  <c r="AD28" i="21"/>
  <c r="Y28" i="21"/>
  <c r="Z28" i="21"/>
  <c r="AA28" i="21" s="1"/>
  <c r="AB28" i="21" s="1"/>
  <c r="V29" i="21" s="1"/>
  <c r="AK43" i="20"/>
  <c r="AI44" i="20" s="1"/>
  <c r="AD28" i="20"/>
  <c r="Y28" i="20"/>
  <c r="AO43" i="20"/>
  <c r="Z28" i="20"/>
  <c r="AA28" i="20" s="1"/>
  <c r="AB28" i="20" s="1"/>
  <c r="V29" i="20" s="1"/>
  <c r="AD28" i="19"/>
  <c r="Y28" i="19"/>
  <c r="Z28" i="19"/>
  <c r="AA28" i="19" s="1"/>
  <c r="AB28" i="19" s="1"/>
  <c r="V29" i="19" s="1"/>
  <c r="AG35" i="13"/>
  <c r="AI35" i="13"/>
  <c r="AO40" i="23" l="1"/>
  <c r="AO39" i="19"/>
  <c r="AI40" i="22"/>
  <c r="AG40" i="22"/>
  <c r="AK41" i="25"/>
  <c r="AK40" i="23"/>
  <c r="AG38" i="24"/>
  <c r="AI38" i="24"/>
  <c r="AI40" i="19"/>
  <c r="AK40" i="19" s="1"/>
  <c r="AD29" i="25"/>
  <c r="Y29" i="25"/>
  <c r="Z29" i="25"/>
  <c r="AA29" i="25" s="1"/>
  <c r="AB29" i="25" s="1"/>
  <c r="V30" i="25" s="1"/>
  <c r="W29" i="24"/>
  <c r="AC28" i="24"/>
  <c r="X29" i="24" s="1"/>
  <c r="AG44" i="20"/>
  <c r="AK44" i="20" s="1"/>
  <c r="W29" i="23"/>
  <c r="AC28" i="23"/>
  <c r="X29" i="23" s="1"/>
  <c r="AD29" i="22"/>
  <c r="Y29" i="22"/>
  <c r="Z29" i="22"/>
  <c r="AA29" i="22" s="1"/>
  <c r="AB29" i="22" s="1"/>
  <c r="V30" i="22" s="1"/>
  <c r="AK41" i="21"/>
  <c r="AG42" i="21" s="1"/>
  <c r="AI42" i="21"/>
  <c r="AO41" i="21"/>
  <c r="W29" i="21"/>
  <c r="AC28" i="21"/>
  <c r="X29" i="21" s="1"/>
  <c r="W29" i="20"/>
  <c r="AC28" i="20"/>
  <c r="X29" i="20" s="1"/>
  <c r="W29" i="19"/>
  <c r="AC28" i="19"/>
  <c r="X29" i="19" s="1"/>
  <c r="AO35" i="13"/>
  <c r="AK35" i="13"/>
  <c r="AO40" i="19" l="1"/>
  <c r="AK40" i="22"/>
  <c r="AG41" i="22"/>
  <c r="AI41" i="22"/>
  <c r="AO41" i="22" s="1"/>
  <c r="AO40" i="22"/>
  <c r="AG42" i="25"/>
  <c r="AI42" i="25"/>
  <c r="AO42" i="25" s="1"/>
  <c r="AG41" i="23"/>
  <c r="AI41" i="23"/>
  <c r="AK38" i="24"/>
  <c r="AO38" i="24"/>
  <c r="AO44" i="20"/>
  <c r="W30" i="25"/>
  <c r="AC29" i="25"/>
  <c r="X30" i="25" s="1"/>
  <c r="AO42" i="21"/>
  <c r="AD29" i="24"/>
  <c r="Y29" i="24"/>
  <c r="Z29" i="24"/>
  <c r="AA29" i="24" s="1"/>
  <c r="AB29" i="24" s="1"/>
  <c r="V30" i="24" s="1"/>
  <c r="AD29" i="23"/>
  <c r="Y29" i="23"/>
  <c r="Z29" i="23"/>
  <c r="AA29" i="23" s="1"/>
  <c r="AB29" i="23" s="1"/>
  <c r="V30" i="23" s="1"/>
  <c r="W30" i="22"/>
  <c r="AC29" i="22"/>
  <c r="X30" i="22" s="1"/>
  <c r="AK42" i="21"/>
  <c r="AD29" i="21"/>
  <c r="Y29" i="21"/>
  <c r="Z29" i="21"/>
  <c r="AA29" i="21" s="1"/>
  <c r="AB29" i="21" s="1"/>
  <c r="V30" i="21" s="1"/>
  <c r="AD29" i="20"/>
  <c r="Y29" i="20"/>
  <c r="Z29" i="20"/>
  <c r="AA29" i="20" s="1"/>
  <c r="AB29" i="20" s="1"/>
  <c r="V30" i="20" s="1"/>
  <c r="AD29" i="19"/>
  <c r="Y29" i="19"/>
  <c r="AI41" i="19"/>
  <c r="AG41" i="19"/>
  <c r="Z29" i="19"/>
  <c r="AA29" i="19" s="1"/>
  <c r="AB29" i="19" s="1"/>
  <c r="V30" i="19" s="1"/>
  <c r="AG36" i="13"/>
  <c r="AI36" i="13"/>
  <c r="AO41" i="23" l="1"/>
  <c r="AK41" i="22"/>
  <c r="AK42" i="25"/>
  <c r="AK41" i="23"/>
  <c r="AG39" i="24"/>
  <c r="AI39" i="24"/>
  <c r="AD30" i="25"/>
  <c r="Y30" i="25"/>
  <c r="Z30" i="25"/>
  <c r="AA30" i="25" s="1"/>
  <c r="AB30" i="25" s="1"/>
  <c r="V31" i="25" s="1"/>
  <c r="W30" i="24"/>
  <c r="AC29" i="24"/>
  <c r="X30" i="24" s="1"/>
  <c r="W30" i="23"/>
  <c r="AC29" i="23"/>
  <c r="X30" i="23" s="1"/>
  <c r="AD30" i="22"/>
  <c r="Y30" i="22"/>
  <c r="Z30" i="22"/>
  <c r="AA30" i="22" s="1"/>
  <c r="AB30" i="22" s="1"/>
  <c r="V31" i="22" s="1"/>
  <c r="AI43" i="21"/>
  <c r="AG43" i="21"/>
  <c r="W30" i="21"/>
  <c r="AC29" i="21"/>
  <c r="X30" i="21" s="1"/>
  <c r="AK41" i="19"/>
  <c r="AI42" i="19" s="1"/>
  <c r="W30" i="20"/>
  <c r="AC29" i="20"/>
  <c r="X30" i="20" s="1"/>
  <c r="W30" i="19"/>
  <c r="AO41" i="19"/>
  <c r="AC29" i="19"/>
  <c r="X30" i="19" s="1"/>
  <c r="AO36" i="13"/>
  <c r="AK36" i="13"/>
  <c r="AO39" i="24" l="1"/>
  <c r="AG42" i="22"/>
  <c r="AI42" i="22"/>
  <c r="AI43" i="25"/>
  <c r="AG43" i="25"/>
  <c r="AK43" i="25" s="1"/>
  <c r="AG42" i="23"/>
  <c r="AI42" i="23"/>
  <c r="AO42" i="23" s="1"/>
  <c r="AK39" i="24"/>
  <c r="AK43" i="21"/>
  <c r="AI44" i="21" s="1"/>
  <c r="W31" i="25"/>
  <c r="AC30" i="25"/>
  <c r="X31" i="25" s="1"/>
  <c r="AD30" i="24"/>
  <c r="Y30" i="24"/>
  <c r="Z30" i="24"/>
  <c r="AA30" i="24" s="1"/>
  <c r="AB30" i="24" s="1"/>
  <c r="V31" i="24" s="1"/>
  <c r="AG42" i="19"/>
  <c r="AO42" i="19" s="1"/>
  <c r="AD30" i="23"/>
  <c r="Y30" i="23"/>
  <c r="Z30" i="23"/>
  <c r="AA30" i="23" s="1"/>
  <c r="AB30" i="23" s="1"/>
  <c r="V31" i="23" s="1"/>
  <c r="W31" i="22"/>
  <c r="AC30" i="22"/>
  <c r="X31" i="22" s="1"/>
  <c r="AO43" i="21"/>
  <c r="AD30" i="21"/>
  <c r="Y30" i="21"/>
  <c r="Z30" i="21"/>
  <c r="AA30" i="21" s="1"/>
  <c r="AB30" i="21" s="1"/>
  <c r="V31" i="21" s="1"/>
  <c r="AD30" i="20"/>
  <c r="Y30" i="20"/>
  <c r="Z30" i="20"/>
  <c r="AA30" i="20" s="1"/>
  <c r="AB30" i="20" s="1"/>
  <c r="V31" i="20" s="1"/>
  <c r="AD30" i="19"/>
  <c r="Y30" i="19"/>
  <c r="Z30" i="19"/>
  <c r="AA30" i="19" s="1"/>
  <c r="AB30" i="19" s="1"/>
  <c r="V31" i="19" s="1"/>
  <c r="AG37" i="13"/>
  <c r="AI37" i="13"/>
  <c r="AG44" i="21" l="1"/>
  <c r="AK42" i="22"/>
  <c r="AO42" i="22"/>
  <c r="AG44" i="25"/>
  <c r="AI44" i="25"/>
  <c r="AO43" i="25"/>
  <c r="AK42" i="23"/>
  <c r="AK42" i="19"/>
  <c r="AI43" i="19" s="1"/>
  <c r="AI40" i="24"/>
  <c r="AG40" i="24"/>
  <c r="AK44" i="21"/>
  <c r="AD31" i="25"/>
  <c r="Y31" i="25"/>
  <c r="Z31" i="25"/>
  <c r="AA31" i="25" s="1"/>
  <c r="AB31" i="25" s="1"/>
  <c r="V32" i="25" s="1"/>
  <c r="W31" i="24"/>
  <c r="AC30" i="24"/>
  <c r="X31" i="24" s="1"/>
  <c r="W31" i="23"/>
  <c r="AC30" i="23"/>
  <c r="X31" i="23" s="1"/>
  <c r="AD31" i="22"/>
  <c r="Y31" i="22"/>
  <c r="Z31" i="22"/>
  <c r="AA31" i="22" s="1"/>
  <c r="AB31" i="22" s="1"/>
  <c r="V32" i="22" s="1"/>
  <c r="AO44" i="21"/>
  <c r="W31" i="21"/>
  <c r="AC30" i="21"/>
  <c r="X31" i="21" s="1"/>
  <c r="W31" i="20"/>
  <c r="AC30" i="20"/>
  <c r="X31" i="20" s="1"/>
  <c r="W31" i="19"/>
  <c r="AC30" i="19"/>
  <c r="X31" i="19" s="1"/>
  <c r="AO37" i="13"/>
  <c r="AK37" i="13"/>
  <c r="AO44" i="25" l="1"/>
  <c r="AK40" i="24"/>
  <c r="AI43" i="22"/>
  <c r="AG43" i="22"/>
  <c r="AK43" i="22" s="1"/>
  <c r="AG43" i="19"/>
  <c r="AK43" i="19" s="1"/>
  <c r="AG44" i="19" s="1"/>
  <c r="AK44" i="25"/>
  <c r="AG43" i="23"/>
  <c r="AI43" i="23"/>
  <c r="AO43" i="23" s="1"/>
  <c r="AG41" i="24"/>
  <c r="AI41" i="24"/>
  <c r="AO40" i="24"/>
  <c r="W32" i="25"/>
  <c r="AC31" i="25"/>
  <c r="X32" i="25" s="1"/>
  <c r="AD31" i="24"/>
  <c r="Y31" i="24"/>
  <c r="Z31" i="24"/>
  <c r="AA31" i="24" s="1"/>
  <c r="AB31" i="24" s="1"/>
  <c r="V32" i="24" s="1"/>
  <c r="AD31" i="23"/>
  <c r="Y31" i="23"/>
  <c r="Z31" i="23"/>
  <c r="AA31" i="23" s="1"/>
  <c r="AB31" i="23" s="1"/>
  <c r="V32" i="23" s="1"/>
  <c r="W32" i="22"/>
  <c r="AC31" i="22"/>
  <c r="X32" i="22" s="1"/>
  <c r="AD31" i="21"/>
  <c r="Y31" i="21"/>
  <c r="Z31" i="21"/>
  <c r="AA31" i="21" s="1"/>
  <c r="AB31" i="21" s="1"/>
  <c r="V32" i="21" s="1"/>
  <c r="AD31" i="20"/>
  <c r="Y31" i="20"/>
  <c r="Z31" i="20"/>
  <c r="AA31" i="20" s="1"/>
  <c r="AB31" i="20" s="1"/>
  <c r="V32" i="20" s="1"/>
  <c r="AD31" i="19"/>
  <c r="Y31" i="19"/>
  <c r="AO43" i="19"/>
  <c r="Z31" i="19"/>
  <c r="AA31" i="19" s="1"/>
  <c r="AB31" i="19" s="1"/>
  <c r="V32" i="19" s="1"/>
  <c r="AI38" i="13"/>
  <c r="AG38" i="13"/>
  <c r="AG44" i="22" l="1"/>
  <c r="AI44" i="22"/>
  <c r="AO43" i="22"/>
  <c r="AK43" i="23"/>
  <c r="AK41" i="24"/>
  <c r="AO41" i="24"/>
  <c r="AD32" i="25"/>
  <c r="Y32" i="25"/>
  <c r="Z32" i="25"/>
  <c r="AA32" i="25" s="1"/>
  <c r="AB32" i="25" s="1"/>
  <c r="V33" i="25" s="1"/>
  <c r="W32" i="24"/>
  <c r="AC31" i="24"/>
  <c r="X32" i="24" s="1"/>
  <c r="AI44" i="19"/>
  <c r="AO44" i="19" s="1"/>
  <c r="W32" i="23"/>
  <c r="AC31" i="23"/>
  <c r="X32" i="23" s="1"/>
  <c r="AD32" i="22"/>
  <c r="Y32" i="22"/>
  <c r="Z32" i="22"/>
  <c r="AA32" i="22" s="1"/>
  <c r="AB32" i="22" s="1"/>
  <c r="V33" i="22" s="1"/>
  <c r="W32" i="21"/>
  <c r="AC31" i="21"/>
  <c r="X32" i="21" s="1"/>
  <c r="W32" i="20"/>
  <c r="AC31" i="20"/>
  <c r="X32" i="20" s="1"/>
  <c r="W32" i="19"/>
  <c r="AC31" i="19"/>
  <c r="X32" i="19" s="1"/>
  <c r="AK38" i="13"/>
  <c r="AI39" i="13" s="1"/>
  <c r="AO38" i="13"/>
  <c r="AO44" i="22" l="1"/>
  <c r="AK44" i="22"/>
  <c r="AI44" i="23"/>
  <c r="AG44" i="23"/>
  <c r="AG42" i="24"/>
  <c r="AI42" i="24"/>
  <c r="AO42" i="24" s="1"/>
  <c r="AK44" i="19"/>
  <c r="W33" i="25"/>
  <c r="AC32" i="25"/>
  <c r="X33" i="25" s="1"/>
  <c r="AD32" i="24"/>
  <c r="Y32" i="24"/>
  <c r="Z32" i="24"/>
  <c r="AA32" i="24" s="1"/>
  <c r="AB32" i="24" s="1"/>
  <c r="V33" i="24" s="1"/>
  <c r="AD32" i="23"/>
  <c r="Y32" i="23"/>
  <c r="Z32" i="23"/>
  <c r="AA32" i="23" s="1"/>
  <c r="AB32" i="23" s="1"/>
  <c r="V33" i="23" s="1"/>
  <c r="W33" i="22"/>
  <c r="AC32" i="22"/>
  <c r="X33" i="22" s="1"/>
  <c r="AD32" i="21"/>
  <c r="Y32" i="21"/>
  <c r="Z32" i="21"/>
  <c r="AA32" i="21" s="1"/>
  <c r="AB32" i="21" s="1"/>
  <c r="V33" i="21" s="1"/>
  <c r="AD32" i="20"/>
  <c r="Y32" i="20"/>
  <c r="Z32" i="20"/>
  <c r="AA32" i="20" s="1"/>
  <c r="AB32" i="20" s="1"/>
  <c r="V33" i="20" s="1"/>
  <c r="AD32" i="19"/>
  <c r="Y32" i="19"/>
  <c r="Z32" i="19"/>
  <c r="AA32" i="19" s="1"/>
  <c r="AB32" i="19" s="1"/>
  <c r="V33" i="19" s="1"/>
  <c r="AG39" i="13"/>
  <c r="AO39" i="13" s="1"/>
  <c r="AK44" i="23" l="1"/>
  <c r="AO44" i="23"/>
  <c r="AK42" i="24"/>
  <c r="AD33" i="25"/>
  <c r="Y33" i="25"/>
  <c r="Z33" i="25"/>
  <c r="AA33" i="25" s="1"/>
  <c r="AB33" i="25" s="1"/>
  <c r="V34" i="25" s="1"/>
  <c r="W33" i="24"/>
  <c r="AC32" i="24"/>
  <c r="X33" i="24" s="1"/>
  <c r="W33" i="23"/>
  <c r="AC32" i="23"/>
  <c r="X33" i="23" s="1"/>
  <c r="AD33" i="22"/>
  <c r="Y33" i="22"/>
  <c r="Z33" i="22"/>
  <c r="AA33" i="22" s="1"/>
  <c r="AB33" i="22" s="1"/>
  <c r="V34" i="22" s="1"/>
  <c r="W33" i="21"/>
  <c r="AC32" i="21"/>
  <c r="X33" i="21" s="1"/>
  <c r="W33" i="20"/>
  <c r="AC32" i="20"/>
  <c r="X33" i="20" s="1"/>
  <c r="W33" i="19"/>
  <c r="AC32" i="19"/>
  <c r="X33" i="19" s="1"/>
  <c r="AK39" i="13"/>
  <c r="AG40" i="13" s="1"/>
  <c r="AG43" i="24" l="1"/>
  <c r="AI43" i="24"/>
  <c r="W34" i="25"/>
  <c r="AC33" i="25"/>
  <c r="X34" i="25" s="1"/>
  <c r="AD33" i="24"/>
  <c r="Y33" i="24"/>
  <c r="Z33" i="24"/>
  <c r="AA33" i="24" s="1"/>
  <c r="AB33" i="24" s="1"/>
  <c r="V34" i="24" s="1"/>
  <c r="AI40" i="13"/>
  <c r="AK40" i="13" s="1"/>
  <c r="AD33" i="23"/>
  <c r="Y33" i="23"/>
  <c r="Z33" i="23"/>
  <c r="AA33" i="23" s="1"/>
  <c r="AB33" i="23" s="1"/>
  <c r="V34" i="23" s="1"/>
  <c r="W34" i="22"/>
  <c r="AC33" i="22"/>
  <c r="X34" i="22" s="1"/>
  <c r="AD33" i="21"/>
  <c r="Y33" i="21"/>
  <c r="Z33" i="21"/>
  <c r="AA33" i="21" s="1"/>
  <c r="AB33" i="21" s="1"/>
  <c r="V34" i="21" s="1"/>
  <c r="AD33" i="20"/>
  <c r="Y33" i="20"/>
  <c r="Z33" i="20"/>
  <c r="AA33" i="20" s="1"/>
  <c r="AB33" i="20" s="1"/>
  <c r="V34" i="20" s="1"/>
  <c r="AD33" i="19"/>
  <c r="Y33" i="19"/>
  <c r="Z33" i="19"/>
  <c r="AA33" i="19" s="1"/>
  <c r="AB33" i="19" s="1"/>
  <c r="V34" i="19" s="1"/>
  <c r="AO40" i="13" l="1"/>
  <c r="AO43" i="24"/>
  <c r="AK43" i="24"/>
  <c r="AD34" i="25"/>
  <c r="Y34" i="25"/>
  <c r="Z34" i="25"/>
  <c r="W34" i="24"/>
  <c r="AC33" i="24"/>
  <c r="X34" i="24" s="1"/>
  <c r="W34" i="23"/>
  <c r="AC33" i="23"/>
  <c r="X34" i="23" s="1"/>
  <c r="AD34" i="22"/>
  <c r="Y34" i="22"/>
  <c r="Z34" i="22"/>
  <c r="W34" i="21"/>
  <c r="AC33" i="21"/>
  <c r="X34" i="21" s="1"/>
  <c r="W34" i="20"/>
  <c r="AC33" i="20"/>
  <c r="X34" i="20" s="1"/>
  <c r="W34" i="19"/>
  <c r="AC33" i="19"/>
  <c r="X34" i="19" s="1"/>
  <c r="AI41" i="13"/>
  <c r="AG41" i="13"/>
  <c r="AG44" i="24" l="1"/>
  <c r="AI44" i="24"/>
  <c r="AO44" i="24" s="1"/>
  <c r="O24" i="25"/>
  <c r="O25" i="25" s="1"/>
  <c r="G19" i="25" s="1"/>
  <c r="AA34" i="25"/>
  <c r="AB34" i="25" s="1"/>
  <c r="AD34" i="24"/>
  <c r="Y34" i="24"/>
  <c r="Z34" i="24"/>
  <c r="AD34" i="23"/>
  <c r="Y34" i="23"/>
  <c r="Z34" i="23"/>
  <c r="O24" i="22"/>
  <c r="O25" i="22" s="1"/>
  <c r="G19" i="22" s="1"/>
  <c r="AA34" i="22"/>
  <c r="AB34" i="22" s="1"/>
  <c r="AD34" i="21"/>
  <c r="Y34" i="21"/>
  <c r="Z34" i="21"/>
  <c r="AD34" i="20"/>
  <c r="Y34" i="20"/>
  <c r="Z34" i="20"/>
  <c r="AD34" i="19"/>
  <c r="Y34" i="19"/>
  <c r="Z34" i="19"/>
  <c r="AK41" i="13"/>
  <c r="AI42" i="13" s="1"/>
  <c r="AO41" i="13"/>
  <c r="AK44" i="24" l="1"/>
  <c r="AC34" i="25"/>
  <c r="G22" i="25"/>
  <c r="G20" i="25"/>
  <c r="O24" i="24"/>
  <c r="O25" i="24" s="1"/>
  <c r="G19" i="24" s="1"/>
  <c r="AA34" i="24"/>
  <c r="AB34" i="24" s="1"/>
  <c r="O24" i="23"/>
  <c r="O25" i="23" s="1"/>
  <c r="G19" i="23" s="1"/>
  <c r="AA34" i="23"/>
  <c r="AB34" i="23" s="1"/>
  <c r="AC34" i="22"/>
  <c r="G22" i="22"/>
  <c r="G20" i="22"/>
  <c r="O24" i="21"/>
  <c r="O25" i="21" s="1"/>
  <c r="G19" i="21" s="1"/>
  <c r="AA34" i="21"/>
  <c r="AB34" i="21" s="1"/>
  <c r="O24" i="20"/>
  <c r="O25" i="20" s="1"/>
  <c r="G19" i="20" s="1"/>
  <c r="AA34" i="20"/>
  <c r="AB34" i="20" s="1"/>
  <c r="O24" i="19"/>
  <c r="O25" i="19" s="1"/>
  <c r="G19" i="19" s="1"/>
  <c r="AA34" i="19"/>
  <c r="AB34" i="19" s="1"/>
  <c r="AG42" i="13"/>
  <c r="AO42" i="13" s="1"/>
  <c r="G35" i="25" l="1"/>
  <c r="K4" i="25" s="1"/>
  <c r="G22" i="24"/>
  <c r="G20" i="24"/>
  <c r="AC34" i="24"/>
  <c r="G22" i="23"/>
  <c r="G20" i="23"/>
  <c r="AC34" i="23"/>
  <c r="G35" i="22"/>
  <c r="K8" i="22"/>
  <c r="K13" i="22" s="1"/>
  <c r="K4" i="22"/>
  <c r="AC34" i="21"/>
  <c r="G22" i="21"/>
  <c r="G20" i="21"/>
  <c r="AC34" i="20"/>
  <c r="G22" i="20"/>
  <c r="G20" i="20"/>
  <c r="AC34" i="19"/>
  <c r="G22" i="19"/>
  <c r="G20" i="19"/>
  <c r="AK42" i="13"/>
  <c r="AG43" i="13" s="1"/>
  <c r="K8" i="25" l="1"/>
  <c r="K13" i="25" s="1"/>
  <c r="K32" i="25" s="1"/>
  <c r="K16" i="25"/>
  <c r="K17" i="25"/>
  <c r="K5" i="25"/>
  <c r="G35" i="24"/>
  <c r="K4" i="24"/>
  <c r="K8" i="24"/>
  <c r="K13" i="24" s="1"/>
  <c r="G35" i="23"/>
  <c r="K4" i="23" s="1"/>
  <c r="K8" i="23"/>
  <c r="K13" i="23" s="1"/>
  <c r="K17" i="22"/>
  <c r="K16" i="22"/>
  <c r="K5" i="22"/>
  <c r="K40" i="22"/>
  <c r="K48" i="22"/>
  <c r="K32" i="22"/>
  <c r="G35" i="21"/>
  <c r="K8" i="21" s="1"/>
  <c r="K13" i="21" s="1"/>
  <c r="K4" i="21"/>
  <c r="G35" i="20"/>
  <c r="K8" i="20" s="1"/>
  <c r="K13" i="20" s="1"/>
  <c r="K4" i="20"/>
  <c r="G35" i="19"/>
  <c r="K8" i="19" s="1"/>
  <c r="K13" i="19" s="1"/>
  <c r="AI43" i="13"/>
  <c r="AK43" i="13" s="1"/>
  <c r="AG44" i="13" s="1"/>
  <c r="K27" i="22" l="1"/>
  <c r="AJ4" i="22" s="1"/>
  <c r="K40" i="25"/>
  <c r="K48" i="25"/>
  <c r="K4" i="19"/>
  <c r="K17" i="19" s="1"/>
  <c r="K49" i="25"/>
  <c r="K41" i="25"/>
  <c r="K33" i="25"/>
  <c r="K36" i="25" s="1"/>
  <c r="K27" i="25"/>
  <c r="K50" i="25"/>
  <c r="K40" i="24"/>
  <c r="K48" i="24"/>
  <c r="K32" i="24"/>
  <c r="K17" i="24"/>
  <c r="K16" i="24"/>
  <c r="K5" i="24"/>
  <c r="K5" i="23"/>
  <c r="K16" i="23"/>
  <c r="K17" i="23"/>
  <c r="K48" i="23"/>
  <c r="K32" i="23"/>
  <c r="K27" i="23"/>
  <c r="K40" i="23"/>
  <c r="K28" i="22"/>
  <c r="AL4" i="22"/>
  <c r="AH4" i="22"/>
  <c r="K49" i="22"/>
  <c r="K50" i="22" s="1"/>
  <c r="K33" i="22"/>
  <c r="K36" i="22" s="1"/>
  <c r="K41" i="22"/>
  <c r="K44" i="22" s="1"/>
  <c r="K48" i="21"/>
  <c r="K32" i="21"/>
  <c r="K40" i="21"/>
  <c r="K17" i="21"/>
  <c r="K16" i="21"/>
  <c r="K5" i="21"/>
  <c r="K48" i="20"/>
  <c r="K32" i="20"/>
  <c r="K40" i="20"/>
  <c r="K5" i="20"/>
  <c r="K17" i="20"/>
  <c r="K16" i="20"/>
  <c r="K48" i="19"/>
  <c r="K40" i="19"/>
  <c r="K32" i="19"/>
  <c r="AI44" i="13"/>
  <c r="AK44" i="13" s="1"/>
  <c r="AO43" i="13"/>
  <c r="K44" i="25" l="1"/>
  <c r="K5" i="19"/>
  <c r="K16" i="19"/>
  <c r="K27" i="19"/>
  <c r="K28" i="19" s="1"/>
  <c r="K27" i="24"/>
  <c r="AH4" i="24" s="1"/>
  <c r="K28" i="25"/>
  <c r="AH4" i="25"/>
  <c r="AJ4" i="25"/>
  <c r="AL4" i="25"/>
  <c r="K28" i="24"/>
  <c r="AL4" i="24"/>
  <c r="AJ4" i="24"/>
  <c r="K49" i="24"/>
  <c r="K50" i="24" s="1"/>
  <c r="K41" i="24"/>
  <c r="K44" i="24" s="1"/>
  <c r="K33" i="24"/>
  <c r="K36" i="24" s="1"/>
  <c r="K28" i="23"/>
  <c r="AL4" i="23"/>
  <c r="AH4" i="23"/>
  <c r="AJ4" i="23"/>
  <c r="K49" i="23"/>
  <c r="K50" i="23" s="1"/>
  <c r="K33" i="23"/>
  <c r="K36" i="23" s="1"/>
  <c r="K41" i="23"/>
  <c r="K44" i="23" s="1"/>
  <c r="K49" i="21"/>
  <c r="K50" i="21" s="1"/>
  <c r="K41" i="21"/>
  <c r="K44" i="21" s="1"/>
  <c r="K33" i="21"/>
  <c r="K36" i="21" s="1"/>
  <c r="K27" i="21"/>
  <c r="K41" i="20"/>
  <c r="K44" i="20" s="1"/>
  <c r="K33" i="20"/>
  <c r="K36" i="20" s="1"/>
  <c r="K49" i="20"/>
  <c r="K50" i="20" s="1"/>
  <c r="K27" i="20"/>
  <c r="K49" i="19"/>
  <c r="K50" i="19" s="1"/>
  <c r="K33" i="19"/>
  <c r="K36" i="19" s="1"/>
  <c r="K41" i="19"/>
  <c r="K44" i="19" s="1"/>
  <c r="AO44" i="13"/>
  <c r="K25" i="13"/>
  <c r="G12" i="13"/>
  <c r="G9" i="13"/>
  <c r="K19" i="13"/>
  <c r="K47" i="13"/>
  <c r="O7" i="13"/>
  <c r="O10" i="13" s="1"/>
  <c r="G28" i="13"/>
  <c r="K18" i="13"/>
  <c r="G31" i="13"/>
  <c r="G29" i="13" s="1"/>
  <c r="K39" i="13"/>
  <c r="K24" i="13"/>
  <c r="K12" i="13"/>
  <c r="K23" i="13"/>
  <c r="K26" i="13"/>
  <c r="AJ4" i="19" l="1"/>
  <c r="AL4" i="19"/>
  <c r="AH4" i="19"/>
  <c r="K28" i="21"/>
  <c r="AH4" i="21"/>
  <c r="AJ4" i="21"/>
  <c r="AL4" i="21"/>
  <c r="K28" i="20"/>
  <c r="AH4" i="20"/>
  <c r="AJ4" i="20"/>
  <c r="AL4" i="20"/>
  <c r="O8" i="13"/>
  <c r="O9" i="13" s="1"/>
  <c r="G10" i="13"/>
  <c r="G11" i="13" s="1"/>
  <c r="O46" i="13"/>
  <c r="O47" i="13" s="1"/>
  <c r="G30" i="13"/>
  <c r="K22" i="13"/>
  <c r="K42" i="13" s="1"/>
  <c r="K35" i="13"/>
  <c r="K43" i="13"/>
  <c r="K34" i="13" l="1"/>
  <c r="O13" i="13" l="1"/>
  <c r="O18" i="13" s="1"/>
  <c r="O14" i="13" l="1"/>
  <c r="O17" i="13" s="1"/>
  <c r="O20" i="13" s="1"/>
  <c r="O23" i="13" s="1"/>
  <c r="O26" i="13" s="1"/>
  <c r="O28" i="13" s="1"/>
  <c r="O21" i="13"/>
  <c r="G21" i="13" s="1"/>
  <c r="G18" i="13"/>
  <c r="K14" i="13"/>
  <c r="K15" i="13" s="1"/>
  <c r="Y4" i="13" l="1"/>
  <c r="W4" i="13"/>
  <c r="AA4" i="13"/>
  <c r="AC4" i="13" l="1"/>
  <c r="X5" i="13" s="1"/>
  <c r="Y5" i="13" s="1"/>
  <c r="AB4" i="13"/>
  <c r="V5" i="13" s="1"/>
  <c r="AD5" i="13" l="1"/>
  <c r="W5" i="13"/>
  <c r="Z5" i="13"/>
  <c r="AA5" i="13" s="1"/>
  <c r="AC5" i="13" s="1"/>
  <c r="X6" i="13" s="1"/>
  <c r="Y6" i="13" s="1"/>
  <c r="AB5" i="13" l="1"/>
  <c r="V6" i="13" s="1"/>
  <c r="Z6" i="13" l="1"/>
  <c r="AA6" i="13" s="1"/>
  <c r="AC6" i="13" s="1"/>
  <c r="X7" i="13" s="1"/>
  <c r="W6" i="13"/>
  <c r="AD6" i="13"/>
  <c r="AB6" i="13" l="1"/>
  <c r="V7" i="13" s="1"/>
  <c r="Z7" i="13" s="1"/>
  <c r="AA7" i="13" s="1"/>
  <c r="Y7" i="13"/>
  <c r="AD7" i="13" l="1"/>
  <c r="W7" i="13"/>
  <c r="AB7" i="13" s="1"/>
  <c r="V8" i="13" s="1"/>
  <c r="W8" i="13" s="1"/>
  <c r="AC7" i="13"/>
  <c r="X8" i="13" s="1"/>
  <c r="Y8" i="13" l="1"/>
  <c r="AD8" i="13"/>
  <c r="Z8" i="13"/>
  <c r="AA8" i="13" s="1"/>
  <c r="AC8" i="13" l="1"/>
  <c r="X9" i="13" s="1"/>
  <c r="Y9" i="13" s="1"/>
  <c r="AB8" i="13"/>
  <c r="V9" i="13" s="1"/>
  <c r="Z9" i="13" l="1"/>
  <c r="AA9" i="13" s="1"/>
  <c r="AC9" i="13" s="1"/>
  <c r="X10" i="13" s="1"/>
  <c r="W9" i="13"/>
  <c r="AD9" i="13"/>
  <c r="AB9" i="13" l="1"/>
  <c r="V10" i="13" s="1"/>
  <c r="Z10" i="13" s="1"/>
  <c r="AA10" i="13" s="1"/>
  <c r="Y10" i="13"/>
  <c r="AD10" i="13" l="1"/>
  <c r="W10" i="13"/>
  <c r="AB10" i="13" s="1"/>
  <c r="V11" i="13" s="1"/>
  <c r="W11" i="13" s="1"/>
  <c r="AC10" i="13"/>
  <c r="X11" i="13" s="1"/>
  <c r="Z11" i="13" l="1"/>
  <c r="AA11" i="13" s="1"/>
  <c r="AB11" i="13" s="1"/>
  <c r="V12" i="13" s="1"/>
  <c r="W12" i="13" s="1"/>
  <c r="Y11" i="13"/>
  <c r="AD11" i="13"/>
  <c r="AC11" i="13" l="1"/>
  <c r="X12" i="13" s="1"/>
  <c r="AD12" i="13" s="1"/>
  <c r="Y12" i="13" l="1"/>
  <c r="Z12" i="13"/>
  <c r="AA12" i="13" s="1"/>
  <c r="AB12" i="13" s="1"/>
  <c r="V13" i="13" s="1"/>
  <c r="W13" i="13" s="1"/>
  <c r="AC12" i="13" l="1"/>
  <c r="X13" i="13" s="1"/>
  <c r="Y13" i="13" s="1"/>
  <c r="AD13" i="13" l="1"/>
  <c r="Z13" i="13"/>
  <c r="AA13" i="13" s="1"/>
  <c r="AB13" i="13" s="1"/>
  <c r="V14" i="13" s="1"/>
  <c r="W14" i="13" s="1"/>
  <c r="AC13" i="13" l="1"/>
  <c r="X14" i="13" s="1"/>
  <c r="Z14" i="13" l="1"/>
  <c r="AA14" i="13" s="1"/>
  <c r="AB14" i="13" s="1"/>
  <c r="V15" i="13" s="1"/>
  <c r="W15" i="13" s="1"/>
  <c r="AD14" i="13"/>
  <c r="Y14" i="13"/>
  <c r="AC14" i="13" l="1"/>
  <c r="X15" i="13" s="1"/>
  <c r="Y15" i="13" s="1"/>
  <c r="AD15" i="13" l="1"/>
  <c r="Z15" i="13"/>
  <c r="AA15" i="13" s="1"/>
  <c r="AB15" i="13" s="1"/>
  <c r="V16" i="13" s="1"/>
  <c r="W16" i="13" s="1"/>
  <c r="AC15" i="13" l="1"/>
  <c r="X16" i="13" s="1"/>
  <c r="Z16" i="13" s="1"/>
  <c r="AA16" i="13" s="1"/>
  <c r="AB16" i="13" s="1"/>
  <c r="V17" i="13" s="1"/>
  <c r="W17" i="13" s="1"/>
  <c r="AD16" i="13" l="1"/>
  <c r="Y16" i="13"/>
  <c r="AC16" i="13" s="1"/>
  <c r="X17" i="13" s="1"/>
  <c r="Z17" i="13" s="1"/>
  <c r="AA17" i="13" s="1"/>
  <c r="AB17" i="13" s="1"/>
  <c r="V18" i="13" s="1"/>
  <c r="W18" i="13" s="1"/>
  <c r="AD17" i="13" l="1"/>
  <c r="Y17" i="13"/>
  <c r="AC17" i="13" s="1"/>
  <c r="X18" i="13" s="1"/>
  <c r="Z18" i="13" s="1"/>
  <c r="AA18" i="13" s="1"/>
  <c r="AB18" i="13" s="1"/>
  <c r="V19" i="13" s="1"/>
  <c r="W19" i="13" s="1"/>
  <c r="Y18" i="13" l="1"/>
  <c r="AC18" i="13" s="1"/>
  <c r="X19" i="13" s="1"/>
  <c r="Y19" i="13" s="1"/>
  <c r="AD18" i="13"/>
  <c r="Z19" i="13" l="1"/>
  <c r="AA19" i="13" s="1"/>
  <c r="AB19" i="13" s="1"/>
  <c r="V20" i="13" s="1"/>
  <c r="W20" i="13" s="1"/>
  <c r="AD19" i="13"/>
  <c r="AC19" i="13" l="1"/>
  <c r="X20" i="13" s="1"/>
  <c r="Z20" i="13" s="1"/>
  <c r="AA20" i="13" s="1"/>
  <c r="AB20" i="13" s="1"/>
  <c r="V21" i="13" s="1"/>
  <c r="W21" i="13" s="1"/>
  <c r="Y20" i="13" l="1"/>
  <c r="AC20" i="13" s="1"/>
  <c r="X21" i="13" s="1"/>
  <c r="Z21" i="13" s="1"/>
  <c r="AA21" i="13" s="1"/>
  <c r="AB21" i="13" s="1"/>
  <c r="V22" i="13" s="1"/>
  <c r="W22" i="13" s="1"/>
  <c r="AD20" i="13"/>
  <c r="Y21" i="13" l="1"/>
  <c r="AC21" i="13" s="1"/>
  <c r="X22" i="13" s="1"/>
  <c r="AD22" i="13" s="1"/>
  <c r="AD21" i="13"/>
  <c r="Z22" i="13" l="1"/>
  <c r="AA22" i="13" s="1"/>
  <c r="AB22" i="13" s="1"/>
  <c r="V23" i="13" s="1"/>
  <c r="W23" i="13" s="1"/>
  <c r="Y22" i="13"/>
  <c r="AC22" i="13" l="1"/>
  <c r="X23" i="13" s="1"/>
  <c r="AD23" i="13" s="1"/>
  <c r="Z23" i="13" l="1"/>
  <c r="AA23" i="13" s="1"/>
  <c r="AB23" i="13" s="1"/>
  <c r="V24" i="13" s="1"/>
  <c r="W24" i="13" s="1"/>
  <c r="Y23" i="13"/>
  <c r="AC23" i="13" l="1"/>
  <c r="X24" i="13" s="1"/>
  <c r="AD24" i="13" s="1"/>
  <c r="Z24" i="13" l="1"/>
  <c r="AA24" i="13" s="1"/>
  <c r="AB24" i="13" s="1"/>
  <c r="V25" i="13" s="1"/>
  <c r="W25" i="13" s="1"/>
  <c r="Y24" i="13"/>
  <c r="AC24" i="13" l="1"/>
  <c r="X25" i="13" s="1"/>
  <c r="AD25" i="13" s="1"/>
  <c r="Y25" i="13" l="1"/>
  <c r="Z25" i="13"/>
  <c r="AA25" i="13" s="1"/>
  <c r="AB25" i="13" s="1"/>
  <c r="V26" i="13" s="1"/>
  <c r="W26" i="13" s="1"/>
  <c r="AC25" i="13" l="1"/>
  <c r="X26" i="13" s="1"/>
  <c r="AD26" i="13" s="1"/>
  <c r="Y26" i="13" l="1"/>
  <c r="Z26" i="13"/>
  <c r="AA26" i="13" s="1"/>
  <c r="AB26" i="13" s="1"/>
  <c r="V27" i="13" s="1"/>
  <c r="W27" i="13" s="1"/>
  <c r="AC26" i="13" l="1"/>
  <c r="X27" i="13" s="1"/>
  <c r="AD27" i="13" l="1"/>
  <c r="Y27" i="13"/>
  <c r="Z27" i="13"/>
  <c r="AA27" i="13" s="1"/>
  <c r="AB27" i="13" s="1"/>
  <c r="V28" i="13" s="1"/>
  <c r="W28" i="13" s="1"/>
  <c r="AC27" i="13" l="1"/>
  <c r="X28" i="13" s="1"/>
  <c r="Z28" i="13" l="1"/>
  <c r="AA28" i="13" s="1"/>
  <c r="AB28" i="13" s="1"/>
  <c r="V29" i="13" s="1"/>
  <c r="Y28" i="13"/>
  <c r="AD28" i="13"/>
  <c r="AC28" i="13" l="1"/>
  <c r="X29" i="13" s="1"/>
  <c r="AD29" i="13" s="1"/>
  <c r="W29" i="13"/>
  <c r="Z29" i="13" l="1"/>
  <c r="AA29" i="13" s="1"/>
  <c r="AB29" i="13" s="1"/>
  <c r="V30" i="13" s="1"/>
  <c r="W30" i="13" s="1"/>
  <c r="Y29" i="13"/>
  <c r="AC29" i="13" l="1"/>
  <c r="X30" i="13" s="1"/>
  <c r="Z30" i="13" s="1"/>
  <c r="AA30" i="13" s="1"/>
  <c r="AB30" i="13" s="1"/>
  <c r="V31" i="13" s="1"/>
  <c r="AD30" i="13" l="1"/>
  <c r="Y30" i="13"/>
  <c r="AC30" i="13" s="1"/>
  <c r="X31" i="13" s="1"/>
  <c r="AD31" i="13" s="1"/>
  <c r="W31" i="13"/>
  <c r="Z31" i="13" l="1"/>
  <c r="AA31" i="13" s="1"/>
  <c r="Y31" i="13"/>
  <c r="AB31" i="13"/>
  <c r="V32" i="13" s="1"/>
  <c r="W32" i="13" s="1"/>
  <c r="AC31" i="13" l="1"/>
  <c r="X32" i="13" s="1"/>
  <c r="AD32" i="13" s="1"/>
  <c r="Y32" i="13" l="1"/>
  <c r="Z32" i="13"/>
  <c r="AA32" i="13" s="1"/>
  <c r="AB32" i="13" s="1"/>
  <c r="V33" i="13" s="1"/>
  <c r="W33" i="13" s="1"/>
  <c r="AC32" i="13" l="1"/>
  <c r="X33" i="13" s="1"/>
  <c r="Z33" i="13" s="1"/>
  <c r="AA33" i="13" s="1"/>
  <c r="AB33" i="13" s="1"/>
  <c r="V34" i="13" s="1"/>
  <c r="W34" i="13" s="1"/>
  <c r="Y33" i="13"/>
  <c r="AC33" i="13" l="1"/>
  <c r="X34" i="13" s="1"/>
  <c r="Z34" i="13" s="1"/>
  <c r="AD33" i="13"/>
  <c r="AD34" i="13"/>
  <c r="Y34" i="13"/>
  <c r="O24" i="13"/>
  <c r="O25" i="13" s="1"/>
  <c r="G19" i="13" s="1"/>
  <c r="G22" i="13" s="1"/>
  <c r="G35" i="13" s="1"/>
  <c r="K4" i="13" s="1"/>
  <c r="K5" i="13" s="1"/>
  <c r="AA34" i="13"/>
  <c r="AB34" i="13" s="1"/>
  <c r="AC34" i="13" l="1"/>
  <c r="G20" i="13"/>
  <c r="K8" i="13"/>
  <c r="K13" i="13" s="1"/>
  <c r="K48" i="13" s="1"/>
  <c r="K17" i="13"/>
  <c r="K16" i="13"/>
  <c r="K32" i="13" l="1"/>
  <c r="K40" i="13"/>
  <c r="K41" i="13"/>
  <c r="K49" i="13"/>
  <c r="K50" i="13" s="1"/>
  <c r="K33" i="13"/>
  <c r="K27" i="13"/>
  <c r="K36" i="13" l="1"/>
  <c r="K44" i="13"/>
  <c r="AJ4" i="13"/>
  <c r="K28" i="13"/>
  <c r="AH4" i="13"/>
  <c r="AL4" i="13"/>
</calcChain>
</file>

<file path=xl/sharedStrings.xml><?xml version="1.0" encoding="utf-8"?>
<sst xmlns="http://schemas.openxmlformats.org/spreadsheetml/2006/main" count="2159" uniqueCount="166">
  <si>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</si>
  <si>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</si>
  <si>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</si>
  <si>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</si>
  <si>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</si>
  <si>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</si>
  <si>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</si>
  <si>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</si>
  <si>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</si>
  <si>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</si>
  <si>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</si>
  <si>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</si>
  <si>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</si>
  <si>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</si>
  <si>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</si>
  <si>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</si>
  <si>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</si>
  <si>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</si>
  <si>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</si>
  <si>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</si>
  <si>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</si>
  <si>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</si>
  <si>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</si>
  <si>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</si>
  <si>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</si>
  <si>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</si>
  <si>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</si>
  <si>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</si>
  <si>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</si>
  <si>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</si>
  <si>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</si>
  <si>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</si>
  <si>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</si>
  <si>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</si>
  <si>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</si>
  <si>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</si>
  <si>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</si>
  <si>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</si>
  <si>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</si>
  <si>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</si>
  <si>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</si>
  <si>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</si>
  <si>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</si>
  <si>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</si>
  <si>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</si>
  <si>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</si>
  <si>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</si>
  <si>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</si>
  <si>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</si>
  <si>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</si>
  <si>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</si>
  <si>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</si>
  <si>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</si>
  <si>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</si>
  <si>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</si>
  <si>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</si>
  <si>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</si>
  <si>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</si>
  <si>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</si>
  <si>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</si>
  <si>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</si>
  <si>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</si>
  <si>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</si>
  <si>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</si>
  <si>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</si>
  <si>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</si>
  <si>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</si>
  <si>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</si>
  <si>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</si>
  <si>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</si>
  <si>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</si>
  <si>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</si>
  <si>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</si>
  <si>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</si>
  <si>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</si>
  <si>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</si>
  <si>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</si>
  <si>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</si>
  <si>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</si>
  <si>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</si>
  <si>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</si>
  <si>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</si>
  <si>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</si>
  <si>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</si>
  <si>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</si>
  <si>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</si>
  <si>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</si>
  <si>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</si>
  <si>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</si>
  <si>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</si>
  <si>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</si>
  <si>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</si>
  <si>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</si>
  <si>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</si>
  <si>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</si>
  <si>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</si>
  <si>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</si>
  <si>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</si>
  <si>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</si>
  <si>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</si>
  <si>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</si>
  <si>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</si>
  <si>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</si>
  <si>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</si>
  <si>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</si>
  <si>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</si>
  <si>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</si>
  <si>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</si>
  <si>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</si>
  <si>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</si>
  <si>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</si>
  <si>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</si>
  <si>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</si>
  <si>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</si>
  <si>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</si>
  <si>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</si>
  <si>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type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</si>
  <si>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</si>
  <si>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</si>
  <si>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</si>
  <si>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</si>
  <si>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</si>
  <si>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</si>
  <si>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</si>
  <si>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</si>
  <si>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</si>
  <si>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</si>
  <si>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</si>
  <si>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Nm</t>
  </si>
  <si>
    <t>Pa s</t>
  </si>
  <si>
    <t>mu_air</t>
  </si>
  <si>
    <t>c_to_r_lift_rotor</t>
  </si>
  <si>
    <t>power_cruise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</si>
  <si>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</si>
  <si>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</si>
  <si>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</si>
  <si>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</si>
  <si>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</si>
  <si>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</si>
  <si>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</si>
  <si>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</si>
  <si>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</si>
  <si>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</si>
  <si>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</si>
  <si>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Environment at 5500 ft</t>
  </si>
  <si>
    <t>Environment at 6500 ft</t>
  </si>
  <si>
    <t>efficiency T/P</t>
  </si>
  <si>
    <t>g/W</t>
  </si>
  <si>
    <t>CT/sigma</t>
  </si>
  <si>
    <t>W_empty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</si>
  <si>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</si>
  <si>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</si>
  <si>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</si>
  <si>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</si>
  <si>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</si>
  <si>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</si>
  <si>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</si>
  <si>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</si>
  <si>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</si>
  <si>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</si>
  <si>
    <t>weighted_sum_of_takeoff_weight</t>
  </si>
  <si>
    <t>linear</t>
  </si>
  <si>
    <t>uniform</t>
  </si>
  <si>
    <t>uniform
coeffs</t>
  </si>
  <si>
    <t>linear
coeffs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</si>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</sst>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1F2-FE4B-B9B4-0EB698CFD2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1F2-FE4B-B9B4-0EB698CFD2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1F2-FE4B-B9B4-0EB698CFD2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1F2-FE4B-B9B4-0EB698CFD24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1F2-FE4B-B9B4-0EB698CFD2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uniform_250!$K$39:$K$43</c:f>
              <c:numCache>
                <c:formatCode>General</c:formatCode>
                <c:ptCount val="5"/>
                <c:pt idx="0">
                  <c:v>19.899999999999999</c:v>
                </c:pt>
                <c:pt idx="1">
                  <c:v>46.75</c:v>
                </c:pt>
                <c:pt idx="2">
                  <c:v>21.78</c:v>
                </c:pt>
                <c:pt idx="3">
                  <c:v>6.66</c:v>
                </c:pt>
                <c:pt idx="4">
                  <c:v>4.92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F2-FE4B-B9B4-0EB698CFD2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E2-E949-B52E-31FA0C9EF3A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E2-E949-B52E-31FA0C9EF3A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EE2-E949-B52E-31FA0C9EF3A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EE2-E949-B52E-31FA0C9EF3A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EE2-E949-B52E-31FA0C9EF3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1409.82</c:v>
                </c:pt>
                <c:pt idx="2">
                  <c:v>656.69</c:v>
                </c:pt>
                <c:pt idx="3">
                  <c:v>200.88</c:v>
                </c:pt>
                <c:pt idx="4">
                  <c:v>148.22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EE2-E949-B52E-31FA0C9EF3A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5B7-FE41-A57A-A42FAE1A171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5B7-FE41-A57A-A42FAE1A171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5B7-FE41-A57A-A42FAE1A171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5B7-FE41-A57A-A42FAE1A171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5B7-FE41-A57A-A42FAE1A17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uniform_400!$K$39:$K$43</c:f>
              <c:numCache>
                <c:formatCode>General</c:formatCode>
                <c:ptCount val="5"/>
                <c:pt idx="0">
                  <c:v>29.4</c:v>
                </c:pt>
                <c:pt idx="1">
                  <c:v>34.93</c:v>
                </c:pt>
                <c:pt idx="2">
                  <c:v>22.54</c:v>
                </c:pt>
                <c:pt idx="3">
                  <c:v>8.33</c:v>
                </c:pt>
                <c:pt idx="4">
                  <c:v>4.79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B7-FE41-A57A-A42FAE1A171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8A7-6C4E-A193-C372EB799B9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8A7-6C4E-A193-C372EB799B9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8A7-6C4E-A193-C372EB799B9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8A7-6C4E-A193-C372EB799B9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8A7-6C4E-A193-C372EB799B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712.8</c:v>
                </c:pt>
                <c:pt idx="2">
                  <c:v>460.03</c:v>
                </c:pt>
                <c:pt idx="3">
                  <c:v>169.95</c:v>
                </c:pt>
                <c:pt idx="4">
                  <c:v>97.74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A7-6C4E-A193-C372EB799B9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35-704C-A065-3390A93787A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835-704C-A065-3390A93787A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835-704C-A065-3390A93787A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835-704C-A065-3390A93787A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835-704C-A065-3390A93787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uniform_550!$K$39:$K$43</c:f>
              <c:numCache>
                <c:formatCode>General</c:formatCode>
                <c:ptCount val="5"/>
                <c:pt idx="0">
                  <c:v>34.479999999999997</c:v>
                </c:pt>
                <c:pt idx="1">
                  <c:v>27.89</c:v>
                </c:pt>
                <c:pt idx="2">
                  <c:v>23.68</c:v>
                </c:pt>
                <c:pt idx="3">
                  <c:v>9.2100000000000009</c:v>
                </c:pt>
                <c:pt idx="4">
                  <c:v>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835-704C-A065-3390A93787A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6DB-E945-B5C7-75DC41F0904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6DB-E945-B5C7-75DC41F0904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6DB-E945-B5C7-75DC41F0904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6DB-E945-B5C7-75DC41F0904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6DB-E945-B5C7-75DC41F0904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485.34</c:v>
                </c:pt>
                <c:pt idx="2">
                  <c:v>412.05</c:v>
                </c:pt>
                <c:pt idx="3">
                  <c:v>160.26</c:v>
                </c:pt>
                <c:pt idx="4">
                  <c:v>82.69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6DB-E945-B5C7-75DC41F0904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B90-5C44-B2FD-9FBF7FA3CB4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B90-5C44-B2FD-9FBF7FA3CB4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B90-5C44-B2FD-9FBF7FA3CB4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B90-5C44-B2FD-9FBF7FA3CB4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B90-5C44-B2FD-9FBF7FA3CB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uniform_700!$K$39:$K$43</c:f>
              <c:numCache>
                <c:formatCode>General</c:formatCode>
                <c:ptCount val="5"/>
                <c:pt idx="0">
                  <c:v>37.78</c:v>
                </c:pt>
                <c:pt idx="1">
                  <c:v>23.22</c:v>
                </c:pt>
                <c:pt idx="2">
                  <c:v>24.49</c:v>
                </c:pt>
                <c:pt idx="3">
                  <c:v>9.7799999999999994</c:v>
                </c:pt>
                <c:pt idx="4">
                  <c:v>4.7300000000000004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90-5C44-B2FD-9FBF7FA3CB4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E92-2E47-AB32-D545C1FFC62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E92-2E47-AB32-D545C1FFC62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E92-2E47-AB32-D545C1FFC62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E92-2E47-AB32-D545C1FFC62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E92-2E47-AB32-D545C1FFC6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368.76</c:v>
                </c:pt>
                <c:pt idx="2">
                  <c:v>388.86</c:v>
                </c:pt>
                <c:pt idx="3">
                  <c:v>155.27000000000001</c:v>
                </c:pt>
                <c:pt idx="4">
                  <c:v>75.150000000000006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E92-2E47-AB32-D545C1FFC62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linear_250!$K$39:$K$43</c:f>
              <c:numCache>
                <c:formatCode>General</c:formatCode>
                <c:ptCount val="5"/>
                <c:pt idx="0">
                  <c:v>19.53</c:v>
                </c:pt>
                <c:pt idx="1">
                  <c:v>47.72</c:v>
                </c:pt>
                <c:pt idx="2">
                  <c:v>21.19</c:v>
                </c:pt>
                <c:pt idx="3">
                  <c:v>6.64</c:v>
                </c:pt>
                <c:pt idx="4">
                  <c:v>4.92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1465.88</c:v>
                </c:pt>
                <c:pt idx="2">
                  <c:v>650.88</c:v>
                </c:pt>
                <c:pt idx="3">
                  <c:v>203.98</c:v>
                </c:pt>
                <c:pt idx="4">
                  <c:v>151.19999999999999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8D-1947-BC91-D3160D6635F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8D-1947-BC91-D3160D6635F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8D-1947-BC91-D3160D6635F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8D-1947-BC91-D3160D6635F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F8D-1947-BC91-D3160D6635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linear_400!$K$39:$K$43</c:f>
              <c:numCache>
                <c:formatCode>General</c:formatCode>
                <c:ptCount val="5"/>
                <c:pt idx="0">
                  <c:v>29.45</c:v>
                </c:pt>
                <c:pt idx="1">
                  <c:v>35.619999999999997</c:v>
                </c:pt>
                <c:pt idx="2">
                  <c:v>21.77</c:v>
                </c:pt>
                <c:pt idx="3">
                  <c:v>8.3699999999999992</c:v>
                </c:pt>
                <c:pt idx="4">
                  <c:v>4.79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8D-1947-BC91-D3160D6635F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E91-9845-A92F-09AFD40520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91-9845-A92F-09AFD40520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91-9845-A92F-09AFD40520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E91-9845-A92F-09AFD40520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E91-9845-A92F-09AFD40520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725.77</c:v>
                </c:pt>
                <c:pt idx="2">
                  <c:v>443.49</c:v>
                </c:pt>
                <c:pt idx="3">
                  <c:v>170.55</c:v>
                </c:pt>
                <c:pt idx="4">
                  <c:v>97.58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91-9845-A92F-09AFD40520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A2-2243-8047-ACC3306D660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A2-2243-8047-ACC3306D660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A2-2243-8047-ACC3306D660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A2-2243-8047-ACC3306D660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5A2-2243-8047-ACC3306D66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linear_550!$K$39:$K$43</c:f>
              <c:numCache>
                <c:formatCode>General</c:formatCode>
                <c:ptCount val="5"/>
                <c:pt idx="0">
                  <c:v>34.729999999999997</c:v>
                </c:pt>
                <c:pt idx="1">
                  <c:v>28.48</c:v>
                </c:pt>
                <c:pt idx="2">
                  <c:v>22.75</c:v>
                </c:pt>
                <c:pt idx="3">
                  <c:v>9.2799999999999994</c:v>
                </c:pt>
                <c:pt idx="4">
                  <c:v>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5A2-2243-8047-ACC3306D660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4F-F94B-8751-FED1E0E1CB0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4F-F94B-8751-FED1E0E1CB0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4F-F94B-8751-FED1E0E1CB0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94F-F94B-8751-FED1E0E1CB0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94F-F94B-8751-FED1E0E1CB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491.99</c:v>
                </c:pt>
                <c:pt idx="2">
                  <c:v>392.99</c:v>
                </c:pt>
                <c:pt idx="3">
                  <c:v>160.38999999999999</c:v>
                </c:pt>
                <c:pt idx="4">
                  <c:v>82.05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94F-F94B-8751-FED1E0E1CB0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C3F-3A4D-BBD3-2F23F159073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C3F-3A4D-BBD3-2F23F159073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C3F-3A4D-BBD3-2F23F159073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C3F-3A4D-BBD3-2F23F159073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C3F-3A4D-BBD3-2F23F15907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linear_700!$K$39:$K$43</c:f>
              <c:numCache>
                <c:formatCode>General</c:formatCode>
                <c:ptCount val="5"/>
                <c:pt idx="0">
                  <c:v>38.14</c:v>
                </c:pt>
                <c:pt idx="1">
                  <c:v>23.73</c:v>
                </c:pt>
                <c:pt idx="2">
                  <c:v>23.53</c:v>
                </c:pt>
                <c:pt idx="3">
                  <c:v>9.8699999999999992</c:v>
                </c:pt>
                <c:pt idx="4">
                  <c:v>4.7300000000000004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3F-3A4D-BBD3-2F23F159073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D4-494E-BD7F-F6FE7B71FF5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D4-494E-BD7F-F6FE7B71FF5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D4-494E-BD7F-F6FE7B71FF5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D4-494E-BD7F-F6FE7B71FF5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D4-494E-BD7F-F6FE7B71FF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373.25</c:v>
                </c:pt>
                <c:pt idx="2">
                  <c:v>370.23</c:v>
                </c:pt>
                <c:pt idx="3">
                  <c:v>155.25</c:v>
                </c:pt>
                <c:pt idx="4">
                  <c:v>74.42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D4-494E-BD7F-F6FE7B71FF5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61F4B7-41F9-F343-8C66-DE24ECDCF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BE5DE6-D8D9-4940-ABC3-31A47A6C71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D3AFF0-ECE8-4348-B104-D28BF959B9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436292-9C07-1D4B-BB6A-46072D7B8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7C58BF-675E-F14E-87F7-BBB63CE398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8EBF69-1962-AE44-AA63-85E96CD84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4E75F-D816-5547-BAA4-8874E30CD1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9BF315-BBE2-E348-A167-264200A47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50E77-BEBA-CA4A-A5E4-E9C2B842F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E82398-29E0-124F-80BA-4F9B0DCF7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7F294-8FFB-FC47-AAD7-1BE352872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A1F72-A577-7A43-8DB7-1D449938E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C2F4A6-32A6-944F-8823-D4F26A0CE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8C6612-7A71-C042-840A-D8B50650F4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0743-77EF-074A-8B11-1BF1065A8D4A}">
  <dimension ref="B3:G15"/>
  <sheetViews>
    <sheetView tabSelected="1" topLeftCell="A2" workbookViewId="0">
      <selection activeCell="F11" sqref="F11"/>
    </sheetView>
  </sheetViews>
  <sheetFormatPr baseColWidth="10" defaultRowHeight="16" x14ac:dyDescent="0.2"/>
  <sheetData>
    <row r="3" spans="2:7" x14ac:dyDescent="0.2">
      <c r="B3" s="2"/>
      <c r="C3" s="2"/>
      <c r="D3" s="2"/>
      <c r="E3" s="2" t="s">
        <v>162</v>
      </c>
      <c r="F3" s="2" t="s">
        <v>161</v>
      </c>
    </row>
    <row r="4" spans="2:7" x14ac:dyDescent="0.2">
      <c r="B4" s="27" t="s">
        <v>160</v>
      </c>
      <c r="C4" s="27"/>
      <c r="D4" s="27"/>
      <c r="E4" s="4">
        <f>C7*E7 + C8*E8 + C9*E9 + C10*E10</f>
        <v>2096.1270715099276</v>
      </c>
      <c r="F4" s="4">
        <f xml:space="preserve"> C12*E12 + C13*E13 + C14*E14 + C15*E15</f>
        <v>1862.1573071750372</v>
      </c>
    </row>
    <row r="6" spans="2:7" x14ac:dyDescent="0.2">
      <c r="D6" s="2"/>
      <c r="E6" s="2"/>
      <c r="F6" s="2"/>
      <c r="G6" s="2"/>
    </row>
    <row r="7" spans="2:7" x14ac:dyDescent="0.2">
      <c r="B7" s="28" t="s">
        <v>163</v>
      </c>
      <c r="C7" s="2">
        <v>0.25</v>
      </c>
      <c r="D7" s="27" t="s">
        <v>165</v>
      </c>
      <c r="E7" s="2">
        <f>uniform_250!C5</f>
        <v>3015.6024217839199</v>
      </c>
      <c r="F7" s="2"/>
      <c r="G7" s="2"/>
    </row>
    <row r="8" spans="2:7" x14ac:dyDescent="0.2">
      <c r="B8" s="27"/>
      <c r="C8" s="2">
        <v>0.25</v>
      </c>
      <c r="D8" s="27"/>
      <c r="E8" s="2">
        <f>uniform_400!C5</f>
        <v>2040.5179306623399</v>
      </c>
      <c r="F8" s="2"/>
      <c r="G8" s="2"/>
    </row>
    <row r="9" spans="2:7" x14ac:dyDescent="0.2">
      <c r="B9" s="27"/>
      <c r="C9" s="2">
        <v>0.25</v>
      </c>
      <c r="D9" s="27"/>
      <c r="E9" s="2">
        <f>uniform_550!C5</f>
        <v>1740.34747474549</v>
      </c>
      <c r="F9" s="2"/>
      <c r="G9" s="2"/>
    </row>
    <row r="10" spans="2:7" x14ac:dyDescent="0.2">
      <c r="B10" s="27"/>
      <c r="C10" s="2">
        <v>0.25</v>
      </c>
      <c r="D10" s="27"/>
      <c r="E10" s="2">
        <f>uniform_700!C5</f>
        <v>1588.0404588479601</v>
      </c>
      <c r="F10" s="2"/>
      <c r="G10" s="2"/>
    </row>
    <row r="11" spans="2:7" x14ac:dyDescent="0.2">
      <c r="D11" s="2"/>
      <c r="E11" s="2"/>
      <c r="F11" s="2"/>
      <c r="G11" s="2"/>
    </row>
    <row r="12" spans="2:7" x14ac:dyDescent="0.2">
      <c r="B12" s="28" t="s">
        <v>164</v>
      </c>
      <c r="C12" s="2">
        <v>0.1</v>
      </c>
      <c r="D12" s="27" t="s">
        <v>165</v>
      </c>
      <c r="E12" s="2">
        <f>linear_250!C5</f>
        <v>3071.9360414099101</v>
      </c>
      <c r="F12" s="2"/>
      <c r="G12" s="2"/>
    </row>
    <row r="13" spans="2:7" x14ac:dyDescent="0.2">
      <c r="B13" s="27"/>
      <c r="C13" s="2">
        <v>0.2</v>
      </c>
      <c r="D13" s="27"/>
      <c r="E13" s="2">
        <f>linear_400!C5</f>
        <v>2037.3980659713</v>
      </c>
      <c r="F13" s="2"/>
      <c r="G13" s="2"/>
    </row>
    <row r="14" spans="2:7" x14ac:dyDescent="0.2">
      <c r="B14" s="27"/>
      <c r="C14" s="2">
        <v>0.3</v>
      </c>
      <c r="D14" s="27"/>
      <c r="E14" s="2">
        <f>linear_550!C5</f>
        <v>1727.4178814132199</v>
      </c>
      <c r="F14" s="2"/>
      <c r="G14" s="2"/>
    </row>
    <row r="15" spans="2:7" x14ac:dyDescent="0.2">
      <c r="B15" s="27"/>
      <c r="C15" s="2">
        <v>0.4</v>
      </c>
      <c r="D15" s="27"/>
      <c r="E15" s="2">
        <f>linear_700!C5</f>
        <v>1573.1468135395501</v>
      </c>
      <c r="F15" s="2"/>
      <c r="G15" s="2"/>
    </row>
  </sheetData>
  <mergeCells count="5">
    <mergeCell ref="B4:D4"/>
    <mergeCell ref="B7:B10"/>
    <mergeCell ref="B12:B15"/>
    <mergeCell ref="D7:D10"/>
    <mergeCell ref="D12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C382-40AF-4244-A673-F9A2ECD93E49}">
  <dimension ref="B1:AO56"/>
  <sheetViews>
    <sheetView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642.5360778665148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4.6782359408311866E-2</v>
      </c>
      <c r="X4" s="3">
        <v>1</v>
      </c>
      <c r="Y4" s="2">
        <f t="shared" ref="Y4:Y34" si="1" xml:space="preserve"> $O$20 * TAN($O$17/180*PI()) + $O$21 / (2 * SQRT($O$20^2 + X4^2)) - X4</f>
        <v>-0.95879520325781553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-0.45633870493848527</v>
      </c>
      <c r="AB4" s="2">
        <f>W4*AA4</f>
        <v>-2.13486013063558E-2</v>
      </c>
      <c r="AC4" s="2">
        <f>Y4*AA4</f>
        <v>0.43753536135590332</v>
      </c>
      <c r="AD4" s="2">
        <f>X4-V4</f>
        <v>1</v>
      </c>
      <c r="AF4" s="2">
        <v>0</v>
      </c>
      <c r="AG4" s="2"/>
      <c r="AH4" s="2">
        <f>K27</f>
        <v>-9.6115928622566571E-3</v>
      </c>
      <c r="AI4" s="2"/>
      <c r="AJ4" s="2">
        <f>K27</f>
        <v>-9.6115928622566571E-3</v>
      </c>
      <c r="AK4" s="2"/>
      <c r="AL4" s="2">
        <f>K27</f>
        <v>-9.6115928622566571E-3</v>
      </c>
      <c r="AM4" s="2"/>
      <c r="AN4" s="2"/>
      <c r="AO4" s="2"/>
    </row>
    <row r="5" spans="2:41" x14ac:dyDescent="0.2">
      <c r="B5" s="10" t="s">
        <v>37</v>
      </c>
      <c r="C5" s="10">
        <v>3015.6024217839199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160.6340194666287</v>
      </c>
      <c r="L5" s="6" t="s">
        <v>101</v>
      </c>
      <c r="N5" s="6" t="s">
        <v>114</v>
      </c>
      <c r="O5" s="6">
        <f xml:space="preserve"> $C$18 * 0.85 * ($C$5/$C$18 *2.20462/1000)^(2/3) * 0.3048^2</f>
        <v>0.44320780423412293</v>
      </c>
      <c r="P5" s="6" t="s">
        <v>115</v>
      </c>
      <c r="U5" s="2">
        <v>1</v>
      </c>
      <c r="V5" s="2">
        <f>IF(AB4&gt;0, Z4, V4)</f>
        <v>0</v>
      </c>
      <c r="W5" s="2">
        <f t="shared" si="0"/>
        <v>4.6782359408311866E-2</v>
      </c>
      <c r="X5" s="2">
        <f>IF(AC4&gt;0, Z4, X4)</f>
        <v>0.5</v>
      </c>
      <c r="Y5" s="2">
        <f t="shared" si="1"/>
        <v>-0.45633870493848527</v>
      </c>
      <c r="Z5" s="2">
        <f t="shared" ref="Z5:Z34" si="3" xml:space="preserve"> (V5 + X5)/2</f>
        <v>0.25</v>
      </c>
      <c r="AA5" s="2">
        <f t="shared" si="2"/>
        <v>-0.2044003300372218</v>
      </c>
      <c r="AB5" s="2">
        <f t="shared" ref="AB5:AB34" si="4">W5*AA5</f>
        <v>-9.5623297029788744E-3</v>
      </c>
      <c r="AC5" s="2">
        <f t="shared" ref="AC5:AC34" si="5">Y5*AA5</f>
        <v>9.3275781898184765E-2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-1244.9993405743382</v>
      </c>
      <c r="AI5" s="3">
        <v>10000</v>
      </c>
      <c r="AJ5" s="2">
        <f t="dataTable" ref="AJ5:AJ44" dt2D="0" dtr="0" r1="C5" ca="1"/>
        <v>1094.2595746621337</v>
      </c>
      <c r="AK5" s="2">
        <f>(AG5+AI5)/2</f>
        <v>5250</v>
      </c>
      <c r="AL5" s="2">
        <f t="dataTable" ref="AL5:AL44" dt2D="0" dtr="0" r1="C5" ca="1"/>
        <v>720.70586739713235</v>
      </c>
      <c r="AM5" s="2">
        <f>AH5*AL5</f>
        <v>-897278.32965748629</v>
      </c>
      <c r="AN5" s="2">
        <f>AJ5*AL5</f>
        <v>788639.29591449013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4.6782359408311866E-2</v>
      </c>
      <c r="X6" s="2">
        <f t="shared" ref="X6:X34" si="8">IF(AC5&gt;0, Z5, X5)</f>
        <v>0.25</v>
      </c>
      <c r="Y6" s="2">
        <f t="shared" si="1"/>
        <v>-0.2044003300372218</v>
      </c>
      <c r="Z6" s="2">
        <f t="shared" si="3"/>
        <v>0.125</v>
      </c>
      <c r="AA6" s="2">
        <f t="shared" si="2"/>
        <v>-7.8559975096433463E-2</v>
      </c>
      <c r="AB6" s="2">
        <f t="shared" si="4"/>
        <v>-3.6752209900693801E-3</v>
      </c>
      <c r="AC6" s="2">
        <f t="shared" si="5"/>
        <v>1.6057684837426926E-2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-1244.9993405743382</v>
      </c>
      <c r="AI6" s="2">
        <f>IF(AN5&gt;0, AK5, AI5)</f>
        <v>5250</v>
      </c>
      <c r="AJ6" s="2">
        <v>720.70586739713235</v>
      </c>
      <c r="AK6" s="2">
        <f t="shared" ref="AK6:AK43" si="9">(AG6+AI6)/2</f>
        <v>2875</v>
      </c>
      <c r="AL6" s="2">
        <v>-57.884928085238698</v>
      </c>
      <c r="AM6" s="2">
        <f t="shared" ref="AM6:AM44" si="10">AH6*AL6</f>
        <v>72066.697295315171</v>
      </c>
      <c r="AN6" s="2">
        <f t="shared" ref="AN6:AN44" si="11">AJ6*AL6</f>
        <v>-41718.007304892584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398.77272413962697</v>
      </c>
      <c r="D7" s="6" t="s">
        <v>125</v>
      </c>
      <c r="F7" t="s">
        <v>121</v>
      </c>
      <c r="G7" s="8">
        <f>$C$6*2*PI()/60*$C$9</f>
        <v>148.0578121113133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1.073484427569219</v>
      </c>
      <c r="P7" s="6" t="s">
        <v>115</v>
      </c>
      <c r="U7" s="2">
        <v>3</v>
      </c>
      <c r="V7" s="2">
        <f t="shared" si="7"/>
        <v>0</v>
      </c>
      <c r="W7" s="2">
        <f t="shared" si="0"/>
        <v>4.6782359408311866E-2</v>
      </c>
      <c r="X7" s="2">
        <f t="shared" si="8"/>
        <v>0.125</v>
      </c>
      <c r="Y7" s="2">
        <f t="shared" si="1"/>
        <v>-7.8559975096433463E-2</v>
      </c>
      <c r="Z7" s="2">
        <f t="shared" si="3"/>
        <v>6.25E-2</v>
      </c>
      <c r="AA7" s="2">
        <f t="shared" si="2"/>
        <v>-1.5806814305468944E-2</v>
      </c>
      <c r="AB7" s="2">
        <f t="shared" si="4"/>
        <v>-7.394800679388937E-4</v>
      </c>
      <c r="AC7" s="2">
        <f t="shared" si="5"/>
        <v>1.2417829381915885E-3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-57.884928085238698</v>
      </c>
      <c r="AI7" s="2">
        <f t="shared" ref="AI7:AI44" si="14">IF(AN6&gt;0, AK6, AI6)</f>
        <v>5250</v>
      </c>
      <c r="AJ7" s="2">
        <v>720.70586739713235</v>
      </c>
      <c r="AK7" s="2">
        <f t="shared" si="9"/>
        <v>4062.5</v>
      </c>
      <c r="AL7" s="2">
        <v>383.84705013854045</v>
      </c>
      <c r="AM7" s="2">
        <f t="shared" si="10"/>
        <v>-22218.958893000428</v>
      </c>
      <c r="AN7" s="2">
        <f t="shared" si="11"/>
        <v>276640.82121792733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0.44339712169282308</v>
      </c>
      <c r="H8" s="6" t="s">
        <v>122</v>
      </c>
      <c r="J8" s="6" t="s">
        <v>96</v>
      </c>
      <c r="K8" s="6">
        <f xml:space="preserve"> $C$15 * (G12*G6 + G22*G15 + G31*G27 +G35*G34)/3600</f>
        <v>239.66999023151882</v>
      </c>
      <c r="L8" s="6" t="s">
        <v>102</v>
      </c>
      <c r="N8" s="6" t="s">
        <v>38</v>
      </c>
      <c r="O8" s="6">
        <f xml:space="preserve"> O4 *O7</f>
        <v>2434.0870639124087</v>
      </c>
      <c r="P8" s="6" t="s">
        <v>20</v>
      </c>
      <c r="U8" s="2">
        <v>4</v>
      </c>
      <c r="V8" s="2">
        <f t="shared" si="7"/>
        <v>0</v>
      </c>
      <c r="W8" s="2">
        <f t="shared" si="0"/>
        <v>4.6782359408311866E-2</v>
      </c>
      <c r="X8" s="2">
        <f t="shared" si="8"/>
        <v>6.25E-2</v>
      </c>
      <c r="Y8" s="2">
        <f t="shared" si="1"/>
        <v>-1.5806814305468944E-2</v>
      </c>
      <c r="Z8" s="2">
        <f t="shared" si="3"/>
        <v>3.125E-2</v>
      </c>
      <c r="AA8" s="2">
        <f t="shared" si="2"/>
        <v>1.5509828344581027E-2</v>
      </c>
      <c r="AB8" s="2">
        <f t="shared" si="4"/>
        <v>7.255863639774123E-4</v>
      </c>
      <c r="AC8" s="2">
        <f t="shared" si="5"/>
        <v>-2.4516097655249107E-4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-57.884928085238698</v>
      </c>
      <c r="AI8" s="2">
        <f t="shared" si="14"/>
        <v>4062.5</v>
      </c>
      <c r="AJ8" s="2">
        <v>383.84705013854045</v>
      </c>
      <c r="AK8" s="2">
        <f t="shared" si="9"/>
        <v>3468.75</v>
      </c>
      <c r="AL8" s="2">
        <v>176.49691692391389</v>
      </c>
      <c r="AM8" s="2">
        <f t="shared" si="10"/>
        <v>-10216.511343407105</v>
      </c>
      <c r="AN8" s="2">
        <f t="shared" si="11"/>
        <v>67747.820919791382</v>
      </c>
      <c r="AO8" s="2">
        <f t="shared" si="12"/>
        <v>1187.5</v>
      </c>
    </row>
    <row r="9" spans="2:41" x14ac:dyDescent="0.2">
      <c r="B9" s="6" t="s">
        <v>95</v>
      </c>
      <c r="C9" s="17">
        <v>3.53461989913299</v>
      </c>
      <c r="D9" s="6" t="s">
        <v>8</v>
      </c>
      <c r="F9" t="s">
        <v>19</v>
      </c>
      <c r="G9" s="6">
        <f xml:space="preserve"> $C$5 * $C$44 / $C$18</f>
        <v>7389.3501442245088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2434.0870639124087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1.5509828344581027E-2</v>
      </c>
      <c r="X9" s="2">
        <f t="shared" si="8"/>
        <v>6.25E-2</v>
      </c>
      <c r="Y9" s="2">
        <f t="shared" si="1"/>
        <v>-1.5806814305468944E-2</v>
      </c>
      <c r="Z9" s="2">
        <f t="shared" si="3"/>
        <v>4.6875E-2</v>
      </c>
      <c r="AA9" s="2">
        <f t="shared" si="2"/>
        <v>-1.4311117015746583E-4</v>
      </c>
      <c r="AB9" s="2">
        <f t="shared" si="4"/>
        <v>-2.2196296833344218E-6</v>
      </c>
      <c r="AC9" s="2">
        <f t="shared" si="5"/>
        <v>2.2621316917174312E-6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-57.884928085238698</v>
      </c>
      <c r="AI9" s="2">
        <f t="shared" si="14"/>
        <v>3468.75</v>
      </c>
      <c r="AJ9" s="2">
        <v>176.49691692391389</v>
      </c>
      <c r="AK9" s="2">
        <f t="shared" si="9"/>
        <v>3171.875</v>
      </c>
      <c r="AL9" s="2">
        <v>62.625342848422861</v>
      </c>
      <c r="AM9" s="2">
        <f t="shared" si="10"/>
        <v>-3625.063467094375</v>
      </c>
      <c r="AN9" s="2">
        <f t="shared" si="11"/>
        <v>11053.179934049715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107.08934631108581</v>
      </c>
      <c r="H10" s="6" t="s">
        <v>101</v>
      </c>
      <c r="N10" s="6" t="s">
        <v>113</v>
      </c>
      <c r="O10" s="6">
        <f>O7/(0.3048^2)/($C$5*2.20462/1000)^(2/3)</f>
        <v>3.2680894815437305</v>
      </c>
      <c r="U10" s="2">
        <v>6</v>
      </c>
      <c r="V10" s="2">
        <f t="shared" si="7"/>
        <v>3.125E-2</v>
      </c>
      <c r="W10" s="2">
        <f t="shared" si="0"/>
        <v>1.5509828344581027E-2</v>
      </c>
      <c r="X10" s="2">
        <f t="shared" si="8"/>
        <v>4.6875E-2</v>
      </c>
      <c r="Y10" s="2">
        <f t="shared" si="1"/>
        <v>-1.4311117015746583E-4</v>
      </c>
      <c r="Z10" s="2">
        <f t="shared" si="3"/>
        <v>3.90625E-2</v>
      </c>
      <c r="AA10" s="2">
        <f t="shared" si="2"/>
        <v>7.6847249096042361E-3</v>
      </c>
      <c r="AB10" s="2">
        <f t="shared" si="4"/>
        <v>1.1918876422328765E-4</v>
      </c>
      <c r="AC10" s="2">
        <f t="shared" si="5"/>
        <v>-1.0997699741516881E-6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-57.884928085238698</v>
      </c>
      <c r="AI10" s="2">
        <f t="shared" si="14"/>
        <v>3171.875</v>
      </c>
      <c r="AJ10" s="2">
        <v>62.625342848422861</v>
      </c>
      <c r="AK10" s="2">
        <f t="shared" si="9"/>
        <v>3023.4375</v>
      </c>
      <c r="AL10" s="2">
        <v>3.1737054139061911</v>
      </c>
      <c r="AM10" s="2">
        <f t="shared" si="10"/>
        <v>-183.70970964769259</v>
      </c>
      <c r="AN10" s="2">
        <f t="shared" si="11"/>
        <v>198.754389645771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7.0399216300747636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3.90625E-2</v>
      </c>
      <c r="W11" s="2">
        <f t="shared" si="0"/>
        <v>7.6847249096042361E-3</v>
      </c>
      <c r="X11" s="2">
        <f t="shared" si="8"/>
        <v>4.6875E-2</v>
      </c>
      <c r="Y11" s="2">
        <f t="shared" si="1"/>
        <v>-1.4311117015746583E-4</v>
      </c>
      <c r="Z11" s="2">
        <f t="shared" si="3"/>
        <v>4.296875E-2</v>
      </c>
      <c r="AA11" s="2">
        <f t="shared" si="2"/>
        <v>3.7711461028008542E-3</v>
      </c>
      <c r="AB11" s="2">
        <f t="shared" si="4"/>
        <v>2.8980220393950662E-5</v>
      </c>
      <c r="AC11" s="2">
        <f t="shared" si="5"/>
        <v>-5.3969313160659721E-7</v>
      </c>
      <c r="AD11" s="2">
        <f t="shared" si="6"/>
        <v>7.8125E-3</v>
      </c>
      <c r="AF11" s="2">
        <v>7</v>
      </c>
      <c r="AG11" s="2">
        <f t="shared" si="13"/>
        <v>2875</v>
      </c>
      <c r="AH11" s="2">
        <v>-57.884928085238698</v>
      </c>
      <c r="AI11" s="2">
        <f t="shared" si="14"/>
        <v>3023.4375</v>
      </c>
      <c r="AJ11" s="2">
        <v>3.1737054139061911</v>
      </c>
      <c r="AK11" s="2">
        <f t="shared" si="9"/>
        <v>2949.21875</v>
      </c>
      <c r="AL11" s="2">
        <v>-27.159127007735151</v>
      </c>
      <c r="AM11" s="2">
        <f t="shared" si="10"/>
        <v>1572.1041137006132</v>
      </c>
      <c r="AN11" s="2">
        <f t="shared" si="11"/>
        <v>-86.195068421414902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428.35738524434322</v>
      </c>
      <c r="H12" s="25" t="s">
        <v>101</v>
      </c>
      <c r="J12" s="10" t="s">
        <v>79</v>
      </c>
      <c r="K12" s="6">
        <f>C5</f>
        <v>3015.6024217839199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4.296875E-2</v>
      </c>
      <c r="W12" s="2">
        <f t="shared" si="0"/>
        <v>3.7711461028008542E-3</v>
      </c>
      <c r="X12" s="2">
        <f t="shared" si="8"/>
        <v>4.6875E-2</v>
      </c>
      <c r="Y12" s="2">
        <f t="shared" si="1"/>
        <v>-1.4311117015746583E-4</v>
      </c>
      <c r="Z12" s="2">
        <f t="shared" si="3"/>
        <v>4.4921875E-2</v>
      </c>
      <c r="AA12" s="2">
        <f t="shared" si="2"/>
        <v>1.814101957838786E-3</v>
      </c>
      <c r="AB12" s="2">
        <f t="shared" si="4"/>
        <v>6.8412435283871374E-6</v>
      </c>
      <c r="AC12" s="2">
        <f t="shared" si="5"/>
        <v>-2.5961825397125838E-7</v>
      </c>
      <c r="AD12" s="2">
        <f t="shared" si="6"/>
        <v>3.90625E-3</v>
      </c>
      <c r="AF12" s="2">
        <v>8</v>
      </c>
      <c r="AG12" s="2">
        <f t="shared" si="13"/>
        <v>2949.21875</v>
      </c>
      <c r="AH12" s="2">
        <v>-27.159127007735151</v>
      </c>
      <c r="AI12" s="2">
        <f t="shared" si="14"/>
        <v>3023.4375</v>
      </c>
      <c r="AJ12" s="2">
        <v>3.1737054139061911</v>
      </c>
      <c r="AK12" s="2">
        <f t="shared" si="9"/>
        <v>2986.328125</v>
      </c>
      <c r="AL12" s="2">
        <v>-11.942996476108874</v>
      </c>
      <c r="AM12" s="2">
        <f t="shared" si="10"/>
        <v>324.36135814757426</v>
      </c>
      <c r="AN12" s="2">
        <f t="shared" si="11"/>
        <v>-37.903552574489296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1409.8234719501108</v>
      </c>
      <c r="L13" s="6" t="s">
        <v>7</v>
      </c>
      <c r="N13" s="6" t="s">
        <v>74</v>
      </c>
      <c r="O13" s="6">
        <f xml:space="preserve"> SQRT( ($C$5*$C$50)^2 + O9^2)</f>
        <v>29654.638535882495</v>
      </c>
      <c r="P13" s="6" t="s">
        <v>20</v>
      </c>
      <c r="U13" s="2">
        <v>9</v>
      </c>
      <c r="V13" s="2">
        <f t="shared" si="7"/>
        <v>4.4921875E-2</v>
      </c>
      <c r="W13" s="2">
        <f t="shared" si="0"/>
        <v>1.814101957838786E-3</v>
      </c>
      <c r="X13" s="2">
        <f t="shared" si="8"/>
        <v>4.6875E-2</v>
      </c>
      <c r="Y13" s="2">
        <f t="shared" si="1"/>
        <v>-1.4311117015746583E-4</v>
      </c>
      <c r="Z13" s="2">
        <f t="shared" si="3"/>
        <v>4.58984375E-2</v>
      </c>
      <c r="AA13" s="2">
        <f t="shared" si="2"/>
        <v>8.3551647569142518E-4</v>
      </c>
      <c r="AB13" s="2">
        <f t="shared" si="4"/>
        <v>1.5157120743583768E-6</v>
      </c>
      <c r="AC13" s="2">
        <f t="shared" si="5"/>
        <v>-1.1957174052204172E-7</v>
      </c>
      <c r="AD13" s="2">
        <f t="shared" si="6"/>
        <v>1.953125E-3</v>
      </c>
      <c r="AF13" s="2">
        <v>9</v>
      </c>
      <c r="AG13" s="2">
        <f t="shared" si="13"/>
        <v>2986.328125</v>
      </c>
      <c r="AH13" s="2">
        <v>-11.942996476108874</v>
      </c>
      <c r="AI13" s="2">
        <f t="shared" si="14"/>
        <v>3023.4375</v>
      </c>
      <c r="AJ13" s="2">
        <v>3.1737054139061911</v>
      </c>
      <c r="AK13" s="2">
        <f t="shared" si="9"/>
        <v>3004.8828125</v>
      </c>
      <c r="AL13" s="2">
        <v>-4.3721547107020342</v>
      </c>
      <c r="AM13" s="2">
        <f t="shared" si="10"/>
        <v>52.216628302917208</v>
      </c>
      <c r="AN13" s="2">
        <f t="shared" si="11"/>
        <v>-13.875931075790502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 xml:space="preserve"> $C$54 * $C$18 * (0.0095 * MAX(G9,O18,G28) - 1.9275)</f>
        <v>219.20725287270699</v>
      </c>
      <c r="L14" s="6" t="s">
        <v>7</v>
      </c>
      <c r="N14" s="6" t="s">
        <v>75</v>
      </c>
      <c r="O14" s="6">
        <f>$C$5*$C$50/O13</f>
        <v>0.99662564864704828</v>
      </c>
      <c r="U14" s="2">
        <v>10</v>
      </c>
      <c r="V14" s="2">
        <f t="shared" si="7"/>
        <v>4.58984375E-2</v>
      </c>
      <c r="W14" s="2">
        <f t="shared" si="0"/>
        <v>8.3551647569142518E-4</v>
      </c>
      <c r="X14" s="2">
        <f t="shared" si="8"/>
        <v>4.6875E-2</v>
      </c>
      <c r="Y14" s="2">
        <f t="shared" si="1"/>
        <v>-1.4311117015746583E-4</v>
      </c>
      <c r="Z14" s="2">
        <f t="shared" si="3"/>
        <v>4.638671875E-2</v>
      </c>
      <c r="AA14" s="2">
        <f t="shared" si="2"/>
        <v>3.4620791801219519E-4</v>
      </c>
      <c r="AB14" s="2">
        <f t="shared" si="4"/>
        <v>2.8926241951401519E-7</v>
      </c>
      <c r="AC14" s="2">
        <f t="shared" si="5"/>
        <v>-4.9546220264505245E-8</v>
      </c>
      <c r="AD14" s="2">
        <f t="shared" si="6"/>
        <v>9.765625E-4</v>
      </c>
      <c r="AF14" s="2">
        <v>10</v>
      </c>
      <c r="AG14" s="2">
        <f t="shared" si="13"/>
        <v>3004.8828125</v>
      </c>
      <c r="AH14" s="2">
        <v>-4.3721547107020342</v>
      </c>
      <c r="AI14" s="2">
        <f t="shared" si="14"/>
        <v>3023.4375</v>
      </c>
      <c r="AJ14" s="2">
        <v>3.1737054139061911</v>
      </c>
      <c r="AK14" s="2">
        <f t="shared" si="9"/>
        <v>3014.16015625</v>
      </c>
      <c r="AL14" s="2">
        <v>-0.59608011953469031</v>
      </c>
      <c r="AM14" s="2">
        <f t="shared" si="10"/>
        <v>2.6061545025794279</v>
      </c>
      <c r="AN14" s="2">
        <f t="shared" si="11"/>
        <v>-1.8917827024890961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268.5169940633927</v>
      </c>
      <c r="L15" s="6" t="s">
        <v>7</v>
      </c>
      <c r="U15" s="2">
        <v>11</v>
      </c>
      <c r="V15" s="2">
        <f t="shared" si="7"/>
        <v>4.638671875E-2</v>
      </c>
      <c r="W15" s="2">
        <f t="shared" si="0"/>
        <v>3.4620791801219519E-4</v>
      </c>
      <c r="X15" s="2">
        <f t="shared" si="8"/>
        <v>4.6875E-2</v>
      </c>
      <c r="Y15" s="2">
        <f t="shared" si="1"/>
        <v>-1.4311117015746583E-4</v>
      </c>
      <c r="Z15" s="2">
        <f t="shared" si="3"/>
        <v>4.6630859375E-2</v>
      </c>
      <c r="AA15" s="2">
        <f t="shared" si="2"/>
        <v>1.0154968958094729E-4</v>
      </c>
      <c r="AB15" s="2">
        <f t="shared" si="4"/>
        <v>3.5157306604604475E-8</v>
      </c>
      <c r="AC15" s="2">
        <f t="shared" si="5"/>
        <v>-1.4532894905056781E-8</v>
      </c>
      <c r="AD15" s="2">
        <f t="shared" si="6"/>
        <v>4.8828125E-4</v>
      </c>
      <c r="AF15" s="2">
        <v>11</v>
      </c>
      <c r="AG15" s="2">
        <f t="shared" si="13"/>
        <v>3014.16015625</v>
      </c>
      <c r="AH15" s="2">
        <v>-0.59608011953469031</v>
      </c>
      <c r="AI15" s="2">
        <f t="shared" si="14"/>
        <v>3023.4375</v>
      </c>
      <c r="AJ15" s="2">
        <v>3.1737054139061911</v>
      </c>
      <c r="AK15" s="2">
        <f t="shared" si="9"/>
        <v>3018.798828125</v>
      </c>
      <c r="AL15" s="2">
        <v>1.2896030430383689</v>
      </c>
      <c r="AM15" s="2">
        <f t="shared" si="10"/>
        <v>-0.76870673604661133</v>
      </c>
      <c r="AN15" s="2">
        <f t="shared" si="11"/>
        <v>4.0928201594807705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147.60354266445364</v>
      </c>
      <c r="H16" s="6" t="s">
        <v>10</v>
      </c>
      <c r="J16" s="13" t="s">
        <v>53</v>
      </c>
      <c r="K16" s="6">
        <f xml:space="preserve"> $C$54 * 0.2138 * K4</f>
        <v>109.8993707582887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4.6630859375E-2</v>
      </c>
      <c r="W16" s="2">
        <f t="shared" si="0"/>
        <v>1.0154968958094729E-4</v>
      </c>
      <c r="X16" s="2">
        <f t="shared" si="8"/>
        <v>4.6875E-2</v>
      </c>
      <c r="Y16" s="2">
        <f t="shared" si="1"/>
        <v>-1.4311117015746583E-4</v>
      </c>
      <c r="Z16" s="2">
        <f t="shared" si="3"/>
        <v>4.67529296875E-2</v>
      </c>
      <c r="AA16" s="2">
        <f t="shared" si="2"/>
        <v>-2.078041145742171E-5</v>
      </c>
      <c r="AB16" s="2">
        <f t="shared" si="4"/>
        <v>-2.1102443328655352E-9</v>
      </c>
      <c r="AC16" s="2">
        <f t="shared" si="5"/>
        <v>2.9739090000252309E-9</v>
      </c>
      <c r="AD16" s="2">
        <f t="shared" si="6"/>
        <v>2.44140625E-4</v>
      </c>
      <c r="AF16" s="2">
        <v>12</v>
      </c>
      <c r="AG16" s="2">
        <f t="shared" si="13"/>
        <v>3014.16015625</v>
      </c>
      <c r="AH16" s="2">
        <v>-0.59608011953469031</v>
      </c>
      <c r="AI16" s="2">
        <f t="shared" si="14"/>
        <v>3018.798828125</v>
      </c>
      <c r="AJ16" s="2">
        <v>1.2896030430383689</v>
      </c>
      <c r="AK16" s="2">
        <f t="shared" si="9"/>
        <v>3016.4794921875</v>
      </c>
      <c r="AL16" s="2">
        <v>0.34696075371221013</v>
      </c>
      <c r="AM16" s="2">
        <f t="shared" si="10"/>
        <v>-0.20681640754662045</v>
      </c>
      <c r="AN16" s="2">
        <f t="shared" si="11"/>
        <v>0.44744164380215223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0.44362456530571509</v>
      </c>
      <c r="H17" s="6" t="s">
        <v>122</v>
      </c>
      <c r="J17" s="13" t="s">
        <v>77</v>
      </c>
      <c r="K17" s="6">
        <f xml:space="preserve"> $C$54 * 0.1149 * K4</f>
        <v>59.061916277490042</v>
      </c>
      <c r="L17" s="6" t="s">
        <v>7</v>
      </c>
      <c r="N17" s="6" t="s">
        <v>25</v>
      </c>
      <c r="O17" s="6">
        <f xml:space="preserve"> ACOS(O14)/PI()*180</f>
        <v>4.7082008172616998</v>
      </c>
      <c r="P17" s="6" t="s">
        <v>40</v>
      </c>
      <c r="U17" s="2">
        <v>13</v>
      </c>
      <c r="V17" s="2">
        <f t="shared" si="7"/>
        <v>4.6630859375E-2</v>
      </c>
      <c r="W17" s="2">
        <f t="shared" si="0"/>
        <v>1.0154968958094729E-4</v>
      </c>
      <c r="X17" s="2">
        <f t="shared" si="8"/>
        <v>4.67529296875E-2</v>
      </c>
      <c r="Y17" s="2">
        <f t="shared" si="1"/>
        <v>-2.078041145742171E-5</v>
      </c>
      <c r="Z17" s="2">
        <f t="shared" si="3"/>
        <v>4.669189453125E-2</v>
      </c>
      <c r="AA17" s="2">
        <f t="shared" si="2"/>
        <v>4.0384721279804192E-5</v>
      </c>
      <c r="AB17" s="2">
        <f t="shared" si="4"/>
        <v>4.1010559097771924E-9</v>
      </c>
      <c r="AC17" s="2">
        <f t="shared" si="5"/>
        <v>-8.392111247876254E-10</v>
      </c>
      <c r="AD17" s="2">
        <f t="shared" si="6"/>
        <v>1.220703125E-4</v>
      </c>
      <c r="AF17" s="2">
        <v>13</v>
      </c>
      <c r="AG17" s="2">
        <f t="shared" si="13"/>
        <v>3014.16015625</v>
      </c>
      <c r="AH17" s="2">
        <v>-0.59608011953469031</v>
      </c>
      <c r="AI17" s="2">
        <f t="shared" si="14"/>
        <v>3016.4794921875</v>
      </c>
      <c r="AJ17" s="2">
        <v>0.34696075371221013</v>
      </c>
      <c r="AK17" s="2">
        <f t="shared" si="9"/>
        <v>3015.31982421875</v>
      </c>
      <c r="AL17" s="2">
        <v>-0.12452013100255499</v>
      </c>
      <c r="AM17" s="2">
        <f t="shared" si="10"/>
        <v>7.4223974572478271E-2</v>
      </c>
      <c r="AN17" s="2">
        <f t="shared" si="11"/>
        <v>-4.3203598504989622E-2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7413.6596339706239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137.92529709722083</v>
      </c>
      <c r="L18" s="6" t="s">
        <v>7</v>
      </c>
      <c r="N18" s="6" t="s">
        <v>19</v>
      </c>
      <c r="O18" s="6">
        <f xml:space="preserve"> O13 / $C$18</f>
        <v>7413.6596339706239</v>
      </c>
      <c r="P18" s="6" t="s">
        <v>20</v>
      </c>
      <c r="U18" s="2">
        <v>14</v>
      </c>
      <c r="V18" s="2">
        <f t="shared" si="7"/>
        <v>4.669189453125E-2</v>
      </c>
      <c r="W18" s="2">
        <f t="shared" si="0"/>
        <v>4.0384721279804192E-5</v>
      </c>
      <c r="X18" s="2">
        <f t="shared" si="8"/>
        <v>4.67529296875E-2</v>
      </c>
      <c r="Y18" s="2">
        <f t="shared" si="1"/>
        <v>-2.078041145742171E-5</v>
      </c>
      <c r="Z18" s="2">
        <f t="shared" si="3"/>
        <v>4.6722412109375E-2</v>
      </c>
      <c r="AA18" s="2">
        <f t="shared" si="2"/>
        <v>9.80217546441009E-6</v>
      </c>
      <c r="AB18" s="2">
        <f t="shared" si="4"/>
        <v>3.9585812406593668E-10</v>
      </c>
      <c r="AC18" s="2">
        <f t="shared" si="5"/>
        <v>-2.036932393282854E-10</v>
      </c>
      <c r="AD18" s="2">
        <f t="shared" si="6"/>
        <v>6.103515625E-5</v>
      </c>
      <c r="AF18" s="2">
        <v>14</v>
      </c>
      <c r="AG18" s="2">
        <f t="shared" si="13"/>
        <v>3015.31982421875</v>
      </c>
      <c r="AH18" s="2">
        <v>-0.12452013100255499</v>
      </c>
      <c r="AI18" s="2">
        <f t="shared" si="14"/>
        <v>3016.4794921875</v>
      </c>
      <c r="AJ18" s="2">
        <v>0.34696075371221013</v>
      </c>
      <c r="AK18" s="2">
        <f t="shared" si="9"/>
        <v>3015.899658203125</v>
      </c>
      <c r="AL18" s="2">
        <v>0.1112327527148409</v>
      </c>
      <c r="AM18" s="2">
        <f t="shared" si="10"/>
        <v>-1.3850716939826794E-2</v>
      </c>
      <c r="AN18" s="2">
        <f t="shared" si="11"/>
        <v>3.8593399719425089E-2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69.736061246199398</v>
      </c>
      <c r="H19" s="6" t="s">
        <v>101</v>
      </c>
      <c r="J19" s="14" t="s">
        <v>61</v>
      </c>
      <c r="K19" s="6">
        <f xml:space="preserve"> $C$55 * C31 * $C$5</f>
        <v>33.774747123979907</v>
      </c>
      <c r="L19" s="6" t="s">
        <v>7</v>
      </c>
      <c r="N19" s="6" t="s">
        <v>26</v>
      </c>
      <c r="O19" s="6">
        <f>$C$7*2*PI()/60</f>
        <v>41.759382020301373</v>
      </c>
      <c r="P19" s="6" t="s">
        <v>27</v>
      </c>
      <c r="U19" s="2">
        <v>15</v>
      </c>
      <c r="V19" s="2">
        <f t="shared" si="7"/>
        <v>4.6722412109375E-2</v>
      </c>
      <c r="W19" s="2">
        <f t="shared" si="0"/>
        <v>9.80217546441009E-6</v>
      </c>
      <c r="X19" s="2">
        <f t="shared" si="8"/>
        <v>4.67529296875E-2</v>
      </c>
      <c r="Y19" s="2">
        <f t="shared" si="1"/>
        <v>-2.078041145742171E-5</v>
      </c>
      <c r="Z19" s="2">
        <f t="shared" si="3"/>
        <v>4.67376708984375E-2</v>
      </c>
      <c r="AA19" s="2">
        <f t="shared" si="2"/>
        <v>-5.4891128583589577E-6</v>
      </c>
      <c r="AB19" s="2">
        <f t="shared" si="4"/>
        <v>-5.3805247381584112E-11</v>
      </c>
      <c r="AC19" s="2">
        <f t="shared" si="5"/>
        <v>1.1406602373292332E-10</v>
      </c>
      <c r="AD19" s="2">
        <f t="shared" si="6"/>
        <v>3.0517578125E-5</v>
      </c>
      <c r="AF19" s="2">
        <v>15</v>
      </c>
      <c r="AG19" s="2">
        <f t="shared" si="13"/>
        <v>3015.31982421875</v>
      </c>
      <c r="AH19" s="2">
        <v>-0.12452013100255499</v>
      </c>
      <c r="AI19" s="2">
        <f t="shared" si="14"/>
        <v>3015.899658203125</v>
      </c>
      <c r="AJ19" s="2">
        <v>0.1112327527148409</v>
      </c>
      <c r="AK19" s="2">
        <f t="shared" si="9"/>
        <v>3015.6097412109375</v>
      </c>
      <c r="AL19" s="2">
        <v>-6.6456630584070808E-3</v>
      </c>
      <c r="AM19" s="2">
        <f t="shared" si="10"/>
        <v>8.2751883463169E-4</v>
      </c>
      <c r="AN19" s="2">
        <f t="shared" si="11"/>
        <v>-7.3921539560194811E-4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10.847374093379377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0.4527650779195736</v>
      </c>
      <c r="U20" s="2">
        <v>16</v>
      </c>
      <c r="V20" s="2">
        <f t="shared" si="7"/>
        <v>4.6722412109375E-2</v>
      </c>
      <c r="W20" s="2">
        <f t="shared" si="0"/>
        <v>9.80217546441009E-6</v>
      </c>
      <c r="X20" s="2">
        <f t="shared" si="8"/>
        <v>4.67376708984375E-2</v>
      </c>
      <c r="Y20" s="2">
        <f t="shared" si="1"/>
        <v>-5.4891128583589577E-6</v>
      </c>
      <c r="Z20" s="2">
        <f t="shared" si="3"/>
        <v>4.673004150390625E-2</v>
      </c>
      <c r="AA20" s="2">
        <f t="shared" si="2"/>
        <v>2.1565325875813612E-6</v>
      </c>
      <c r="AB20" s="2">
        <f t="shared" si="4"/>
        <v>2.1138710818190823E-11</v>
      </c>
      <c r="AC20" s="2">
        <f t="shared" si="5"/>
        <v>-1.1837450755962966E-11</v>
      </c>
      <c r="AD20" s="2">
        <f t="shared" si="6"/>
        <v>1.52587890625E-5</v>
      </c>
      <c r="AF20" s="2">
        <v>16</v>
      </c>
      <c r="AG20" s="2">
        <f t="shared" si="13"/>
        <v>3015.6097412109375</v>
      </c>
      <c r="AH20" s="2">
        <v>-6.6456630584070808E-3</v>
      </c>
      <c r="AI20" s="2">
        <f t="shared" si="14"/>
        <v>3015.899658203125</v>
      </c>
      <c r="AJ20" s="2">
        <v>0.1112327527148409</v>
      </c>
      <c r="AK20" s="2">
        <f t="shared" si="9"/>
        <v>3015.7546997070312</v>
      </c>
      <c r="AL20" s="2">
        <v>5.2293051368451415E-2</v>
      </c>
      <c r="AM20" s="2">
        <f t="shared" si="10"/>
        <v>-3.4752199969070142E-4</v>
      </c>
      <c r="AN20" s="2">
        <f t="shared" si="11"/>
        <v>5.8167000515714287E-3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0.13999945625245083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8.5962433991049175E-3</v>
      </c>
      <c r="U21" s="2">
        <v>17</v>
      </c>
      <c r="V21" s="2">
        <f t="shared" si="7"/>
        <v>4.673004150390625E-2</v>
      </c>
      <c r="W21" s="2">
        <f t="shared" si="0"/>
        <v>2.1565325875813612E-6</v>
      </c>
      <c r="X21" s="2">
        <f t="shared" si="8"/>
        <v>4.67376708984375E-2</v>
      </c>
      <c r="Y21" s="2">
        <f t="shared" si="1"/>
        <v>-5.4891128583589577E-6</v>
      </c>
      <c r="Z21" s="2">
        <f t="shared" si="3"/>
        <v>4.6733856201171875E-2</v>
      </c>
      <c r="AA21" s="2">
        <f t="shared" si="2"/>
        <v>-1.6662898142533189E-6</v>
      </c>
      <c r="AB21" s="2">
        <f t="shared" si="4"/>
        <v>-3.5934082847921758E-12</v>
      </c>
      <c r="AC21" s="2">
        <f t="shared" si="5"/>
        <v>9.1464528451704524E-12</v>
      </c>
      <c r="AD21" s="2">
        <f t="shared" si="6"/>
        <v>7.62939453125E-6</v>
      </c>
      <c r="AF21" s="2">
        <v>17</v>
      </c>
      <c r="AG21" s="2">
        <f t="shared" si="13"/>
        <v>3015.6097412109375</v>
      </c>
      <c r="AH21" s="2">
        <v>-6.6456630584070808E-3</v>
      </c>
      <c r="AI21" s="2">
        <f t="shared" si="14"/>
        <v>3015.7546997070312</v>
      </c>
      <c r="AJ21" s="2">
        <v>5.2293051368451415E-2</v>
      </c>
      <c r="AK21" s="2">
        <f t="shared" si="9"/>
        <v>3015.6822204589844</v>
      </c>
      <c r="AL21" s="2">
        <v>2.2833736211850919E-2</v>
      </c>
      <c r="AM21" s="2">
        <f t="shared" si="10"/>
        <v>-1.5174531722850969E-4</v>
      </c>
      <c r="AN21" s="2">
        <f t="shared" si="11"/>
        <v>1.1940457406599894E-3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278.94424498479759</v>
      </c>
      <c r="H22" s="25" t="s">
        <v>101</v>
      </c>
      <c r="J22" s="14" t="s">
        <v>112</v>
      </c>
      <c r="K22" s="6">
        <f>$C$55*(0.14*$G$12*1000/745.7)*0.453592</f>
        <v>29.182703641985029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4.673004150390625E-2</v>
      </c>
      <c r="W22" s="2">
        <f t="shared" si="0"/>
        <v>2.1565325875813612E-6</v>
      </c>
      <c r="X22" s="2">
        <f t="shared" si="8"/>
        <v>4.6733856201171875E-2</v>
      </c>
      <c r="Y22" s="2">
        <f t="shared" si="1"/>
        <v>-1.6662898142533189E-6</v>
      </c>
      <c r="Z22" s="2">
        <f t="shared" si="3"/>
        <v>4.6731948852539062E-2</v>
      </c>
      <c r="AA22" s="2">
        <f t="shared" si="2"/>
        <v>2.4512146695049308E-7</v>
      </c>
      <c r="AB22" s="2">
        <f t="shared" si="4"/>
        <v>5.2861243139448599E-13</v>
      </c>
      <c r="AC22" s="2">
        <f t="shared" si="5"/>
        <v>-4.0844340363443816E-13</v>
      </c>
      <c r="AD22" s="2">
        <f t="shared" si="6"/>
        <v>3.814697265625E-6</v>
      </c>
      <c r="AF22" s="2">
        <v>18</v>
      </c>
      <c r="AG22" s="2">
        <f t="shared" si="13"/>
        <v>3015.6097412109375</v>
      </c>
      <c r="AH22" s="2">
        <v>-6.6456630584070808E-3</v>
      </c>
      <c r="AI22" s="2">
        <f t="shared" si="14"/>
        <v>3015.6822204589844</v>
      </c>
      <c r="AJ22" s="2">
        <v>2.2833736211850919E-2</v>
      </c>
      <c r="AK22" s="2">
        <f t="shared" si="9"/>
        <v>3015.6459808349609</v>
      </c>
      <c r="AL22" s="2">
        <v>8.104170966817037E-3</v>
      </c>
      <c r="AM22" s="2">
        <f t="shared" si="10"/>
        <v>-5.385758961319118E-5</v>
      </c>
      <c r="AN22" s="2">
        <f t="shared" si="11"/>
        <v>1.8504850207204105E-4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64.654515923047242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16984.666188795138</v>
      </c>
      <c r="P23" s="6" t="s">
        <v>18</v>
      </c>
      <c r="U23" s="2">
        <v>19</v>
      </c>
      <c r="V23" s="2">
        <f t="shared" si="7"/>
        <v>4.6731948852539062E-2</v>
      </c>
      <c r="W23" s="2">
        <f t="shared" si="0"/>
        <v>2.4512146695049308E-7</v>
      </c>
      <c r="X23" s="2">
        <f t="shared" si="8"/>
        <v>4.6733856201171875E-2</v>
      </c>
      <c r="Y23" s="2">
        <f t="shared" si="1"/>
        <v>-1.6662898142533189E-6</v>
      </c>
      <c r="Z23" s="2">
        <f t="shared" si="3"/>
        <v>4.6732902526855469E-2</v>
      </c>
      <c r="AA23" s="2">
        <f t="shared" si="2"/>
        <v>-7.1058415358066229E-7</v>
      </c>
      <c r="AB23" s="2">
        <f t="shared" si="4"/>
        <v>-1.7417943011746642E-13</v>
      </c>
      <c r="AC23" s="2">
        <f t="shared" si="5"/>
        <v>1.1840391372812735E-12</v>
      </c>
      <c r="AD23" s="2">
        <f t="shared" si="6"/>
        <v>1.9073486328125E-6</v>
      </c>
      <c r="AF23" s="2">
        <v>19</v>
      </c>
      <c r="AG23" s="2">
        <f t="shared" si="13"/>
        <v>3015.6097412109375</v>
      </c>
      <c r="AH23" s="2">
        <v>-6.6456630584070808E-3</v>
      </c>
      <c r="AI23" s="2">
        <f t="shared" si="14"/>
        <v>3015.6459808349609</v>
      </c>
      <c r="AJ23" s="2">
        <v>8.104170966817037E-3</v>
      </c>
      <c r="AK23" s="2">
        <f t="shared" si="9"/>
        <v>3015.6278610229492</v>
      </c>
      <c r="AL23" s="2">
        <v>7.2924619644254562E-4</v>
      </c>
      <c r="AM23" s="2">
        <f t="shared" si="10"/>
        <v>-4.8463245081820986E-6</v>
      </c>
      <c r="AN23" s="2">
        <f t="shared" si="11"/>
        <v>5.9099358528714317E-6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 xml:space="preserve"> $C$56 * (11.5 * ($C$5*2.20462/1000)^0.4 * 0.453592)</f>
        <v>8.902999401805145</v>
      </c>
      <c r="L24" s="6" t="s">
        <v>7</v>
      </c>
      <c r="N24" s="6" t="s">
        <v>31</v>
      </c>
      <c r="O24" s="18">
        <f>Z34</f>
        <v>4.6732193324714899E-2</v>
      </c>
      <c r="U24" s="2">
        <v>20</v>
      </c>
      <c r="V24" s="2">
        <f t="shared" si="7"/>
        <v>4.6731948852539062E-2</v>
      </c>
      <c r="W24" s="2">
        <f t="shared" si="0"/>
        <v>2.4512146695049308E-7</v>
      </c>
      <c r="X24" s="2">
        <f t="shared" si="8"/>
        <v>4.6732902526855469E-2</v>
      </c>
      <c r="Y24" s="2">
        <f t="shared" si="1"/>
        <v>-7.1058415358066229E-7</v>
      </c>
      <c r="Z24" s="2">
        <f t="shared" si="3"/>
        <v>4.6732425689697266E-2</v>
      </c>
      <c r="AA24" s="2">
        <f t="shared" si="2"/>
        <v>-2.3273133829826431E-7</v>
      </c>
      <c r="AB24" s="2">
        <f t="shared" si="4"/>
        <v>-5.7047447049022019E-14</v>
      </c>
      <c r="AC24" s="2">
        <f t="shared" si="5"/>
        <v>1.6537520103636691E-13</v>
      </c>
      <c r="AD24" s="2">
        <f t="shared" si="6"/>
        <v>9.5367431640625E-7</v>
      </c>
      <c r="AF24" s="2">
        <v>20</v>
      </c>
      <c r="AG24" s="2">
        <f t="shared" si="13"/>
        <v>3015.6097412109375</v>
      </c>
      <c r="AH24" s="2">
        <v>-6.6456630584070808E-3</v>
      </c>
      <c r="AI24" s="2">
        <f t="shared" si="14"/>
        <v>3015.6278610229492</v>
      </c>
      <c r="AJ24" s="2">
        <v>7.2924619644254562E-4</v>
      </c>
      <c r="AK24" s="2">
        <f t="shared" si="9"/>
        <v>3015.6188011169434</v>
      </c>
      <c r="AL24" s="2">
        <v>-2.9480451694325893E-3</v>
      </c>
      <c r="AM24" s="2">
        <f t="shared" si="10"/>
        <v>1.9591714877013603E-5</v>
      </c>
      <c r="AN24" s="2">
        <f t="shared" si="11"/>
        <v>-2.1498507267495358E-6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19.299855499417092</v>
      </c>
      <c r="L25" s="6" t="s">
        <v>7</v>
      </c>
      <c r="N25" s="6" t="s">
        <v>32</v>
      </c>
      <c r="O25" s="6">
        <f xml:space="preserve"> O19 * $C$9 * O24 - $C$8 * SIN(O17/180*PI())</f>
        <v>1.3938031766053323</v>
      </c>
      <c r="P25" s="6" t="s">
        <v>10</v>
      </c>
      <c r="U25" s="2">
        <v>21</v>
      </c>
      <c r="V25" s="2">
        <f t="shared" si="7"/>
        <v>4.6731948852539062E-2</v>
      </c>
      <c r="W25" s="2">
        <f t="shared" si="0"/>
        <v>2.4512146695049308E-7</v>
      </c>
      <c r="X25" s="2">
        <f t="shared" si="8"/>
        <v>4.6732425689697266E-2</v>
      </c>
      <c r="Y25" s="2">
        <f t="shared" si="1"/>
        <v>-2.3273133829826431E-7</v>
      </c>
      <c r="Z25" s="2">
        <f t="shared" si="3"/>
        <v>4.6732187271118164E-2</v>
      </c>
      <c r="AA25" s="2">
        <f t="shared" si="2"/>
        <v>6.1950655785847353E-9</v>
      </c>
      <c r="AB25" s="2">
        <f t="shared" si="4"/>
        <v>1.5185435624771956E-15</v>
      </c>
      <c r="AC25" s="2">
        <f t="shared" si="5"/>
        <v>-1.4417859029495366E-15</v>
      </c>
      <c r="AD25" s="2">
        <f t="shared" si="6"/>
        <v>4.76837158203125E-7</v>
      </c>
      <c r="AF25" s="2">
        <v>21</v>
      </c>
      <c r="AG25" s="2">
        <f t="shared" si="13"/>
        <v>3015.6188011169434</v>
      </c>
      <c r="AH25" s="2">
        <v>-2.9480451694325893E-3</v>
      </c>
      <c r="AI25" s="2">
        <f t="shared" si="14"/>
        <v>3015.6278610229492</v>
      </c>
      <c r="AJ25" s="2">
        <v>7.2924619644254562E-4</v>
      </c>
      <c r="AK25" s="2">
        <f t="shared" si="9"/>
        <v>3015.6233310699463</v>
      </c>
      <c r="AL25" s="2">
        <v>-1.1093999628428719E-3</v>
      </c>
      <c r="AM25" s="2">
        <f t="shared" si="10"/>
        <v>3.2705612014276227E-6</v>
      </c>
      <c r="AN25" s="2">
        <f t="shared" si="11"/>
        <v>-8.0902570323666573E-7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55.362908767337871</v>
      </c>
      <c r="L26" s="6" t="s">
        <v>7</v>
      </c>
      <c r="N26" s="6" t="s">
        <v>33</v>
      </c>
      <c r="O26" s="6">
        <f xml:space="preserve"> 1/$C$21 - O23 * SQRT( (2*$C$47*PI()*$C$9^2) / O18^3 )</f>
        <v>1.0965842876381697</v>
      </c>
      <c r="U26" s="2">
        <v>22</v>
      </c>
      <c r="V26" s="2">
        <f t="shared" si="7"/>
        <v>4.6732187271118164E-2</v>
      </c>
      <c r="W26" s="2">
        <f t="shared" si="0"/>
        <v>6.1950655785847353E-9</v>
      </c>
      <c r="X26" s="2">
        <f t="shared" si="8"/>
        <v>4.6732425689697266E-2</v>
      </c>
      <c r="Y26" s="2">
        <f t="shared" si="1"/>
        <v>-2.3273133829826431E-7</v>
      </c>
      <c r="Z26" s="2">
        <f t="shared" si="3"/>
        <v>4.6732306480407715E-2</v>
      </c>
      <c r="AA26" s="2">
        <f t="shared" si="2"/>
        <v>-1.1326813604412012E-7</v>
      </c>
      <c r="AB26" s="2">
        <f t="shared" si="4"/>
        <v>-7.0170353075738151E-16</v>
      </c>
      <c r="AC26" s="2">
        <f t="shared" si="5"/>
        <v>2.6361044888097943E-14</v>
      </c>
      <c r="AD26" s="2">
        <f t="shared" si="6"/>
        <v>2.384185791015625E-7</v>
      </c>
      <c r="AF26" s="2">
        <v>22</v>
      </c>
      <c r="AG26" s="2">
        <f t="shared" si="13"/>
        <v>3015.6233310699463</v>
      </c>
      <c r="AH26" s="2">
        <v>-1.1093999628428719E-3</v>
      </c>
      <c r="AI26" s="2">
        <f t="shared" si="14"/>
        <v>3015.6278610229492</v>
      </c>
      <c r="AJ26" s="2">
        <v>7.2924619644254562E-4</v>
      </c>
      <c r="AK26" s="2">
        <f t="shared" si="9"/>
        <v>3015.6255960464478</v>
      </c>
      <c r="AL26" s="2">
        <v>-1.900770030260901E-4</v>
      </c>
      <c r="AM26" s="2">
        <f t="shared" si="10"/>
        <v>2.1087142009442879E-7</v>
      </c>
      <c r="AN26" s="2">
        <f t="shared" si="11"/>
        <v>-1.3861293148797445E-7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-9.6115928622566571E-3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4.6732187271118164E-2</v>
      </c>
      <c r="W27" s="2">
        <f t="shared" si="0"/>
        <v>6.1950655785847353E-9</v>
      </c>
      <c r="X27" s="2">
        <f t="shared" si="8"/>
        <v>4.6732306480407715E-2</v>
      </c>
      <c r="Y27" s="2">
        <f t="shared" si="1"/>
        <v>-1.1326813604412012E-7</v>
      </c>
      <c r="Z27" s="2">
        <f t="shared" si="3"/>
        <v>4.6732246875762939E-2</v>
      </c>
      <c r="AA27" s="2">
        <f t="shared" si="2"/>
        <v>-5.3536535156439857E-8</v>
      </c>
      <c r="AB27" s="2">
        <f t="shared" si="4"/>
        <v>-3.3166234614435212E-16</v>
      </c>
      <c r="AC27" s="2">
        <f t="shared" si="5"/>
        <v>6.0639835474304494E-15</v>
      </c>
      <c r="AD27" s="2">
        <f t="shared" si="6"/>
        <v>1.1920928955078125E-7</v>
      </c>
      <c r="AF27" s="2">
        <v>23</v>
      </c>
      <c r="AG27" s="2">
        <f t="shared" si="13"/>
        <v>3015.6255960464478</v>
      </c>
      <c r="AH27" s="2">
        <v>-1.900770030260901E-4</v>
      </c>
      <c r="AI27" s="2">
        <f t="shared" si="14"/>
        <v>3015.6278610229492</v>
      </c>
      <c r="AJ27" s="2">
        <v>7.2924619644254562E-4</v>
      </c>
      <c r="AK27" s="2">
        <f t="shared" si="9"/>
        <v>3015.6267285346985</v>
      </c>
      <c r="AL27" s="2">
        <v>2.6958456601278158E-4</v>
      </c>
      <c r="AM27" s="2">
        <f t="shared" si="10"/>
        <v>-5.124182636979867E-8</v>
      </c>
      <c r="AN27" s="2">
        <f t="shared" si="11"/>
        <v>1.9659351938443532E-7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7389.3501442245088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1.1561162007534529</v>
      </c>
      <c r="U28" s="2">
        <v>24</v>
      </c>
      <c r="V28" s="2">
        <f t="shared" si="7"/>
        <v>4.6732187271118164E-2</v>
      </c>
      <c r="W28" s="2">
        <f t="shared" si="0"/>
        <v>6.1950655785847353E-9</v>
      </c>
      <c r="X28" s="2">
        <f t="shared" si="8"/>
        <v>4.6732246875762939E-2</v>
      </c>
      <c r="Y28" s="2">
        <f t="shared" si="1"/>
        <v>-5.3536535156439857E-8</v>
      </c>
      <c r="Z28" s="2">
        <f t="shared" si="3"/>
        <v>4.6732217073440552E-2</v>
      </c>
      <c r="AA28" s="2">
        <f t="shared" si="2"/>
        <v>-2.3670734768110879E-8</v>
      </c>
      <c r="AB28" s="2">
        <f t="shared" si="4"/>
        <v>-1.4664175418173264E-16</v>
      </c>
      <c r="AC28" s="2">
        <f t="shared" si="5"/>
        <v>1.2672491240917314E-15</v>
      </c>
      <c r="AD28" s="2">
        <f t="shared" si="6"/>
        <v>5.9604644775390625E-8</v>
      </c>
      <c r="AF28" s="2">
        <v>24</v>
      </c>
      <c r="AG28" s="2">
        <f t="shared" si="13"/>
        <v>3015.6255960464478</v>
      </c>
      <c r="AH28" s="2">
        <v>-1.900770030260901E-4</v>
      </c>
      <c r="AI28" s="2">
        <f t="shared" si="14"/>
        <v>3015.6267285346985</v>
      </c>
      <c r="AJ28" s="2">
        <v>2.6958456601278158E-4</v>
      </c>
      <c r="AK28" s="2">
        <f t="shared" si="9"/>
        <v>3015.6261622905731</v>
      </c>
      <c r="AL28" s="2">
        <v>2.9588547022285638E-5</v>
      </c>
      <c r="AM28" s="2">
        <f t="shared" si="10"/>
        <v>-5.624102341892596E-9</v>
      </c>
      <c r="AN28" s="2">
        <f t="shared" si="11"/>
        <v>7.9766156079516549E-9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93.745339805351222</v>
      </c>
      <c r="H29" t="s">
        <v>18</v>
      </c>
      <c r="U29" s="2">
        <v>25</v>
      </c>
      <c r="V29" s="2">
        <f t="shared" si="7"/>
        <v>4.6732187271118164E-2</v>
      </c>
      <c r="W29" s="2">
        <f t="shared" si="0"/>
        <v>6.1950655785847353E-9</v>
      </c>
      <c r="X29" s="2">
        <f t="shared" si="8"/>
        <v>4.6732217073440552E-2</v>
      </c>
      <c r="Y29" s="2">
        <f t="shared" si="1"/>
        <v>-2.3670734768110879E-8</v>
      </c>
      <c r="Z29" s="2">
        <f t="shared" si="3"/>
        <v>4.6732202172279358E-2</v>
      </c>
      <c r="AA29" s="2">
        <f t="shared" si="2"/>
        <v>-8.7378345878241781E-9</v>
      </c>
      <c r="AB29" s="2">
        <f t="shared" si="4"/>
        <v>-5.4131458286396701E-17</v>
      </c>
      <c r="AC29" s="2">
        <f t="shared" si="5"/>
        <v>2.0683096497601158E-16</v>
      </c>
      <c r="AD29" s="2">
        <f t="shared" si="6"/>
        <v>2.9802322387695312E-8</v>
      </c>
      <c r="AF29" s="2">
        <v>25</v>
      </c>
      <c r="AG29" s="2">
        <f t="shared" si="13"/>
        <v>3015.6255960464478</v>
      </c>
      <c r="AH29" s="2">
        <v>-1.900770030260901E-4</v>
      </c>
      <c r="AI29" s="2">
        <f t="shared" si="14"/>
        <v>3015.6261622905731</v>
      </c>
      <c r="AJ29" s="2">
        <v>2.9588547022285638E-5</v>
      </c>
      <c r="AK29" s="2">
        <f t="shared" si="9"/>
        <v>3015.6258791685104</v>
      </c>
      <c r="AL29" s="2">
        <v>-7.0079001034173416E-5</v>
      </c>
      <c r="AM29" s="2">
        <f t="shared" si="10"/>
        <v>1.3320406491637952E-8</v>
      </c>
      <c r="AN29" s="2">
        <f t="shared" si="11"/>
        <v>-2.0735358173744442E-9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8.0420062161100141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4.6732187271118164E-2</v>
      </c>
      <c r="W30" s="2">
        <f t="shared" si="0"/>
        <v>6.1950655785847353E-9</v>
      </c>
      <c r="X30" s="2">
        <f t="shared" si="8"/>
        <v>4.6732202172279358E-2</v>
      </c>
      <c r="Y30" s="2">
        <f t="shared" si="1"/>
        <v>-8.7378345878241781E-9</v>
      </c>
      <c r="Z30" s="2">
        <f t="shared" si="3"/>
        <v>4.6732194721698761E-2</v>
      </c>
      <c r="AA30" s="2">
        <f t="shared" si="2"/>
        <v>-1.2713845046197214E-9</v>
      </c>
      <c r="AB30" s="2">
        <f t="shared" si="4"/>
        <v>-7.8763103817156418E-18</v>
      </c>
      <c r="AC30" s="2">
        <f t="shared" si="5"/>
        <v>1.1109147498889911E-17</v>
      </c>
      <c r="AD30" s="2">
        <f t="shared" si="6"/>
        <v>1.4901161193847656E-8</v>
      </c>
      <c r="AF30" s="2">
        <v>26</v>
      </c>
      <c r="AG30" s="2">
        <f t="shared" si="13"/>
        <v>3015.6258791685104</v>
      </c>
      <c r="AH30" s="2">
        <v>-7.0079001034173416E-5</v>
      </c>
      <c r="AI30" s="2">
        <f t="shared" si="14"/>
        <v>3015.6261622905731</v>
      </c>
      <c r="AJ30" s="2">
        <v>2.9588547022285638E-5</v>
      </c>
      <c r="AK30" s="2">
        <f t="shared" si="9"/>
        <v>3015.6260207295418</v>
      </c>
      <c r="AL30" s="2">
        <v>-1.0079998901346698E-5</v>
      </c>
      <c r="AM30" s="2">
        <f t="shared" si="10"/>
        <v>7.0639625343194217E-10</v>
      </c>
      <c r="AN30" s="2">
        <f t="shared" si="11"/>
        <v>-2.9825252147708436E-10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374.98135922140489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4.6732187271118164E-2</v>
      </c>
      <c r="W31" s="2">
        <f t="shared" si="0"/>
        <v>6.1950655785847353E-9</v>
      </c>
      <c r="X31" s="2">
        <f t="shared" si="8"/>
        <v>4.6732194721698761E-2</v>
      </c>
      <c r="Y31" s="2">
        <f t="shared" si="1"/>
        <v>-1.2713845046197214E-9</v>
      </c>
      <c r="Z31" s="2">
        <f t="shared" si="3"/>
        <v>4.6732190996408463E-2</v>
      </c>
      <c r="AA31" s="2">
        <f t="shared" si="2"/>
        <v>2.4618405369825069E-9</v>
      </c>
      <c r="AB31" s="2">
        <f t="shared" si="4"/>
        <v>1.525126357062489E-17</v>
      </c>
      <c r="AC31" s="2">
        <f t="shared" si="5"/>
        <v>-3.1299459115642533E-18</v>
      </c>
      <c r="AD31" s="2">
        <f t="shared" si="6"/>
        <v>7.4505805969238281E-9</v>
      </c>
      <c r="AF31" s="2">
        <v>27</v>
      </c>
      <c r="AG31" s="2">
        <f t="shared" si="13"/>
        <v>3015.6260207295418</v>
      </c>
      <c r="AH31" s="2">
        <v>-1.0079998901346698E-5</v>
      </c>
      <c r="AI31" s="2">
        <f t="shared" si="14"/>
        <v>3015.6261622905731</v>
      </c>
      <c r="AJ31" s="2">
        <v>2.9588547022285638E-5</v>
      </c>
      <c r="AK31" s="2">
        <f t="shared" si="9"/>
        <v>3015.6260915100574</v>
      </c>
      <c r="AL31" s="2">
        <v>9.7542742878431454E-6</v>
      </c>
      <c r="AM31" s="2">
        <f t="shared" si="10"/>
        <v>-9.8323074104893255E-11</v>
      </c>
      <c r="AN31" s="2">
        <f t="shared" si="11"/>
        <v>2.8861480343411867E-10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1409.82</v>
      </c>
      <c r="L32" s="6" t="s">
        <v>7</v>
      </c>
      <c r="U32" s="2">
        <v>28</v>
      </c>
      <c r="V32" s="2">
        <f t="shared" si="7"/>
        <v>4.6732190996408463E-2</v>
      </c>
      <c r="W32" s="2">
        <f t="shared" si="0"/>
        <v>2.4618405369825069E-9</v>
      </c>
      <c r="X32" s="2">
        <f t="shared" si="8"/>
        <v>4.6732194721698761E-2</v>
      </c>
      <c r="Y32" s="2">
        <f t="shared" si="1"/>
        <v>-1.2713845046197214E-9</v>
      </c>
      <c r="Z32" s="2">
        <f t="shared" si="3"/>
        <v>4.6732192859053612E-2</v>
      </c>
      <c r="AA32" s="2">
        <f t="shared" si="2"/>
        <v>5.9522801965083971E-10</v>
      </c>
      <c r="AB32" s="2">
        <f t="shared" si="4"/>
        <v>1.4653564675242574E-18</v>
      </c>
      <c r="AC32" s="2">
        <f t="shared" si="5"/>
        <v>-7.5676368089956065E-19</v>
      </c>
      <c r="AD32" s="2">
        <f t="shared" si="6"/>
        <v>3.7252902984619141E-9</v>
      </c>
      <c r="AF32" s="2">
        <v>28</v>
      </c>
      <c r="AG32" s="2">
        <f t="shared" si="13"/>
        <v>3015.6260207295418</v>
      </c>
      <c r="AH32" s="2">
        <v>-1.0079998901346698E-5</v>
      </c>
      <c r="AI32" s="2">
        <f t="shared" si="14"/>
        <v>3015.6260915100574</v>
      </c>
      <c r="AJ32" s="2">
        <v>9.7542742878431454E-6</v>
      </c>
      <c r="AK32" s="2">
        <f t="shared" si="9"/>
        <v>3015.6260561197996</v>
      </c>
      <c r="AL32" s="2">
        <v>-1.628618520044256E-7</v>
      </c>
      <c r="AM32" s="2">
        <f t="shared" si="10"/>
        <v>1.6416472892758986E-12</v>
      </c>
      <c r="AN32" s="2">
        <f t="shared" si="11"/>
        <v>-1.5885991754772843E-12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656.69</v>
      </c>
      <c r="L33" s="6" t="s">
        <v>7</v>
      </c>
      <c r="U33" s="2">
        <v>29</v>
      </c>
      <c r="V33" s="2">
        <f t="shared" si="7"/>
        <v>4.6732192859053612E-2</v>
      </c>
      <c r="W33" s="2">
        <f t="shared" si="0"/>
        <v>5.9522801965083971E-10</v>
      </c>
      <c r="X33" s="2">
        <f t="shared" si="8"/>
        <v>4.6732194721698761E-2</v>
      </c>
      <c r="Y33" s="2">
        <f t="shared" si="1"/>
        <v>-1.2713845046197214E-9</v>
      </c>
      <c r="Z33" s="2">
        <f t="shared" si="3"/>
        <v>4.6732193790376186E-2</v>
      </c>
      <c r="AA33" s="2">
        <f t="shared" si="2"/>
        <v>-3.380782459538878E-10</v>
      </c>
      <c r="AB33" s="2">
        <f t="shared" si="4"/>
        <v>-2.0123364482616215E-19</v>
      </c>
      <c r="AC33" s="2">
        <f t="shared" si="5"/>
        <v>4.2982744325478798E-19</v>
      </c>
      <c r="AD33" s="2">
        <f t="shared" si="6"/>
        <v>1.862645149230957E-9</v>
      </c>
      <c r="AF33" s="2">
        <v>29</v>
      </c>
      <c r="AG33" s="2">
        <f t="shared" si="13"/>
        <v>3015.6260561197996</v>
      </c>
      <c r="AH33" s="2">
        <v>-1.628618520044256E-7</v>
      </c>
      <c r="AI33" s="2">
        <f t="shared" si="14"/>
        <v>3015.6260915100574</v>
      </c>
      <c r="AJ33" s="2">
        <v>9.7542742878431454E-6</v>
      </c>
      <c r="AK33" s="2">
        <f t="shared" si="9"/>
        <v>3015.6260738149285</v>
      </c>
      <c r="AL33" s="2">
        <v>4.7957069000403862E-6</v>
      </c>
      <c r="AM33" s="2">
        <f t="shared" si="10"/>
        <v>-7.8103770741098006E-13</v>
      </c>
      <c r="AN33" s="2">
        <f t="shared" si="11"/>
        <v>4.6778640507095897E-11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200.88</v>
      </c>
      <c r="L34" s="6" t="s">
        <v>7</v>
      </c>
      <c r="U34" s="2">
        <v>30</v>
      </c>
      <c r="V34" s="2">
        <f t="shared" si="7"/>
        <v>4.6732192859053612E-2</v>
      </c>
      <c r="W34" s="2">
        <f t="shared" si="0"/>
        <v>5.9522801965083971E-10</v>
      </c>
      <c r="X34" s="2">
        <f t="shared" si="8"/>
        <v>4.6732193790376186E-2</v>
      </c>
      <c r="Y34" s="2">
        <f t="shared" si="1"/>
        <v>-3.380782459538878E-10</v>
      </c>
      <c r="Z34" s="2">
        <f t="shared" si="3"/>
        <v>4.6732193324714899E-2</v>
      </c>
      <c r="AA34" s="2">
        <f t="shared" si="2"/>
        <v>1.2857488684847596E-10</v>
      </c>
      <c r="AB34" s="2">
        <f t="shared" si="4"/>
        <v>7.6531375275649139E-20</v>
      </c>
      <c r="AC34" s="2">
        <f t="shared" si="5"/>
        <v>-4.3468372219452348E-20</v>
      </c>
      <c r="AD34" s="2">
        <f>X34-V34</f>
        <v>9.3132257461547852E-10</v>
      </c>
      <c r="AF34" s="2">
        <v>30</v>
      </c>
      <c r="AG34" s="2">
        <f t="shared" si="13"/>
        <v>3015.6260561197996</v>
      </c>
      <c r="AH34" s="2">
        <v>-1.628618520044256E-7</v>
      </c>
      <c r="AI34" s="2">
        <f t="shared" si="14"/>
        <v>3015.6260738149285</v>
      </c>
      <c r="AJ34" s="2">
        <v>4.7957069000403862E-6</v>
      </c>
      <c r="AK34" s="2">
        <f t="shared" si="9"/>
        <v>3015.6260649673641</v>
      </c>
      <c r="AL34" s="2">
        <v>2.3164207050285768E-6</v>
      </c>
      <c r="AM34" s="2">
        <f t="shared" si="10"/>
        <v>-3.7725656604235128E-13</v>
      </c>
      <c r="AN34" s="2">
        <f t="shared" si="11"/>
        <v>1.1108874758501962E-11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278.94424498479759</v>
      </c>
      <c r="H35" s="25" t="s">
        <v>101</v>
      </c>
      <c r="J35" s="15" t="s">
        <v>70</v>
      </c>
      <c r="K35" s="6">
        <f>ROUND(SUM(K23:K26),2)</f>
        <v>148.22</v>
      </c>
      <c r="L35" s="6" t="s">
        <v>7</v>
      </c>
      <c r="AF35" s="2">
        <v>31</v>
      </c>
      <c r="AG35" s="2">
        <f t="shared" si="13"/>
        <v>3015.6260561197996</v>
      </c>
      <c r="AH35" s="2">
        <v>-1.628618520044256E-7</v>
      </c>
      <c r="AI35" s="2">
        <f t="shared" si="14"/>
        <v>3015.6260649673641</v>
      </c>
      <c r="AJ35" s="2">
        <v>2.3164207050285768E-6</v>
      </c>
      <c r="AK35" s="2">
        <f t="shared" si="9"/>
        <v>3015.6260605435818</v>
      </c>
      <c r="AL35" s="2">
        <v>1.0767780622700229E-6</v>
      </c>
      <c r="AM35" s="2">
        <f t="shared" si="10"/>
        <v>-1.7536606941903265E-13</v>
      </c>
      <c r="AN35" s="2">
        <f t="shared" si="11"/>
        <v>2.4942709981628313E-12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3015.61</v>
      </c>
      <c r="L36" s="6" t="s">
        <v>7</v>
      </c>
      <c r="AF36" s="2">
        <v>32</v>
      </c>
      <c r="AG36" s="2">
        <f t="shared" si="13"/>
        <v>3015.6260561197996</v>
      </c>
      <c r="AH36" s="2">
        <v>-1.628618520044256E-7</v>
      </c>
      <c r="AI36" s="2">
        <f t="shared" si="14"/>
        <v>3015.6260605435818</v>
      </c>
      <c r="AJ36" s="2">
        <v>1.0767780622700229E-6</v>
      </c>
      <c r="AK36" s="2">
        <f t="shared" si="9"/>
        <v>3015.6260583316907</v>
      </c>
      <c r="AL36" s="2">
        <v>4.5695742301177233E-7</v>
      </c>
      <c r="AM36" s="2">
        <f t="shared" si="10"/>
        <v>-7.4420932198866971E-14</v>
      </c>
      <c r="AN36" s="2">
        <f t="shared" si="11"/>
        <v>4.920417284905194E-13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3015.6260561197996</v>
      </c>
      <c r="AH37" s="2">
        <v>-1.628618520044256E-7</v>
      </c>
      <c r="AI37" s="2">
        <f t="shared" si="14"/>
        <v>3015.6260583316907</v>
      </c>
      <c r="AJ37" s="2">
        <v>4.5695742301177233E-7</v>
      </c>
      <c r="AK37" s="2">
        <f t="shared" si="9"/>
        <v>3015.6260572257452</v>
      </c>
      <c r="AL37" s="2">
        <v>1.4704664863529615E-7</v>
      </c>
      <c r="AM37" s="2">
        <f t="shared" si="10"/>
        <v>-2.3948289527788373E-14</v>
      </c>
      <c r="AN37" s="2">
        <f t="shared" si="11"/>
        <v>6.7194057622902478E-14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3015.6260561197996</v>
      </c>
      <c r="AH38" s="2">
        <v>-1.628618520044256E-7</v>
      </c>
      <c r="AI38" s="2">
        <f t="shared" si="14"/>
        <v>3015.6260572257452</v>
      </c>
      <c r="AJ38" s="2">
        <v>1.4704664863529615E-7</v>
      </c>
      <c r="AK38" s="2">
        <f t="shared" si="9"/>
        <v>3015.6260566727724</v>
      </c>
      <c r="AL38" s="2">
        <v>-7.9076016845647246E-9</v>
      </c>
      <c r="AM38" s="2">
        <f t="shared" si="10"/>
        <v>1.2878466552615267E-15</v>
      </c>
      <c r="AN38" s="2">
        <f t="shared" si="11"/>
        <v>-1.162786326458065E-15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19.899999999999999</v>
      </c>
      <c r="L39" s="6" t="s">
        <v>58</v>
      </c>
      <c r="AF39" s="2">
        <v>35</v>
      </c>
      <c r="AG39" s="2">
        <f t="shared" si="13"/>
        <v>3015.6260566727724</v>
      </c>
      <c r="AH39" s="2">
        <v>-7.9076016845647246E-9</v>
      </c>
      <c r="AI39" s="2">
        <f t="shared" si="14"/>
        <v>3015.6260572257452</v>
      </c>
      <c r="AJ39" s="2">
        <v>1.4704664863529615E-7</v>
      </c>
      <c r="AK39" s="2">
        <f t="shared" si="9"/>
        <v>3015.6260569492588</v>
      </c>
      <c r="AL39" s="2">
        <v>6.9569523475365713E-8</v>
      </c>
      <c r="AM39" s="2">
        <f t="shared" si="10"/>
        <v>-5.5012808102816707E-16</v>
      </c>
      <c r="AN39" s="2">
        <f t="shared" si="11"/>
        <v>1.0229965274207089E-14</v>
      </c>
      <c r="AO39" s="2">
        <f t="shared" si="12"/>
        <v>5.5297277867794037E-7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46.75</v>
      </c>
      <c r="L40" s="6" t="s">
        <v>58</v>
      </c>
      <c r="AF40" s="2">
        <v>36</v>
      </c>
      <c r="AG40" s="2">
        <f t="shared" si="13"/>
        <v>3015.6260566727724</v>
      </c>
      <c r="AH40" s="2">
        <v>-7.9076016845647246E-9</v>
      </c>
      <c r="AI40" s="2">
        <f t="shared" si="14"/>
        <v>3015.6260569492588</v>
      </c>
      <c r="AJ40" s="2">
        <v>6.9569523475365713E-8</v>
      </c>
      <c r="AK40" s="2">
        <f t="shared" si="9"/>
        <v>3015.6260568110156</v>
      </c>
      <c r="AL40" s="2">
        <v>3.0831870390102267E-8</v>
      </c>
      <c r="AM40" s="2">
        <f t="shared" si="10"/>
        <v>-2.4380615023505394E-16</v>
      </c>
      <c r="AN40" s="2">
        <f t="shared" si="11"/>
        <v>2.1449585308936527E-15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21.78</v>
      </c>
      <c r="L41" s="6" t="s">
        <v>58</v>
      </c>
      <c r="AF41" s="2">
        <v>37</v>
      </c>
      <c r="AG41" s="2">
        <f t="shared" si="13"/>
        <v>3015.6260566727724</v>
      </c>
      <c r="AH41" s="2">
        <v>-7.9076016845647246E-9</v>
      </c>
      <c r="AI41" s="2">
        <f t="shared" si="14"/>
        <v>3015.6260568110156</v>
      </c>
      <c r="AJ41" s="2">
        <v>3.0831870390102267E-8</v>
      </c>
      <c r="AK41" s="2">
        <f t="shared" si="9"/>
        <v>3015.626056741894</v>
      </c>
      <c r="AL41" s="2">
        <v>1.1460997484391555E-8</v>
      </c>
      <c r="AM41" s="2">
        <f t="shared" si="10"/>
        <v>-9.0629003014366732E-17</v>
      </c>
      <c r="AN41" s="2">
        <f t="shared" si="11"/>
        <v>3.5336398898004856E-16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6.66</v>
      </c>
      <c r="L42" s="6" t="s">
        <v>58</v>
      </c>
      <c r="AF42" s="2">
        <v>38</v>
      </c>
      <c r="AG42" s="2">
        <f t="shared" si="13"/>
        <v>3015.6260566727724</v>
      </c>
      <c r="AH42" s="2">
        <v>-7.9076016845647246E-9</v>
      </c>
      <c r="AI42" s="2">
        <f t="shared" si="14"/>
        <v>3015.626056741894</v>
      </c>
      <c r="AJ42" s="2">
        <v>1.1460997484391555E-8</v>
      </c>
      <c r="AK42" s="2">
        <f t="shared" si="9"/>
        <v>3015.6260567073332</v>
      </c>
      <c r="AL42" s="2">
        <v>1.7753336578607559E-9</v>
      </c>
      <c r="AM42" s="2">
        <f t="shared" si="10"/>
        <v>-1.4038631423564168E-17</v>
      </c>
      <c r="AN42" s="2">
        <f t="shared" si="11"/>
        <v>2.0347094586697782E-17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4.92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3015.6260566727724</v>
      </c>
      <c r="AH43" s="2">
        <v>-7.9076016845647246E-9</v>
      </c>
      <c r="AI43" s="2">
        <f t="shared" si="14"/>
        <v>3015.6260567073332</v>
      </c>
      <c r="AJ43" s="2">
        <v>1.7753336578607559E-9</v>
      </c>
      <c r="AK43" s="2">
        <f t="shared" si="9"/>
        <v>3015.6260566900528</v>
      </c>
      <c r="AL43" s="2">
        <v>-3.0663613870274276E-9</v>
      </c>
      <c r="AM43" s="2">
        <f t="shared" si="10"/>
        <v>2.4247564469542311E-17</v>
      </c>
      <c r="AN43" s="2">
        <f t="shared" si="11"/>
        <v>-5.443814577554384E-18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100.01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3015.6260566900528</v>
      </c>
      <c r="AH44" s="2">
        <v>-3.0663613870274276E-9</v>
      </c>
      <c r="AI44" s="2">
        <f t="shared" si="14"/>
        <v>3015.6260567073332</v>
      </c>
      <c r="AJ44" s="2">
        <v>1.7753336578607559E-9</v>
      </c>
      <c r="AK44" s="5">
        <f>(AG44+AI44)/2</f>
        <v>3015.626056698693</v>
      </c>
      <c r="AL44" s="2">
        <v>-6.4437699620611966E-10</v>
      </c>
      <c r="AM44" s="2">
        <f t="shared" si="10"/>
        <v>1.9758927398551645E-18</v>
      </c>
      <c r="AN44" s="2">
        <f t="shared" si="11"/>
        <v>-1.1439841697159369E-18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3408.7597635778266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19.899999999999999</v>
      </c>
      <c r="L47" s="6" t="s">
        <v>58</v>
      </c>
      <c r="N47" s="6" t="s">
        <v>154</v>
      </c>
      <c r="O47" s="6">
        <f>0.377*O46^0.6945</f>
        <v>107.08522325633821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46.75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33.35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47" priority="1" operator="containsText" text="FALSE">
      <formula>NOT(ISERROR(SEARCH("FALSE",K28)))</formula>
    </cfRule>
    <cfRule type="containsText" dxfId="46" priority="2" operator="containsText" text="TRUE">
      <formula>NOT(ISERROR(SEARCH("TRUE",K28)))</formula>
    </cfRule>
    <cfRule type="cellIs" dxfId="45" priority="3" operator="equal">
      <formula>1</formula>
    </cfRule>
    <cfRule type="cellIs" dxfId="44" priority="4" operator="equal">
      <formula>TRUE</formula>
    </cfRule>
    <cfRule type="containsText" dxfId="43" priority="5" operator="containsText" text="YES">
      <formula>NOT(ISERROR(SEARCH("YES",K28)))</formula>
    </cfRule>
    <cfRule type="cellIs" dxfId="4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5CEE-80A2-D348-8290-F5D3DEF324D6}">
  <dimension ref="B1:AO56"/>
  <sheetViews>
    <sheetView topLeftCell="A2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367.97146947468826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5.6217725727963463E-2</v>
      </c>
      <c r="X4" s="3">
        <v>1</v>
      </c>
      <c r="Y4" s="2">
        <f t="shared" ref="Y4:Y34" si="1" xml:space="preserve"> $O$20 * TAN($O$17/180*PI()) + $O$21 / (2 * SQRT($O$20^2 + X4^2)) - X4</f>
        <v>-0.94758230816784816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-0.44591172226728826</v>
      </c>
      <c r="AB4" s="2">
        <f>W4*AA4</f>
        <v>-2.5068142901306229E-2</v>
      </c>
      <c r="AC4" s="2">
        <f>Y4*AA4</f>
        <v>0.42253805902513747</v>
      </c>
      <c r="AD4" s="2">
        <f>X4-V4</f>
        <v>1</v>
      </c>
      <c r="AF4" s="2">
        <v>0</v>
      </c>
      <c r="AG4" s="2"/>
      <c r="AH4" s="2">
        <f>K27</f>
        <v>8.3902232290711254E-5</v>
      </c>
      <c r="AI4" s="2"/>
      <c r="AJ4" s="2">
        <f>K27</f>
        <v>8.3902232290711254E-5</v>
      </c>
      <c r="AK4" s="2"/>
      <c r="AL4" s="2">
        <f>K27</f>
        <v>8.3902232290711254E-5</v>
      </c>
      <c r="AM4" s="2"/>
      <c r="AN4" s="2"/>
      <c r="AO4" s="2"/>
    </row>
    <row r="5" spans="2:41" x14ac:dyDescent="0.2">
      <c r="B5" s="10" t="s">
        <v>37</v>
      </c>
      <c r="C5" s="10">
        <v>2040.5179306623399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91.992867368672066</v>
      </c>
      <c r="L5" s="6" t="s">
        <v>101</v>
      </c>
      <c r="N5" s="6" t="s">
        <v>114</v>
      </c>
      <c r="O5" s="6">
        <f xml:space="preserve"> $C$18 * 0.85 * ($C$5/$C$18 *2.20462/1000)^(2/3) * 0.3048^2</f>
        <v>0.34160033432728348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5.6217725727963463E-2</v>
      </c>
      <c r="X5" s="2">
        <f>IF(AC4&gt;0, Z4, X4)</f>
        <v>0.5</v>
      </c>
      <c r="Y5" s="2">
        <f t="shared" si="1"/>
        <v>-0.44591172226728826</v>
      </c>
      <c r="Z5" s="2">
        <f t="shared" ref="Z5:Z34" si="3" xml:space="preserve"> (V5 + X5)/2</f>
        <v>0.25</v>
      </c>
      <c r="AA5" s="2">
        <f t="shared" si="2"/>
        <v>-0.1945903183211361</v>
      </c>
      <c r="AB5" s="2">
        <f t="shared" ref="AB5:AB34" si="4">W5*AA5</f>
        <v>-1.0939425144694733E-2</v>
      </c>
      <c r="AC5" s="2">
        <f t="shared" ref="AC5:AC34" si="5">Y5*AA5</f>
        <v>8.6770103979117649E-2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-944.7766351118853</v>
      </c>
      <c r="AI5" s="3">
        <v>10000</v>
      </c>
      <c r="AJ5" s="2">
        <f t="dataTable" ref="AJ5:AJ44" dt2D="0" dtr="0" r1="C5"/>
        <v>3002.2619727907741</v>
      </c>
      <c r="AK5" s="2">
        <f>(AG5+AI5)/2</f>
        <v>5250</v>
      </c>
      <c r="AL5" s="2">
        <f t="dataTable" ref="AL5:AL44" dt2D="0" dtr="0" r1="C5" ca="1"/>
        <v>1567.9287343553456</v>
      </c>
      <c r="AM5" s="2">
        <f>AH5*AL5</f>
        <v>-1481342.4337394806</v>
      </c>
      <c r="AN5" s="2">
        <f>AJ5*AL5</f>
        <v>4707332.8152010217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5.6217725727963463E-2</v>
      </c>
      <c r="X6" s="2">
        <f t="shared" ref="X6:X34" si="8">IF(AC5&gt;0, Z5, X5)</f>
        <v>0.25</v>
      </c>
      <c r="Y6" s="2">
        <f t="shared" si="1"/>
        <v>-0.1945903183211361</v>
      </c>
      <c r="Z6" s="2">
        <f t="shared" si="3"/>
        <v>0.125</v>
      </c>
      <c r="AA6" s="2">
        <f t="shared" si="2"/>
        <v>-6.9016322492191154E-2</v>
      </c>
      <c r="AB6" s="2">
        <f t="shared" si="4"/>
        <v>-3.8799406886186783E-3</v>
      </c>
      <c r="AC6" s="2">
        <f t="shared" si="5"/>
        <v>1.3429908163109662E-2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-944.7766351118853</v>
      </c>
      <c r="AI6" s="2">
        <f>IF(AN5&gt;0, AK5, AI5)</f>
        <v>5250</v>
      </c>
      <c r="AJ6" s="2">
        <v>1567.9287343553456</v>
      </c>
      <c r="AK6" s="2">
        <f t="shared" ref="AK6:AK43" si="9">(AG6+AI6)/2</f>
        <v>2875</v>
      </c>
      <c r="AL6" s="2">
        <v>454.95189075706662</v>
      </c>
      <c r="AM6" s="2">
        <f t="shared" ref="AM6:AM44" si="10">AH6*AL6</f>
        <v>-429827.91648725141</v>
      </c>
      <c r="AN6" s="2">
        <f t="shared" ref="AN6:AN44" si="11">AJ6*AL6</f>
        <v>713332.14226729888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398.77272413962697</v>
      </c>
      <c r="D7" s="6" t="s">
        <v>125</v>
      </c>
      <c r="F7" t="s">
        <v>121</v>
      </c>
      <c r="G7" s="8">
        <f>$C$6*2*PI()/60*$C$9</f>
        <v>148.0578121113133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0.97187695766237958</v>
      </c>
      <c r="P7" s="6" t="s">
        <v>115</v>
      </c>
      <c r="U7" s="2">
        <v>3</v>
      </c>
      <c r="V7" s="2">
        <f t="shared" si="7"/>
        <v>0</v>
      </c>
      <c r="W7" s="2">
        <f t="shared" si="0"/>
        <v>5.6217725727963463E-2</v>
      </c>
      <c r="X7" s="2">
        <f t="shared" si="8"/>
        <v>0.125</v>
      </c>
      <c r="Y7" s="2">
        <f t="shared" si="1"/>
        <v>-6.9016322492191154E-2</v>
      </c>
      <c r="Z7" s="2">
        <f t="shared" si="3"/>
        <v>6.25E-2</v>
      </c>
      <c r="AA7" s="2">
        <f t="shared" si="2"/>
        <v>-6.3432535935753209E-3</v>
      </c>
      <c r="AB7" s="2">
        <f t="shared" si="4"/>
        <v>-3.5660329074653599E-4</v>
      </c>
      <c r="AC7" s="2">
        <f t="shared" si="5"/>
        <v>4.3778803566394477E-4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-944.7766351118853</v>
      </c>
      <c r="AI7" s="2">
        <f t="shared" ref="AI7:AI44" si="14">IF(AN6&gt;0, AK6, AI6)</f>
        <v>2875</v>
      </c>
      <c r="AJ7" s="2">
        <v>454.95189075706662</v>
      </c>
      <c r="AK7" s="2">
        <f t="shared" si="9"/>
        <v>1687.5</v>
      </c>
      <c r="AL7" s="2">
        <v>-214.77640792660986</v>
      </c>
      <c r="AM7" s="2">
        <f t="shared" si="10"/>
        <v>202915.73198232011</v>
      </c>
      <c r="AN7" s="2">
        <f t="shared" si="11"/>
        <v>-97712.932876222185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0.44339712169282308</v>
      </c>
      <c r="H8" s="6" t="s">
        <v>122</v>
      </c>
      <c r="J8" s="6" t="s">
        <v>96</v>
      </c>
      <c r="K8" s="6">
        <f xml:space="preserve"> $C$15 * (G12*G6 + G22*G15 + G31*G27 +G35*G34)/3600</f>
        <v>193.88042435918166</v>
      </c>
      <c r="L8" s="6" t="s">
        <v>102</v>
      </c>
      <c r="N8" s="6" t="s">
        <v>38</v>
      </c>
      <c r="O8" s="6">
        <f xml:space="preserve"> O4 *O7</f>
        <v>2203.6958055528085</v>
      </c>
      <c r="P8" s="6" t="s">
        <v>20</v>
      </c>
      <c r="U8" s="2">
        <v>4</v>
      </c>
      <c r="V8" s="2">
        <f t="shared" si="7"/>
        <v>0</v>
      </c>
      <c r="W8" s="2">
        <f t="shared" si="0"/>
        <v>5.6217725727963463E-2</v>
      </c>
      <c r="X8" s="2">
        <f t="shared" si="8"/>
        <v>6.25E-2</v>
      </c>
      <c r="Y8" s="2">
        <f t="shared" si="1"/>
        <v>-6.3432535935753209E-3</v>
      </c>
      <c r="Z8" s="2">
        <f t="shared" si="3"/>
        <v>3.125E-2</v>
      </c>
      <c r="AA8" s="2">
        <f t="shared" si="2"/>
        <v>2.4952317536020265E-2</v>
      </c>
      <c r="AB8" s="2">
        <f t="shared" si="4"/>
        <v>1.4027625435170403E-3</v>
      </c>
      <c r="AC8" s="2">
        <f t="shared" si="5"/>
        <v>-1.5827887787839303E-4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-214.77640792660986</v>
      </c>
      <c r="AI8" s="2">
        <f t="shared" si="14"/>
        <v>2875</v>
      </c>
      <c r="AJ8" s="2">
        <v>454.95189075706662</v>
      </c>
      <c r="AK8" s="2">
        <f t="shared" si="9"/>
        <v>2281.25</v>
      </c>
      <c r="AL8" s="2">
        <v>134.06950291723911</v>
      </c>
      <c r="AM8" s="2">
        <f t="shared" si="10"/>
        <v>-28794.966249070756</v>
      </c>
      <c r="AN8" s="2">
        <f t="shared" si="11"/>
        <v>60995.173845057987</v>
      </c>
      <c r="AO8" s="2">
        <f t="shared" si="12"/>
        <v>1187.5</v>
      </c>
    </row>
    <row r="9" spans="2:41" x14ac:dyDescent="0.2">
      <c r="B9" s="6" t="s">
        <v>95</v>
      </c>
      <c r="C9" s="17">
        <v>3.53461989913299</v>
      </c>
      <c r="D9" s="6" t="s">
        <v>8</v>
      </c>
      <c r="F9" t="s">
        <v>19</v>
      </c>
      <c r="G9" s="6">
        <f xml:space="preserve"> $C$5 * $C$44 / $C$18</f>
        <v>5000.029631330779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2203.6958055528085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2.4952317536020265E-2</v>
      </c>
      <c r="X9" s="2">
        <f t="shared" si="8"/>
        <v>6.25E-2</v>
      </c>
      <c r="Y9" s="2">
        <f t="shared" si="1"/>
        <v>-6.3432535935753209E-3</v>
      </c>
      <c r="Z9" s="2">
        <f t="shared" si="3"/>
        <v>4.6875E-2</v>
      </c>
      <c r="AA9" s="2">
        <f t="shared" si="2"/>
        <v>9.30821150616222E-3</v>
      </c>
      <c r="AB9" s="2">
        <f t="shared" si="4"/>
        <v>2.3226144919419716E-4</v>
      </c>
      <c r="AC9" s="2">
        <f t="shared" si="5"/>
        <v>-5.9044346086222654E-5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-214.77640792660986</v>
      </c>
      <c r="AI9" s="2">
        <f t="shared" si="14"/>
        <v>2281.25</v>
      </c>
      <c r="AJ9" s="2">
        <v>134.06950291723911</v>
      </c>
      <c r="AK9" s="2">
        <f t="shared" si="9"/>
        <v>1984.375</v>
      </c>
      <c r="AL9" s="2">
        <v>-31.568603628248638</v>
      </c>
      <c r="AM9" s="2">
        <f t="shared" si="10"/>
        <v>6780.191290534186</v>
      </c>
      <c r="AN9" s="2">
        <f t="shared" si="11"/>
        <v>-4232.3869962306462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61.32857824578138</v>
      </c>
      <c r="H10" s="6" t="s">
        <v>101</v>
      </c>
      <c r="N10" s="6" t="s">
        <v>113</v>
      </c>
      <c r="O10" s="6">
        <f>O7/(0.3048^2)/($C$5*2.20462/1000)^(2/3)</f>
        <v>3.8388274174638037</v>
      </c>
      <c r="U10" s="2">
        <v>6</v>
      </c>
      <c r="V10" s="2">
        <f t="shared" si="7"/>
        <v>4.6875E-2</v>
      </c>
      <c r="W10" s="2">
        <f t="shared" si="0"/>
        <v>9.30821150616222E-3</v>
      </c>
      <c r="X10" s="2">
        <f t="shared" si="8"/>
        <v>6.25E-2</v>
      </c>
      <c r="Y10" s="2">
        <f t="shared" si="1"/>
        <v>-6.3432535935753209E-3</v>
      </c>
      <c r="Z10" s="2">
        <f t="shared" si="3"/>
        <v>5.46875E-2</v>
      </c>
      <c r="AA10" s="2">
        <f t="shared" si="2"/>
        <v>1.4833833621574269E-3</v>
      </c>
      <c r="AB10" s="2">
        <f t="shared" si="4"/>
        <v>1.380764607968336E-5</v>
      </c>
      <c r="AC10" s="2">
        <f t="shared" si="5"/>
        <v>-9.4094768426549402E-6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-31.568603628248638</v>
      </c>
      <c r="AI10" s="2">
        <f t="shared" si="14"/>
        <v>2281.25</v>
      </c>
      <c r="AJ10" s="2">
        <v>134.06950291723911</v>
      </c>
      <c r="AK10" s="2">
        <f t="shared" si="9"/>
        <v>2132.8125</v>
      </c>
      <c r="AL10" s="2">
        <v>51.652587554633101</v>
      </c>
      <c r="AM10" s="2">
        <f t="shared" si="10"/>
        <v>-1630.6000628856209</v>
      </c>
      <c r="AN10" s="2">
        <f t="shared" si="11"/>
        <v>6925.036737838831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8.3179734025657996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5.46875E-2</v>
      </c>
      <c r="W11" s="2">
        <f t="shared" si="0"/>
        <v>1.4833833621574269E-3</v>
      </c>
      <c r="X11" s="2">
        <f t="shared" si="8"/>
        <v>6.25E-2</v>
      </c>
      <c r="Y11" s="2">
        <f t="shared" si="1"/>
        <v>-6.3432535935753209E-3</v>
      </c>
      <c r="Z11" s="2">
        <f t="shared" si="3"/>
        <v>5.859375E-2</v>
      </c>
      <c r="AA11" s="2">
        <f t="shared" si="2"/>
        <v>-2.4297111907179564E-3</v>
      </c>
      <c r="AB11" s="2">
        <f t="shared" si="4"/>
        <v>-3.6041931551587272E-6</v>
      </c>
      <c r="AC11" s="2">
        <f t="shared" si="5"/>
        <v>1.5412274241871847E-5</v>
      </c>
      <c r="AD11" s="2">
        <f t="shared" si="6"/>
        <v>7.8125E-3</v>
      </c>
      <c r="AF11" s="2">
        <v>7</v>
      </c>
      <c r="AG11" s="2">
        <f t="shared" si="13"/>
        <v>1984.375</v>
      </c>
      <c r="AH11" s="2">
        <v>-31.568603628248638</v>
      </c>
      <c r="AI11" s="2">
        <f t="shared" si="14"/>
        <v>2132.8125</v>
      </c>
      <c r="AJ11" s="2">
        <v>51.652587554633101</v>
      </c>
      <c r="AK11" s="2">
        <f t="shared" si="9"/>
        <v>2058.59375</v>
      </c>
      <c r="AL11" s="2">
        <v>10.140269332485786</v>
      </c>
      <c r="AM11" s="2">
        <f t="shared" si="10"/>
        <v>-320.1141432409292</v>
      </c>
      <c r="AN11" s="2">
        <f t="shared" si="11"/>
        <v>523.77114952378304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245.31431298312552</v>
      </c>
      <c r="H12" s="25" t="s">
        <v>101</v>
      </c>
      <c r="J12" s="10" t="s">
        <v>79</v>
      </c>
      <c r="K12" s="6">
        <f>C5</f>
        <v>2040.5179306623399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5.46875E-2</v>
      </c>
      <c r="W12" s="2">
        <f t="shared" si="0"/>
        <v>1.4833833621574269E-3</v>
      </c>
      <c r="X12" s="2">
        <f t="shared" si="8"/>
        <v>5.859375E-2</v>
      </c>
      <c r="Y12" s="2">
        <f t="shared" si="1"/>
        <v>-2.4297111907179564E-3</v>
      </c>
      <c r="Z12" s="2">
        <f t="shared" si="3"/>
        <v>5.6640625E-2</v>
      </c>
      <c r="AA12" s="2">
        <f t="shared" si="2"/>
        <v>-4.7310765054846965E-4</v>
      </c>
      <c r="AB12" s="2">
        <f t="shared" si="4"/>
        <v>-7.0180001733298989E-7</v>
      </c>
      <c r="AC12" s="2">
        <f t="shared" si="5"/>
        <v>1.1495149529518971E-6</v>
      </c>
      <c r="AD12" s="2">
        <f t="shared" si="6"/>
        <v>3.90625E-3</v>
      </c>
      <c r="AF12" s="2">
        <v>8</v>
      </c>
      <c r="AG12" s="2">
        <f t="shared" si="13"/>
        <v>1984.375</v>
      </c>
      <c r="AH12" s="2">
        <v>-31.568603628248638</v>
      </c>
      <c r="AI12" s="2">
        <f t="shared" si="14"/>
        <v>2058.59375</v>
      </c>
      <c r="AJ12" s="2">
        <v>10.140269332485786</v>
      </c>
      <c r="AK12" s="2">
        <f t="shared" si="9"/>
        <v>2021.484375</v>
      </c>
      <c r="AL12" s="2">
        <v>-10.68989599376664</v>
      </c>
      <c r="AM12" s="2">
        <f t="shared" si="10"/>
        <v>337.46508945442213</v>
      </c>
      <c r="AN12" s="2">
        <f t="shared" si="11"/>
        <v>-108.39842451305454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712.79567779110903</v>
      </c>
      <c r="L13" s="6" t="s">
        <v>7</v>
      </c>
      <c r="N13" s="6" t="s">
        <v>74</v>
      </c>
      <c r="O13" s="6">
        <f xml:space="preserve"> SQRT( ($C$5*$C$50)^2 + O9^2)</f>
        <v>20119.256888777978</v>
      </c>
      <c r="P13" s="6" t="s">
        <v>20</v>
      </c>
      <c r="U13" s="2">
        <v>9</v>
      </c>
      <c r="V13" s="2">
        <f t="shared" si="7"/>
        <v>5.46875E-2</v>
      </c>
      <c r="W13" s="2">
        <f t="shared" si="0"/>
        <v>1.4833833621574269E-3</v>
      </c>
      <c r="X13" s="2">
        <f t="shared" si="8"/>
        <v>5.6640625E-2</v>
      </c>
      <c r="Y13" s="2">
        <f t="shared" si="1"/>
        <v>-4.7310765054846965E-4</v>
      </c>
      <c r="Z13" s="2">
        <f t="shared" si="3"/>
        <v>5.56640625E-2</v>
      </c>
      <c r="AA13" s="2">
        <f t="shared" si="2"/>
        <v>5.0515195614758701E-4</v>
      </c>
      <c r="AB13" s="2">
        <f t="shared" si="4"/>
        <v>7.4933400711060872E-7</v>
      </c>
      <c r="AC13" s="2">
        <f t="shared" si="5"/>
        <v>-2.3899125514294845E-7</v>
      </c>
      <c r="AD13" s="2">
        <f t="shared" si="6"/>
        <v>1.953125E-3</v>
      </c>
      <c r="AF13" s="2">
        <v>9</v>
      </c>
      <c r="AG13" s="2">
        <f t="shared" si="13"/>
        <v>2021.484375</v>
      </c>
      <c r="AH13" s="2">
        <v>-10.68989599376664</v>
      </c>
      <c r="AI13" s="2">
        <f t="shared" si="14"/>
        <v>2058.59375</v>
      </c>
      <c r="AJ13" s="2">
        <v>10.140269332485786</v>
      </c>
      <c r="AK13" s="2">
        <f t="shared" si="9"/>
        <v>2040.0390625</v>
      </c>
      <c r="AL13" s="2">
        <v>-0.26871401652351778</v>
      </c>
      <c r="AM13" s="2">
        <f t="shared" si="10"/>
        <v>2.8725248887036954</v>
      </c>
      <c r="AN13" s="2">
        <f t="shared" si="11"/>
        <v>-2.7248325009625063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 xml:space="preserve"> $C$54 * $C$18 * (0.0095 * MAX(G9,O18,G28) - 1.9275)</f>
        <v>146.73835235471265</v>
      </c>
      <c r="L14" s="6" t="s">
        <v>7</v>
      </c>
      <c r="N14" s="6" t="s">
        <v>75</v>
      </c>
      <c r="O14" s="6">
        <f>$C$5*$C$50/O13</f>
        <v>0.99398330633563203</v>
      </c>
      <c r="U14" s="2">
        <v>10</v>
      </c>
      <c r="V14" s="2">
        <f t="shared" si="7"/>
        <v>5.56640625E-2</v>
      </c>
      <c r="W14" s="2">
        <f t="shared" si="0"/>
        <v>5.0515195614758701E-4</v>
      </c>
      <c r="X14" s="2">
        <f t="shared" si="8"/>
        <v>5.6640625E-2</v>
      </c>
      <c r="Y14" s="2">
        <f t="shared" si="1"/>
        <v>-4.7310765054846965E-4</v>
      </c>
      <c r="Z14" s="2">
        <f t="shared" si="3"/>
        <v>5.615234375E-2</v>
      </c>
      <c r="AA14" s="2">
        <f t="shared" si="2"/>
        <v>1.602567362464502E-5</v>
      </c>
      <c r="AB14" s="2">
        <f t="shared" si="4"/>
        <v>8.0954003800722224E-9</v>
      </c>
      <c r="AC14" s="2">
        <f t="shared" si="5"/>
        <v>-7.5818687970123833E-9</v>
      </c>
      <c r="AD14" s="2">
        <f t="shared" si="6"/>
        <v>9.765625E-4</v>
      </c>
      <c r="AF14" s="2">
        <v>10</v>
      </c>
      <c r="AG14" s="2">
        <f t="shared" si="13"/>
        <v>2040.0390625</v>
      </c>
      <c r="AH14" s="2">
        <v>-0.26871401652351778</v>
      </c>
      <c r="AI14" s="2">
        <f t="shared" si="14"/>
        <v>2058.59375</v>
      </c>
      <c r="AJ14" s="2">
        <v>10.140269332485786</v>
      </c>
      <c r="AK14" s="2">
        <f t="shared" si="9"/>
        <v>2049.31640625</v>
      </c>
      <c r="AL14" s="2">
        <v>4.937312021930893</v>
      </c>
      <c r="AM14" s="2">
        <f t="shared" si="10"/>
        <v>-1.326724944242901</v>
      </c>
      <c r="AN14" s="2">
        <f t="shared" si="11"/>
        <v>50.065673680899224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216.53150773187235</v>
      </c>
      <c r="L15" s="6" t="s">
        <v>7</v>
      </c>
      <c r="U15" s="2">
        <v>11</v>
      </c>
      <c r="V15" s="2">
        <f t="shared" si="7"/>
        <v>5.615234375E-2</v>
      </c>
      <c r="W15" s="2">
        <f t="shared" si="0"/>
        <v>1.602567362464502E-5</v>
      </c>
      <c r="X15" s="2">
        <f t="shared" si="8"/>
        <v>5.6640625E-2</v>
      </c>
      <c r="Y15" s="2">
        <f t="shared" si="1"/>
        <v>-4.7310765054846965E-4</v>
      </c>
      <c r="Z15" s="2">
        <f t="shared" si="3"/>
        <v>5.6396484375E-2</v>
      </c>
      <c r="AA15" s="2">
        <f t="shared" si="2"/>
        <v>-2.2854010879178738E-4</v>
      </c>
      <c r="AB15" s="2">
        <f t="shared" si="4"/>
        <v>-3.6625091936380507E-9</v>
      </c>
      <c r="AC15" s="2">
        <f t="shared" si="5"/>
        <v>1.0812407392657418E-7</v>
      </c>
      <c r="AD15" s="2">
        <f t="shared" si="6"/>
        <v>4.8828125E-4</v>
      </c>
      <c r="AF15" s="2">
        <v>11</v>
      </c>
      <c r="AG15" s="2">
        <f t="shared" si="13"/>
        <v>2040.0390625</v>
      </c>
      <c r="AH15" s="2">
        <v>-0.26871401652351778</v>
      </c>
      <c r="AI15" s="2">
        <f t="shared" si="14"/>
        <v>2049.31640625</v>
      </c>
      <c r="AJ15" s="2">
        <v>4.937312021930893</v>
      </c>
      <c r="AK15" s="2">
        <f t="shared" si="9"/>
        <v>2044.677734375</v>
      </c>
      <c r="AL15" s="2">
        <v>2.3346786989641259</v>
      </c>
      <c r="AM15" s="2">
        <f t="shared" si="10"/>
        <v>-0.6273608904905511</v>
      </c>
      <c r="AN15" s="2">
        <f t="shared" si="11"/>
        <v>11.527037207741555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147.60354266445364</v>
      </c>
      <c r="H16" s="6" t="s">
        <v>10</v>
      </c>
      <c r="J16" s="13" t="s">
        <v>53</v>
      </c>
      <c r="K16" s="6">
        <f xml:space="preserve"> $C$54 * 0.2138 * K4</f>
        <v>62.937840138950676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5.615234375E-2</v>
      </c>
      <c r="W16" s="2">
        <f t="shared" si="0"/>
        <v>1.602567362464502E-5</v>
      </c>
      <c r="X16" s="2">
        <f t="shared" si="8"/>
        <v>5.6396484375E-2</v>
      </c>
      <c r="Y16" s="2">
        <f t="shared" si="1"/>
        <v>-2.2854010879178738E-4</v>
      </c>
      <c r="Z16" s="2">
        <f t="shared" si="3"/>
        <v>5.62744140625E-2</v>
      </c>
      <c r="AA16" s="2">
        <f t="shared" si="2"/>
        <v>-1.0625699759886365E-4</v>
      </c>
      <c r="AB16" s="2">
        <f t="shared" si="4"/>
        <v>-1.7028399638540784E-9</v>
      </c>
      <c r="AC16" s="2">
        <f t="shared" si="5"/>
        <v>2.4283985791132988E-8</v>
      </c>
      <c r="AD16" s="2">
        <f t="shared" si="6"/>
        <v>2.44140625E-4</v>
      </c>
      <c r="AF16" s="2">
        <v>12</v>
      </c>
      <c r="AG16" s="2">
        <f t="shared" si="13"/>
        <v>2040.0390625</v>
      </c>
      <c r="AH16" s="2">
        <v>-0.26871401652351778</v>
      </c>
      <c r="AI16" s="2">
        <f t="shared" si="14"/>
        <v>2044.677734375</v>
      </c>
      <c r="AJ16" s="2">
        <v>2.3346786989641259</v>
      </c>
      <c r="AK16" s="2">
        <f t="shared" si="9"/>
        <v>2042.3583984375</v>
      </c>
      <c r="AL16" s="2">
        <v>1.0330844152117606</v>
      </c>
      <c r="AM16" s="2">
        <f t="shared" si="10"/>
        <v>-0.27760426261940174</v>
      </c>
      <c r="AN16" s="2">
        <f t="shared" si="11"/>
        <v>2.4119201784267084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0.44362456530571509</v>
      </c>
      <c r="H17" s="6" t="s">
        <v>122</v>
      </c>
      <c r="J17" s="13" t="s">
        <v>77</v>
      </c>
      <c r="K17" s="6">
        <f xml:space="preserve"> $C$54 * 0.1149 * K4</f>
        <v>33.823937474113343</v>
      </c>
      <c r="L17" s="6" t="s">
        <v>7</v>
      </c>
      <c r="N17" s="6" t="s">
        <v>25</v>
      </c>
      <c r="O17" s="6">
        <f xml:space="preserve"> ACOS(O14)/PI()*180</f>
        <v>6.2883191080741518</v>
      </c>
      <c r="P17" s="6" t="s">
        <v>40</v>
      </c>
      <c r="U17" s="2">
        <v>13</v>
      </c>
      <c r="V17" s="2">
        <f t="shared" si="7"/>
        <v>5.615234375E-2</v>
      </c>
      <c r="W17" s="2">
        <f t="shared" si="0"/>
        <v>1.602567362464502E-5</v>
      </c>
      <c r="X17" s="2">
        <f t="shared" si="8"/>
        <v>5.62744140625E-2</v>
      </c>
      <c r="Y17" s="2">
        <f t="shared" si="1"/>
        <v>-1.0625699759886365E-4</v>
      </c>
      <c r="Z17" s="2">
        <f t="shared" si="3"/>
        <v>5.621337890625E-2</v>
      </c>
      <c r="AA17" s="2">
        <f t="shared" si="2"/>
        <v>-4.5115606982545908E-5</v>
      </c>
      <c r="AB17" s="2">
        <f t="shared" si="4"/>
        <v>-7.2300799288003673E-10</v>
      </c>
      <c r="AC17" s="2">
        <f t="shared" si="5"/>
        <v>4.7938489428156564E-9</v>
      </c>
      <c r="AD17" s="2">
        <f t="shared" si="6"/>
        <v>1.220703125E-4</v>
      </c>
      <c r="AF17" s="2">
        <v>13</v>
      </c>
      <c r="AG17" s="2">
        <f t="shared" si="13"/>
        <v>2040.0390625</v>
      </c>
      <c r="AH17" s="2">
        <v>-0.26871401652351778</v>
      </c>
      <c r="AI17" s="2">
        <f t="shared" si="14"/>
        <v>2042.3583984375</v>
      </c>
      <c r="AJ17" s="2">
        <v>1.0330844152117606</v>
      </c>
      <c r="AK17" s="2">
        <f t="shared" si="9"/>
        <v>2041.19873046875</v>
      </c>
      <c r="AL17" s="2">
        <v>0.38221160735361082</v>
      </c>
      <c r="AM17" s="2">
        <f t="shared" si="10"/>
        <v>-0.10270561617389846</v>
      </c>
      <c r="AN17" s="2">
        <f t="shared" si="11"/>
        <v>0.39485685487005212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5029.8142221944945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130.38171218173466</v>
      </c>
      <c r="L18" s="6" t="s">
        <v>7</v>
      </c>
      <c r="N18" s="6" t="s">
        <v>19</v>
      </c>
      <c r="O18" s="6">
        <f xml:space="preserve"> O13 / $C$18</f>
        <v>5029.8142221944945</v>
      </c>
      <c r="P18" s="6" t="s">
        <v>20</v>
      </c>
      <c r="U18" s="2">
        <v>14</v>
      </c>
      <c r="V18" s="2">
        <f t="shared" si="7"/>
        <v>5.615234375E-2</v>
      </c>
      <c r="W18" s="2">
        <f t="shared" si="0"/>
        <v>1.602567362464502E-5</v>
      </c>
      <c r="X18" s="2">
        <f t="shared" si="8"/>
        <v>5.621337890625E-2</v>
      </c>
      <c r="Y18" s="2">
        <f t="shared" si="1"/>
        <v>-4.5115606982545908E-5</v>
      </c>
      <c r="Z18" s="2">
        <f t="shared" si="3"/>
        <v>5.6182861328125E-2</v>
      </c>
      <c r="AA18" s="2">
        <f t="shared" si="2"/>
        <v>-1.4544952926763555E-5</v>
      </c>
      <c r="AB18" s="2">
        <f t="shared" si="4"/>
        <v>-2.330926684901381E-10</v>
      </c>
      <c r="AC18" s="2">
        <f t="shared" si="5"/>
        <v>6.5620437982349541E-10</v>
      </c>
      <c r="AD18" s="2">
        <f t="shared" si="6"/>
        <v>6.103515625E-5</v>
      </c>
      <c r="AF18" s="2">
        <v>14</v>
      </c>
      <c r="AG18" s="2">
        <f t="shared" si="13"/>
        <v>2040.0390625</v>
      </c>
      <c r="AH18" s="2">
        <v>-0.26871401652351778</v>
      </c>
      <c r="AI18" s="2">
        <f t="shared" si="14"/>
        <v>2041.19873046875</v>
      </c>
      <c r="AJ18" s="2">
        <v>0.38221160735361082</v>
      </c>
      <c r="AK18" s="2">
        <f t="shared" si="9"/>
        <v>2040.618896484375</v>
      </c>
      <c r="AL18" s="2">
        <v>5.675859023835983E-2</v>
      </c>
      <c r="AM18" s="2">
        <f t="shared" si="10"/>
        <v>-1.5251828755162199E-2</v>
      </c>
      <c r="AN18" s="2">
        <f t="shared" si="11"/>
        <v>2.1693792006128476E-2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59.354950764489161</v>
      </c>
      <c r="H19" s="6" t="s">
        <v>101</v>
      </c>
      <c r="J19" s="14" t="s">
        <v>61</v>
      </c>
      <c r="K19" s="6">
        <f xml:space="preserve"> $C$55 * C31 * $C$5</f>
        <v>22.853800823418212</v>
      </c>
      <c r="L19" s="6" t="s">
        <v>7</v>
      </c>
      <c r="N19" s="6" t="s">
        <v>26</v>
      </c>
      <c r="O19" s="6">
        <f>$C$7*2*PI()/60</f>
        <v>41.759382020301373</v>
      </c>
      <c r="P19" s="6" t="s">
        <v>27</v>
      </c>
      <c r="U19" s="2">
        <v>15</v>
      </c>
      <c r="V19" s="2">
        <f t="shared" si="7"/>
        <v>5.615234375E-2</v>
      </c>
      <c r="W19" s="2">
        <f t="shared" si="0"/>
        <v>1.602567362464502E-5</v>
      </c>
      <c r="X19" s="2">
        <f t="shared" si="8"/>
        <v>5.6182861328125E-2</v>
      </c>
      <c r="Y19" s="2">
        <f t="shared" si="1"/>
        <v>-1.4544952926763555E-5</v>
      </c>
      <c r="Z19" s="2">
        <f t="shared" si="3"/>
        <v>5.61676025390625E-2</v>
      </c>
      <c r="AA19" s="2">
        <f t="shared" si="2"/>
        <v>7.4036378712449835E-7</v>
      </c>
      <c r="AB19" s="2">
        <f t="shared" si="4"/>
        <v>1.1864828415963374E-11</v>
      </c>
      <c r="AC19" s="2">
        <f t="shared" si="5"/>
        <v>-1.0768556432406221E-11</v>
      </c>
      <c r="AD19" s="2">
        <f t="shared" si="6"/>
        <v>3.0517578125E-5</v>
      </c>
      <c r="AF19" s="2">
        <v>15</v>
      </c>
      <c r="AG19" s="2">
        <f t="shared" si="13"/>
        <v>2040.0390625</v>
      </c>
      <c r="AH19" s="2">
        <v>-0.26871401652351778</v>
      </c>
      <c r="AI19" s="2">
        <f t="shared" si="14"/>
        <v>2040.618896484375</v>
      </c>
      <c r="AJ19" s="2">
        <v>5.675859023835983E-2</v>
      </c>
      <c r="AK19" s="2">
        <f t="shared" si="9"/>
        <v>2040.3289794921875</v>
      </c>
      <c r="AL19" s="2">
        <v>-0.10597419584792078</v>
      </c>
      <c r="AM19" s="2">
        <f t="shared" si="10"/>
        <v>2.8476751814144694E-2</v>
      </c>
      <c r="AN19" s="2">
        <f t="shared" si="11"/>
        <v>-6.0149459579718293E-3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8.6465804058337987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0.45156466698880671</v>
      </c>
      <c r="U20" s="2">
        <v>16</v>
      </c>
      <c r="V20" s="2">
        <f t="shared" si="7"/>
        <v>5.61676025390625E-2</v>
      </c>
      <c r="W20" s="2">
        <f t="shared" si="0"/>
        <v>7.4036378712449835E-7</v>
      </c>
      <c r="X20" s="2">
        <f t="shared" si="8"/>
        <v>5.6182861328125E-2</v>
      </c>
      <c r="Y20" s="2">
        <f t="shared" si="1"/>
        <v>-1.4544952926763555E-5</v>
      </c>
      <c r="Z20" s="2">
        <f t="shared" si="3"/>
        <v>5.617523193359375E-2</v>
      </c>
      <c r="AA20" s="2">
        <f t="shared" si="2"/>
        <v>-6.9022937102952708E-6</v>
      </c>
      <c r="AB20" s="2">
        <f t="shared" si="4"/>
        <v>-5.110208311199812E-12</v>
      </c>
      <c r="AC20" s="2">
        <f t="shared" si="5"/>
        <v>1.0039353710294088E-10</v>
      </c>
      <c r="AD20" s="2">
        <f t="shared" si="6"/>
        <v>1.52587890625E-5</v>
      </c>
      <c r="AF20" s="2">
        <v>16</v>
      </c>
      <c r="AG20" s="2">
        <f t="shared" si="13"/>
        <v>2040.3289794921875</v>
      </c>
      <c r="AH20" s="2">
        <v>-0.10597419584792078</v>
      </c>
      <c r="AI20" s="2">
        <f t="shared" si="14"/>
        <v>2040.618896484375</v>
      </c>
      <c r="AJ20" s="2">
        <v>5.675859023835983E-2</v>
      </c>
      <c r="AK20" s="2">
        <f t="shared" si="9"/>
        <v>2040.4739379882812</v>
      </c>
      <c r="AL20" s="2">
        <v>-2.4613354351458838E-2</v>
      </c>
      <c r="AM20" s="2">
        <f t="shared" si="10"/>
        <v>2.6083804345157723E-3</v>
      </c>
      <c r="AN20" s="2">
        <f t="shared" si="11"/>
        <v>-1.397019294026003E-3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9.4982949167431843E-2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5.8321408644311096E-3</v>
      </c>
      <c r="U21" s="2">
        <v>17</v>
      </c>
      <c r="V21" s="2">
        <f t="shared" si="7"/>
        <v>5.61676025390625E-2</v>
      </c>
      <c r="W21" s="2">
        <f t="shared" si="0"/>
        <v>7.4036378712449835E-7</v>
      </c>
      <c r="X21" s="2">
        <f t="shared" si="8"/>
        <v>5.617523193359375E-2</v>
      </c>
      <c r="Y21" s="2">
        <f t="shared" si="1"/>
        <v>-6.9022937102952708E-6</v>
      </c>
      <c r="Z21" s="2">
        <f t="shared" si="3"/>
        <v>5.6171417236328125E-2</v>
      </c>
      <c r="AA21" s="2">
        <f t="shared" si="2"/>
        <v>-3.0809647467017198E-6</v>
      </c>
      <c r="AB21" s="2">
        <f t="shared" si="4"/>
        <v>-2.2810347278651561E-12</v>
      </c>
      <c r="AC21" s="2">
        <f t="shared" si="5"/>
        <v>2.1265723592800741E-11</v>
      </c>
      <c r="AD21" s="2">
        <f t="shared" si="6"/>
        <v>7.62939453125E-6</v>
      </c>
      <c r="AF21" s="2">
        <v>17</v>
      </c>
      <c r="AG21" s="2">
        <f t="shared" si="13"/>
        <v>2040.4739379882812</v>
      </c>
      <c r="AH21" s="2">
        <v>-2.4613354351458838E-2</v>
      </c>
      <c r="AI21" s="2">
        <f t="shared" si="14"/>
        <v>2040.618896484375</v>
      </c>
      <c r="AJ21" s="2">
        <v>5.675859023835983E-2</v>
      </c>
      <c r="AK21" s="2">
        <f t="shared" si="9"/>
        <v>2040.5464172363281</v>
      </c>
      <c r="AL21" s="2">
        <v>1.6072301870053707E-2</v>
      </c>
      <c r="AM21" s="2">
        <f t="shared" si="10"/>
        <v>-3.9559326117124643E-4</v>
      </c>
      <c r="AN21" s="2">
        <f t="shared" si="11"/>
        <v>9.1224119602960276E-4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237.41980305795664</v>
      </c>
      <c r="H22" s="25" t="s">
        <v>101</v>
      </c>
      <c r="J22" s="14" t="s">
        <v>112</v>
      </c>
      <c r="K22" s="6">
        <f>$C$55*(0.14*$G$12*1000/745.7)*0.453592</f>
        <v>16.712528233498578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5.61676025390625E-2</v>
      </c>
      <c r="W22" s="2">
        <f t="shared" si="0"/>
        <v>7.4036378712449835E-7</v>
      </c>
      <c r="X22" s="2">
        <f t="shared" si="8"/>
        <v>5.6171417236328125E-2</v>
      </c>
      <c r="Y22" s="2">
        <f t="shared" si="1"/>
        <v>-3.0809647467017198E-6</v>
      </c>
      <c r="Z22" s="2">
        <f t="shared" si="3"/>
        <v>5.6169509887695312E-2</v>
      </c>
      <c r="AA22" s="2">
        <f t="shared" si="2"/>
        <v>-1.1703004260676941E-6</v>
      </c>
      <c r="AB22" s="2">
        <f t="shared" si="4"/>
        <v>-8.6644805551689199E-13</v>
      </c>
      <c r="AC22" s="2">
        <f t="shared" si="5"/>
        <v>3.6056543557645681E-12</v>
      </c>
      <c r="AD22" s="2">
        <f t="shared" si="6"/>
        <v>3.814697265625E-6</v>
      </c>
      <c r="AF22" s="2">
        <v>18</v>
      </c>
      <c r="AG22" s="2">
        <f t="shared" si="13"/>
        <v>2040.4739379882812</v>
      </c>
      <c r="AH22" s="2">
        <v>-2.4613354351458838E-2</v>
      </c>
      <c r="AI22" s="2">
        <f t="shared" si="14"/>
        <v>2040.5464172363281</v>
      </c>
      <c r="AJ22" s="2">
        <v>1.6072301870053707E-2</v>
      </c>
      <c r="AK22" s="2">
        <f t="shared" si="9"/>
        <v>2040.5101776123047</v>
      </c>
      <c r="AL22" s="2">
        <v>-4.2706052593075583E-3</v>
      </c>
      <c r="AM22" s="2">
        <f t="shared" si="10"/>
        <v>1.0511392054254069E-4</v>
      </c>
      <c r="AN22" s="2">
        <f t="shared" si="11"/>
        <v>-6.8638456895430062E-5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43.748704433400576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16940.77141600275</v>
      </c>
      <c r="P23" s="6" t="s">
        <v>18</v>
      </c>
      <c r="U23" s="2">
        <v>19</v>
      </c>
      <c r="V23" s="2">
        <f t="shared" si="7"/>
        <v>5.61676025390625E-2</v>
      </c>
      <c r="W23" s="2">
        <f t="shared" si="0"/>
        <v>7.4036378712449835E-7</v>
      </c>
      <c r="X23" s="2">
        <f t="shared" si="8"/>
        <v>5.6169509887695312E-2</v>
      </c>
      <c r="Y23" s="2">
        <f t="shared" si="1"/>
        <v>-1.1703004260676941E-6</v>
      </c>
      <c r="Z23" s="2">
        <f t="shared" si="3"/>
        <v>5.6168556213378906E-2</v>
      </c>
      <c r="AA23" s="2">
        <f t="shared" si="2"/>
        <v>-2.1496830604483819E-7</v>
      </c>
      <c r="AB23" s="2">
        <f t="shared" si="4"/>
        <v>-1.5915474917509459E-13</v>
      </c>
      <c r="AC23" s="2">
        <f t="shared" si="5"/>
        <v>2.5157750015532461E-13</v>
      </c>
      <c r="AD23" s="2">
        <f t="shared" si="6"/>
        <v>1.9073486328125E-6</v>
      </c>
      <c r="AF23" s="2">
        <v>19</v>
      </c>
      <c r="AG23" s="2">
        <f t="shared" si="13"/>
        <v>2040.5101776123047</v>
      </c>
      <c r="AH23" s="2">
        <v>-4.2706052593075583E-3</v>
      </c>
      <c r="AI23" s="2">
        <f t="shared" si="14"/>
        <v>2040.5464172363281</v>
      </c>
      <c r="AJ23" s="2">
        <v>1.6072301870053707E-2</v>
      </c>
      <c r="AK23" s="2">
        <f t="shared" si="9"/>
        <v>2040.5282974243164</v>
      </c>
      <c r="AL23" s="2">
        <v>5.9051162177183869E-3</v>
      </c>
      <c r="AM23" s="2">
        <f t="shared" si="10"/>
        <v>-2.52184203762105E-5</v>
      </c>
      <c r="AN23" s="2">
        <f t="shared" si="11"/>
        <v>9.4908810428919699E-5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 xml:space="preserve"> $C$56 * (11.5 * ($C$5*2.20462/1000)^0.4 * 0.453592)</f>
        <v>7.615227409856451</v>
      </c>
      <c r="L24" s="6" t="s">
        <v>7</v>
      </c>
      <c r="N24" s="6" t="s">
        <v>31</v>
      </c>
      <c r="O24" s="18">
        <f>Z34</f>
        <v>5.6168341543525457E-2</v>
      </c>
      <c r="U24" s="2">
        <v>20</v>
      </c>
      <c r="V24" s="2">
        <f t="shared" si="7"/>
        <v>5.61676025390625E-2</v>
      </c>
      <c r="W24" s="2">
        <f t="shared" si="0"/>
        <v>7.4036378712449835E-7</v>
      </c>
      <c r="X24" s="2">
        <f t="shared" si="8"/>
        <v>5.6168556213378906E-2</v>
      </c>
      <c r="Y24" s="2">
        <f t="shared" si="1"/>
        <v>-2.1496830604483819E-7</v>
      </c>
      <c r="Z24" s="2">
        <f t="shared" si="3"/>
        <v>5.6168079376220703E-2</v>
      </c>
      <c r="AA24" s="2">
        <f t="shared" si="2"/>
        <v>2.6269774389825473E-7</v>
      </c>
      <c r="AB24" s="2">
        <f t="shared" si="4"/>
        <v>1.9449189654157346E-13</v>
      </c>
      <c r="AC24" s="2">
        <f t="shared" si="5"/>
        <v>-5.6471689007608548E-14</v>
      </c>
      <c r="AD24" s="2">
        <f t="shared" si="6"/>
        <v>9.5367431640625E-7</v>
      </c>
      <c r="AF24" s="2">
        <v>20</v>
      </c>
      <c r="AG24" s="2">
        <f t="shared" si="13"/>
        <v>2040.5101776123047</v>
      </c>
      <c r="AH24" s="2">
        <v>-4.2706052593075583E-3</v>
      </c>
      <c r="AI24" s="2">
        <f t="shared" si="14"/>
        <v>2040.5282974243164</v>
      </c>
      <c r="AJ24" s="2">
        <v>5.9051162177183869E-3</v>
      </c>
      <c r="AK24" s="2">
        <f t="shared" si="9"/>
        <v>2040.5192375183105</v>
      </c>
      <c r="AL24" s="2">
        <v>8.1296288249177451E-4</v>
      </c>
      <c r="AM24" s="2">
        <f t="shared" si="10"/>
        <v>-3.4718435615912047E-6</v>
      </c>
      <c r="AN24" s="2">
        <f t="shared" si="11"/>
        <v>4.8006403018052647E-6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13.059314756238976</v>
      </c>
      <c r="L25" s="6" t="s">
        <v>7</v>
      </c>
      <c r="N25" s="6" t="s">
        <v>32</v>
      </c>
      <c r="O25" s="6">
        <f xml:space="preserve"> O19 * $C$9 * O24 - $C$8 * SIN(O17/180*PI())</f>
        <v>0.94589053600464812</v>
      </c>
      <c r="P25" s="6" t="s">
        <v>10</v>
      </c>
      <c r="U25" s="2">
        <v>21</v>
      </c>
      <c r="V25" s="2">
        <f t="shared" si="7"/>
        <v>5.6168079376220703E-2</v>
      </c>
      <c r="W25" s="2">
        <f t="shared" si="0"/>
        <v>2.6269774389825473E-7</v>
      </c>
      <c r="X25" s="2">
        <f t="shared" si="8"/>
        <v>5.6168556213378906E-2</v>
      </c>
      <c r="Y25" s="2">
        <f t="shared" si="1"/>
        <v>-2.1496830604483819E-7</v>
      </c>
      <c r="Z25" s="2">
        <f t="shared" si="3"/>
        <v>5.6168317794799805E-2</v>
      </c>
      <c r="AA25" s="2">
        <f t="shared" si="2"/>
        <v>2.3864719769783882E-8</v>
      </c>
      <c r="AB25" s="2">
        <f t="shared" si="4"/>
        <v>6.269208042286303E-15</v>
      </c>
      <c r="AC25" s="2">
        <f t="shared" si="5"/>
        <v>-5.1301583831452019E-15</v>
      </c>
      <c r="AD25" s="2">
        <f t="shared" si="6"/>
        <v>4.76837158203125E-7</v>
      </c>
      <c r="AF25" s="2">
        <v>21</v>
      </c>
      <c r="AG25" s="2">
        <f t="shared" si="13"/>
        <v>2040.5101776123047</v>
      </c>
      <c r="AH25" s="2">
        <v>-4.2706052593075583E-3</v>
      </c>
      <c r="AI25" s="2">
        <f t="shared" si="14"/>
        <v>2040.5192375183105</v>
      </c>
      <c r="AJ25" s="2">
        <v>8.1296288249177451E-4</v>
      </c>
      <c r="AK25" s="2">
        <f t="shared" si="9"/>
        <v>2040.5147075653076</v>
      </c>
      <c r="AL25" s="2">
        <v>-1.7245347821699397E-3</v>
      </c>
      <c r="AM25" s="2">
        <f t="shared" si="10"/>
        <v>7.3648073105937589E-6</v>
      </c>
      <c r="AN25" s="2">
        <f t="shared" si="11"/>
        <v>-1.4019827674701987E-6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33.319243431202153</v>
      </c>
      <c r="L26" s="6" t="s">
        <v>7</v>
      </c>
      <c r="N26" s="6" t="s">
        <v>33</v>
      </c>
      <c r="O26" s="6">
        <f xml:space="preserve"> 1/$C$21 - O23 * SQRT( (2*$C$47*PI()*$C$9^2) / O18^3 )</f>
        <v>0.9107761858901583</v>
      </c>
      <c r="U26" s="2">
        <v>22</v>
      </c>
      <c r="V26" s="2">
        <f t="shared" si="7"/>
        <v>5.6168317794799805E-2</v>
      </c>
      <c r="W26" s="2">
        <f t="shared" si="0"/>
        <v>2.3864719769783882E-8</v>
      </c>
      <c r="X26" s="2">
        <f t="shared" si="8"/>
        <v>5.6168556213378906E-2</v>
      </c>
      <c r="Y26" s="2">
        <f t="shared" si="1"/>
        <v>-2.1496830604483819E-7</v>
      </c>
      <c r="Z26" s="2">
        <f t="shared" si="3"/>
        <v>5.6168437004089355E-2</v>
      </c>
      <c r="AA26" s="2">
        <f t="shared" si="2"/>
        <v>-9.5551792929360335E-8</v>
      </c>
      <c r="AB26" s="2">
        <f t="shared" si="4"/>
        <v>-2.2803167617596013E-15</v>
      </c>
      <c r="AC26" s="2">
        <f t="shared" si="5"/>
        <v>2.0540607065571738E-14</v>
      </c>
      <c r="AD26" s="2">
        <f t="shared" si="6"/>
        <v>2.384185791015625E-7</v>
      </c>
      <c r="AF26" s="2">
        <v>22</v>
      </c>
      <c r="AG26" s="2">
        <f t="shared" si="13"/>
        <v>2040.5147075653076</v>
      </c>
      <c r="AH26" s="2">
        <v>-1.7245347821699397E-3</v>
      </c>
      <c r="AI26" s="2">
        <f t="shared" si="14"/>
        <v>2040.5192375183105</v>
      </c>
      <c r="AJ26" s="2">
        <v>8.1296288249177451E-4</v>
      </c>
      <c r="AK26" s="2">
        <f t="shared" si="9"/>
        <v>2040.5169725418091</v>
      </c>
      <c r="AL26" s="2">
        <v>-4.5578625486086821E-4</v>
      </c>
      <c r="AM26" s="2">
        <f t="shared" si="10"/>
        <v>7.8601924974254002E-7</v>
      </c>
      <c r="AN26" s="2">
        <f t="shared" si="11"/>
        <v>-3.7053730755182201E-7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8.3902232290711254E-5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5.6168317794799805E-2</v>
      </c>
      <c r="W27" s="2">
        <f t="shared" si="0"/>
        <v>2.3864719769783882E-8</v>
      </c>
      <c r="X27" s="2">
        <f t="shared" si="8"/>
        <v>5.6168437004089355E-2</v>
      </c>
      <c r="Y27" s="2">
        <f t="shared" si="1"/>
        <v>-9.5551792929360335E-8</v>
      </c>
      <c r="Z27" s="2">
        <f t="shared" si="3"/>
        <v>5.616837739944458E-2</v>
      </c>
      <c r="AA27" s="2">
        <f t="shared" si="2"/>
        <v>-3.5843536527746522E-8</v>
      </c>
      <c r="AB27" s="2">
        <f t="shared" si="4"/>
        <v>-8.5539595479268311E-16</v>
      </c>
      <c r="AC27" s="2">
        <f t="shared" si="5"/>
        <v>3.4249141801551992E-15</v>
      </c>
      <c r="AD27" s="2">
        <f t="shared" si="6"/>
        <v>1.1920928955078125E-7</v>
      </c>
      <c r="AF27" s="2">
        <v>23</v>
      </c>
      <c r="AG27" s="2">
        <f t="shared" si="13"/>
        <v>2040.5169725418091</v>
      </c>
      <c r="AH27" s="2">
        <v>-4.5578625486086821E-4</v>
      </c>
      <c r="AI27" s="2">
        <f t="shared" si="14"/>
        <v>2040.5192375183105</v>
      </c>
      <c r="AJ27" s="2">
        <v>8.1296288249177451E-4</v>
      </c>
      <c r="AK27" s="2">
        <f t="shared" si="9"/>
        <v>2040.5181050300598</v>
      </c>
      <c r="AL27" s="2">
        <v>1.8287588341081573E-4</v>
      </c>
      <c r="AM27" s="2">
        <f t="shared" si="10"/>
        <v>-8.3352314004188477E-8</v>
      </c>
      <c r="AN27" s="2">
        <f t="shared" si="11"/>
        <v>1.4867130531588645E-7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5000.029631330779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1.1500254627547744</v>
      </c>
      <c r="U28" s="2">
        <v>24</v>
      </c>
      <c r="V28" s="2">
        <f t="shared" si="7"/>
        <v>5.6168317794799805E-2</v>
      </c>
      <c r="W28" s="2">
        <f t="shared" si="0"/>
        <v>2.3864719769783882E-8</v>
      </c>
      <c r="X28" s="2">
        <f t="shared" si="8"/>
        <v>5.616837739944458E-2</v>
      </c>
      <c r="Y28" s="2">
        <f t="shared" si="1"/>
        <v>-3.5843536527746522E-8</v>
      </c>
      <c r="Z28" s="2">
        <f t="shared" si="3"/>
        <v>5.6168347597122192E-2</v>
      </c>
      <c r="AA28" s="2">
        <f t="shared" si="2"/>
        <v>-5.9894083720424263E-9</v>
      </c>
      <c r="AB28" s="2">
        <f t="shared" si="4"/>
        <v>-1.4293555238559E-16</v>
      </c>
      <c r="AC28" s="2">
        <f t="shared" si="5"/>
        <v>2.1468157776289355E-16</v>
      </c>
      <c r="AD28" s="2">
        <f t="shared" si="6"/>
        <v>5.9604644775390625E-8</v>
      </c>
      <c r="AF28" s="2">
        <v>24</v>
      </c>
      <c r="AG28" s="2">
        <f t="shared" si="13"/>
        <v>2040.5169725418091</v>
      </c>
      <c r="AH28" s="2">
        <v>-4.5578625486086821E-4</v>
      </c>
      <c r="AI28" s="2">
        <f t="shared" si="14"/>
        <v>2040.5181050300598</v>
      </c>
      <c r="AJ28" s="2">
        <v>1.8287588341081573E-4</v>
      </c>
      <c r="AK28" s="2">
        <f t="shared" si="9"/>
        <v>2040.5175387859344</v>
      </c>
      <c r="AL28" s="2">
        <v>-1.4074285013521148E-4</v>
      </c>
      <c r="AM28" s="2">
        <f t="shared" si="10"/>
        <v>6.4148656561572478E-8</v>
      </c>
      <c r="AN28" s="2">
        <f t="shared" si="11"/>
        <v>-2.5738473052232846E-8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52.179412577591762</v>
      </c>
      <c r="H29" t="s">
        <v>18</v>
      </c>
      <c r="U29" s="2">
        <v>25</v>
      </c>
      <c r="V29" s="2">
        <f t="shared" si="7"/>
        <v>5.6168317794799805E-2</v>
      </c>
      <c r="W29" s="2">
        <f t="shared" si="0"/>
        <v>2.3864719769783882E-8</v>
      </c>
      <c r="X29" s="2">
        <f t="shared" si="8"/>
        <v>5.6168347597122192E-2</v>
      </c>
      <c r="Y29" s="2">
        <f t="shared" si="1"/>
        <v>-5.9894083720424263E-9</v>
      </c>
      <c r="Z29" s="2">
        <f t="shared" si="3"/>
        <v>5.6168332695960999E-2</v>
      </c>
      <c r="AA29" s="2">
        <f t="shared" si="2"/>
        <v>8.9376556988707279E-9</v>
      </c>
      <c r="AB29" s="2">
        <f t="shared" si="4"/>
        <v>2.1329464865236183E-16</v>
      </c>
      <c r="AC29" s="2">
        <f t="shared" si="5"/>
        <v>-5.3531269869249039E-17</v>
      </c>
      <c r="AD29" s="2">
        <f t="shared" si="6"/>
        <v>2.9802322387695312E-8</v>
      </c>
      <c r="AF29" s="2">
        <v>25</v>
      </c>
      <c r="AG29" s="2">
        <f t="shared" si="13"/>
        <v>2040.5175387859344</v>
      </c>
      <c r="AH29" s="2">
        <v>-1.4074285013521148E-4</v>
      </c>
      <c r="AI29" s="2">
        <f t="shared" si="14"/>
        <v>2040.5181050300598</v>
      </c>
      <c r="AJ29" s="2">
        <v>1.8287588341081573E-4</v>
      </c>
      <c r="AK29" s="2">
        <f t="shared" si="9"/>
        <v>2040.5178219079971</v>
      </c>
      <c r="AL29" s="2">
        <v>2.1066511408207589E-5</v>
      </c>
      <c r="AM29" s="2">
        <f t="shared" si="10"/>
        <v>-2.9649608579970837E-9</v>
      </c>
      <c r="AN29" s="2">
        <f t="shared" si="11"/>
        <v>3.8525568841599909E-9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9.7764512374878301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5.6168332695960999E-2</v>
      </c>
      <c r="W30" s="2">
        <f t="shared" si="0"/>
        <v>8.9376556988707279E-9</v>
      </c>
      <c r="X30" s="2">
        <f t="shared" si="8"/>
        <v>5.6168347597122192E-2</v>
      </c>
      <c r="Y30" s="2">
        <f t="shared" si="1"/>
        <v>-5.9894083720424263E-9</v>
      </c>
      <c r="Z30" s="2">
        <f t="shared" si="3"/>
        <v>5.6168340146541595E-2</v>
      </c>
      <c r="AA30" s="2">
        <f t="shared" si="2"/>
        <v>1.4741236703530447E-9</v>
      </c>
      <c r="AB30" s="2">
        <f t="shared" si="4"/>
        <v>1.3175209823171125E-17</v>
      </c>
      <c r="AC30" s="2">
        <f t="shared" si="5"/>
        <v>-8.8291286526384355E-18</v>
      </c>
      <c r="AD30" s="2">
        <f t="shared" si="6"/>
        <v>1.4901161193847656E-8</v>
      </c>
      <c r="AF30" s="2">
        <v>26</v>
      </c>
      <c r="AG30" s="2">
        <f t="shared" si="13"/>
        <v>2040.5175387859344</v>
      </c>
      <c r="AH30" s="2">
        <v>-1.4074285013521148E-4</v>
      </c>
      <c r="AI30" s="2">
        <f t="shared" si="14"/>
        <v>2040.5178219079971</v>
      </c>
      <c r="AJ30" s="2">
        <v>2.1066511408207589E-5</v>
      </c>
      <c r="AK30" s="2">
        <f t="shared" si="9"/>
        <v>2040.5176803469658</v>
      </c>
      <c r="AL30" s="2">
        <v>-5.5550525985381682E-5</v>
      </c>
      <c r="AM30" s="2">
        <f t="shared" si="10"/>
        <v>7.8183393536927451E-9</v>
      </c>
      <c r="AN30" s="2">
        <f t="shared" si="11"/>
        <v>-1.1702557894029753E-9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208.71765031036705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5.6168340146541595E-2</v>
      </c>
      <c r="W31" s="2">
        <f t="shared" si="0"/>
        <v>1.4741236703530447E-9</v>
      </c>
      <c r="X31" s="2">
        <f t="shared" si="8"/>
        <v>5.6168347597122192E-2</v>
      </c>
      <c r="Y31" s="2">
        <f t="shared" si="1"/>
        <v>-5.9894083720424263E-9</v>
      </c>
      <c r="Z31" s="2">
        <f t="shared" si="3"/>
        <v>5.6168343871831894E-2</v>
      </c>
      <c r="AA31" s="2">
        <f t="shared" si="2"/>
        <v>-2.2576423508446908E-9</v>
      </c>
      <c r="AB31" s="2">
        <f t="shared" si="4"/>
        <v>-3.3280440285716518E-18</v>
      </c>
      <c r="AC31" s="2">
        <f t="shared" si="5"/>
        <v>1.3521941997226735E-17</v>
      </c>
      <c r="AD31" s="2">
        <f t="shared" si="6"/>
        <v>7.4505805969238281E-9</v>
      </c>
      <c r="AF31" s="2">
        <v>27</v>
      </c>
      <c r="AG31" s="2">
        <f t="shared" si="13"/>
        <v>2040.5176803469658</v>
      </c>
      <c r="AH31" s="2">
        <v>-5.5550525985381682E-5</v>
      </c>
      <c r="AI31" s="2">
        <f t="shared" si="14"/>
        <v>2040.5178219079971</v>
      </c>
      <c r="AJ31" s="2">
        <v>2.1066511408207589E-5</v>
      </c>
      <c r="AK31" s="2">
        <f t="shared" si="9"/>
        <v>2040.5177511274815</v>
      </c>
      <c r="AL31" s="2">
        <v>-1.7242008198081749E-5</v>
      </c>
      <c r="AM31" s="2">
        <f t="shared" si="10"/>
        <v>9.5780262444770407E-10</v>
      </c>
      <c r="AN31" s="2">
        <f t="shared" si="11"/>
        <v>-3.6322896240529793E-10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712.8</v>
      </c>
      <c r="L32" s="6" t="s">
        <v>7</v>
      </c>
      <c r="U32" s="2">
        <v>28</v>
      </c>
      <c r="V32" s="2">
        <f t="shared" si="7"/>
        <v>5.6168340146541595E-2</v>
      </c>
      <c r="W32" s="2">
        <f t="shared" si="0"/>
        <v>1.4741236703530447E-9</v>
      </c>
      <c r="X32" s="2">
        <f t="shared" si="8"/>
        <v>5.6168343871831894E-2</v>
      </c>
      <c r="Y32" s="2">
        <f t="shared" si="1"/>
        <v>-2.2576423508446908E-9</v>
      </c>
      <c r="Z32" s="2">
        <f t="shared" si="3"/>
        <v>5.6168342009186745E-2</v>
      </c>
      <c r="AA32" s="2">
        <f t="shared" si="2"/>
        <v>-3.9175934024582304E-10</v>
      </c>
      <c r="AB32" s="2">
        <f t="shared" si="4"/>
        <v>-5.7750171653825992E-19</v>
      </c>
      <c r="AC32" s="2">
        <f t="shared" si="5"/>
        <v>8.8445247787794501E-19</v>
      </c>
      <c r="AD32" s="2">
        <f t="shared" si="6"/>
        <v>3.7252902984619141E-9</v>
      </c>
      <c r="AF32" s="2">
        <v>28</v>
      </c>
      <c r="AG32" s="2">
        <f t="shared" si="13"/>
        <v>2040.5177511274815</v>
      </c>
      <c r="AH32" s="2">
        <v>-1.7242008198081749E-5</v>
      </c>
      <c r="AI32" s="2">
        <f t="shared" si="14"/>
        <v>2040.5178219079971</v>
      </c>
      <c r="AJ32" s="2">
        <v>2.1066511408207589E-5</v>
      </c>
      <c r="AK32" s="2">
        <f t="shared" si="9"/>
        <v>2040.5177865177393</v>
      </c>
      <c r="AL32" s="2">
        <v>6.1998969158594264E-6</v>
      </c>
      <c r="AM32" s="2">
        <f t="shared" si="10"/>
        <v>-1.0689867345050998E-10</v>
      </c>
      <c r="AN32" s="2">
        <f t="shared" si="11"/>
        <v>1.3061019910766365E-10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460.03</v>
      </c>
      <c r="L33" s="6" t="s">
        <v>7</v>
      </c>
      <c r="U33" s="2">
        <v>29</v>
      </c>
      <c r="V33" s="2">
        <f t="shared" si="7"/>
        <v>5.6168340146541595E-2</v>
      </c>
      <c r="W33" s="2">
        <f t="shared" si="0"/>
        <v>1.4741236703530447E-9</v>
      </c>
      <c r="X33" s="2">
        <f t="shared" si="8"/>
        <v>5.6168342009186745E-2</v>
      </c>
      <c r="Y33" s="2">
        <f t="shared" si="1"/>
        <v>-3.9175934024582304E-10</v>
      </c>
      <c r="Z33" s="2">
        <f t="shared" si="3"/>
        <v>5.616834107786417E-2</v>
      </c>
      <c r="AA33" s="2">
        <f t="shared" si="2"/>
        <v>5.4118216158416388E-10</v>
      </c>
      <c r="AB33" s="2">
        <f t="shared" si="4"/>
        <v>7.9776943436404217E-19</v>
      </c>
      <c r="AC33" s="2">
        <f t="shared" si="5"/>
        <v>-2.1201316657502044E-19</v>
      </c>
      <c r="AD33" s="2">
        <f t="shared" si="6"/>
        <v>1.862645149230957E-9</v>
      </c>
      <c r="AF33" s="2">
        <v>29</v>
      </c>
      <c r="AG33" s="2">
        <f t="shared" si="13"/>
        <v>2040.5177511274815</v>
      </c>
      <c r="AH33" s="2">
        <v>-1.7242008198081749E-5</v>
      </c>
      <c r="AI33" s="2">
        <f t="shared" si="14"/>
        <v>2040.5177865177393</v>
      </c>
      <c r="AJ33" s="2">
        <v>6.1998969158594264E-6</v>
      </c>
      <c r="AK33" s="2">
        <f t="shared" si="9"/>
        <v>2040.5177688226104</v>
      </c>
      <c r="AL33" s="2">
        <v>-9.8087000424129656E-6</v>
      </c>
      <c r="AM33" s="2">
        <f t="shared" si="10"/>
        <v>1.6912168654380915E-10</v>
      </c>
      <c r="AN33" s="2">
        <f t="shared" si="11"/>
        <v>-6.081292914154637E-11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169.95</v>
      </c>
      <c r="L34" s="6" t="s">
        <v>7</v>
      </c>
      <c r="U34" s="2">
        <v>30</v>
      </c>
      <c r="V34" s="2">
        <f t="shared" si="7"/>
        <v>5.616834107786417E-2</v>
      </c>
      <c r="W34" s="2">
        <f t="shared" si="0"/>
        <v>5.4118216158416388E-10</v>
      </c>
      <c r="X34" s="2">
        <f t="shared" si="8"/>
        <v>5.6168342009186745E-2</v>
      </c>
      <c r="Y34" s="2">
        <f t="shared" si="1"/>
        <v>-3.9175934024582304E-10</v>
      </c>
      <c r="Z34" s="2">
        <f t="shared" si="3"/>
        <v>5.6168341543525457E-2</v>
      </c>
      <c r="AA34" s="2">
        <f t="shared" si="2"/>
        <v>7.4711410669170419E-11</v>
      </c>
      <c r="AB34" s="2">
        <f t="shared" si="4"/>
        <v>4.0432482720943811E-20</v>
      </c>
      <c r="AC34" s="2">
        <f t="shared" si="5"/>
        <v>-2.9268892952588948E-20</v>
      </c>
      <c r="AD34" s="2">
        <f>X34-V34</f>
        <v>9.3132257461547852E-10</v>
      </c>
      <c r="AF34" s="2">
        <v>30</v>
      </c>
      <c r="AG34" s="2">
        <f t="shared" si="13"/>
        <v>2040.5177688226104</v>
      </c>
      <c r="AH34" s="2">
        <v>-9.8087000424129656E-6</v>
      </c>
      <c r="AI34" s="2">
        <f t="shared" si="14"/>
        <v>2040.5177865177393</v>
      </c>
      <c r="AJ34" s="2">
        <v>6.1998969158594264E-6</v>
      </c>
      <c r="AK34" s="2">
        <f t="shared" si="9"/>
        <v>2040.5177776701748</v>
      </c>
      <c r="AL34" s="2">
        <v>-6.0920460782654118E-6</v>
      </c>
      <c r="AM34" s="2">
        <f t="shared" si="10"/>
        <v>5.9755052626263685E-11</v>
      </c>
      <c r="AN34" s="2">
        <f t="shared" si="11"/>
        <v>-3.777005769191124E-11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237.41980305795664</v>
      </c>
      <c r="H35" s="25" t="s">
        <v>101</v>
      </c>
      <c r="J35" s="15" t="s">
        <v>70</v>
      </c>
      <c r="K35" s="6">
        <f>ROUND(SUM(K23:K26),2)</f>
        <v>97.74</v>
      </c>
      <c r="L35" s="6" t="s">
        <v>7</v>
      </c>
      <c r="AF35" s="2">
        <v>31</v>
      </c>
      <c r="AG35" s="2">
        <f t="shared" si="13"/>
        <v>2040.5177776701748</v>
      </c>
      <c r="AH35" s="2">
        <v>-6.0920460782654118E-6</v>
      </c>
      <c r="AI35" s="2">
        <f t="shared" si="14"/>
        <v>2040.5177865177393</v>
      </c>
      <c r="AJ35" s="2">
        <v>6.1998969158594264E-6</v>
      </c>
      <c r="AK35" s="2">
        <f t="shared" si="9"/>
        <v>2040.5177820939571</v>
      </c>
      <c r="AL35" s="2">
        <v>-4.2337198919994989E-6</v>
      </c>
      <c r="AM35" s="2">
        <f t="shared" si="10"/>
        <v>2.579201666452981E-11</v>
      </c>
      <c r="AN35" s="2">
        <f t="shared" si="11"/>
        <v>-2.6248626901020397E-11</v>
      </c>
      <c r="AO35" s="2">
        <f t="shared" si="12"/>
        <v>8.8475644588470459E-6</v>
      </c>
    </row>
    <row r="36" spans="2:41" x14ac:dyDescent="0.2">
      <c r="B36" s="6" t="s">
        <v>3</v>
      </c>
      <c r="C36" s="17">
        <v>400</v>
      </c>
      <c r="D36" s="6" t="s">
        <v>4</v>
      </c>
      <c r="J36" s="10" t="s">
        <v>59</v>
      </c>
      <c r="K36" s="10">
        <f>SUM(K31:K35)</f>
        <v>2040.52</v>
      </c>
      <c r="L36" s="6" t="s">
        <v>7</v>
      </c>
      <c r="AF36" s="2">
        <v>32</v>
      </c>
      <c r="AG36" s="2">
        <f t="shared" si="13"/>
        <v>2040.5177820939571</v>
      </c>
      <c r="AH36" s="2">
        <v>-4.2337198919994989E-6</v>
      </c>
      <c r="AI36" s="2">
        <f t="shared" si="14"/>
        <v>2040.5177865177393</v>
      </c>
      <c r="AJ36" s="2">
        <v>6.1998969158594264E-6</v>
      </c>
      <c r="AK36" s="2">
        <f t="shared" si="9"/>
        <v>2040.5177843058482</v>
      </c>
      <c r="AL36" s="2">
        <v>5.2707337090396322E-6</v>
      </c>
      <c r="AM36" s="2">
        <f t="shared" si="10"/>
        <v>-2.231481014939339E-11</v>
      </c>
      <c r="AN36" s="2">
        <f t="shared" si="11"/>
        <v>3.2678005666991131E-11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2040.5177820939571</v>
      </c>
      <c r="AH37" s="2">
        <v>-4.2337198919994989E-6</v>
      </c>
      <c r="AI37" s="2">
        <f t="shared" si="14"/>
        <v>2040.5177843058482</v>
      </c>
      <c r="AJ37" s="2">
        <v>5.2707337090396322E-6</v>
      </c>
      <c r="AK37" s="2">
        <f t="shared" si="9"/>
        <v>2040.5177831999026</v>
      </c>
      <c r="AL37" s="2">
        <v>-3.7691379475290887E-6</v>
      </c>
      <c r="AM37" s="2">
        <f t="shared" si="10"/>
        <v>1.5957474304144067E-11</v>
      </c>
      <c r="AN37" s="2">
        <f t="shared" si="11"/>
        <v>-1.986612243406202E-11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2040.5177831999026</v>
      </c>
      <c r="AH38" s="2">
        <v>-3.7691379475290887E-6</v>
      </c>
      <c r="AI38" s="2">
        <f t="shared" si="14"/>
        <v>2040.5177843058482</v>
      </c>
      <c r="AJ38" s="2">
        <v>5.2707337090396322E-6</v>
      </c>
      <c r="AK38" s="2">
        <f t="shared" si="9"/>
        <v>2040.5177837528754</v>
      </c>
      <c r="AL38" s="2">
        <v>5.0384428504912648E-6</v>
      </c>
      <c r="AM38" s="2">
        <f t="shared" si="10"/>
        <v>-1.8990586144243257E-11</v>
      </c>
      <c r="AN38" s="2">
        <f t="shared" si="11"/>
        <v>2.6556290573154042E-11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29.4</v>
      </c>
      <c r="L39" s="6" t="s">
        <v>58</v>
      </c>
      <c r="AF39" s="2">
        <v>35</v>
      </c>
      <c r="AG39" s="2">
        <f t="shared" si="13"/>
        <v>2040.5177831999026</v>
      </c>
      <c r="AH39" s="2">
        <v>-3.7691379475290887E-6</v>
      </c>
      <c r="AI39" s="2">
        <f t="shared" si="14"/>
        <v>2040.5177837528754</v>
      </c>
      <c r="AJ39" s="2">
        <v>5.0384428504912648E-6</v>
      </c>
      <c r="AK39" s="2">
        <f t="shared" si="9"/>
        <v>2040.517783476389</v>
      </c>
      <c r="AL39" s="2">
        <v>-3.6529920635075541E-6</v>
      </c>
      <c r="AM39" s="2">
        <f t="shared" si="10"/>
        <v>1.3768631008588913E-11</v>
      </c>
      <c r="AN39" s="2">
        <f t="shared" si="11"/>
        <v>-1.8405391745280969E-11</v>
      </c>
      <c r="AO39" s="2">
        <f t="shared" si="12"/>
        <v>5.5297277867794037E-7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34.93</v>
      </c>
      <c r="L40" s="6" t="s">
        <v>58</v>
      </c>
      <c r="AF40" s="2">
        <v>36</v>
      </c>
      <c r="AG40" s="2">
        <f t="shared" si="13"/>
        <v>2040.517783476389</v>
      </c>
      <c r="AH40" s="2">
        <v>-3.6529920635075541E-6</v>
      </c>
      <c r="AI40" s="2">
        <f t="shared" si="14"/>
        <v>2040.5177837528754</v>
      </c>
      <c r="AJ40" s="2">
        <v>5.0384428504912648E-6</v>
      </c>
      <c r="AK40" s="2">
        <f t="shared" si="9"/>
        <v>2040.5177836146322</v>
      </c>
      <c r="AL40" s="2">
        <v>-3.5949199173046509E-6</v>
      </c>
      <c r="AM40" s="2">
        <f t="shared" si="10"/>
        <v>1.3132213926859122E-11</v>
      </c>
      <c r="AN40" s="2">
        <f t="shared" si="11"/>
        <v>-1.8112798555432267E-11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22.54</v>
      </c>
      <c r="L41" s="6" t="s">
        <v>58</v>
      </c>
      <c r="AF41" s="2">
        <v>37</v>
      </c>
      <c r="AG41" s="2">
        <f t="shared" si="13"/>
        <v>2040.5177836146322</v>
      </c>
      <c r="AH41" s="2">
        <v>-3.5949199173046509E-6</v>
      </c>
      <c r="AI41" s="2">
        <f t="shared" si="14"/>
        <v>2040.5177837528754</v>
      </c>
      <c r="AJ41" s="2">
        <v>5.0384428504912648E-6</v>
      </c>
      <c r="AK41" s="2">
        <f t="shared" si="9"/>
        <v>2040.5177836837538</v>
      </c>
      <c r="AL41" s="2">
        <v>-3.565882707334822E-6</v>
      </c>
      <c r="AM41" s="2">
        <f t="shared" si="10"/>
        <v>1.2819062767370183E-11</v>
      </c>
      <c r="AN41" s="2">
        <f t="shared" si="11"/>
        <v>-1.7966496232461569E-11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8.33</v>
      </c>
      <c r="L42" s="6" t="s">
        <v>58</v>
      </c>
      <c r="AF42" s="2">
        <v>38</v>
      </c>
      <c r="AG42" s="2">
        <f t="shared" si="13"/>
        <v>2040.5177836837538</v>
      </c>
      <c r="AH42" s="2">
        <v>-3.565882707334822E-6</v>
      </c>
      <c r="AI42" s="2">
        <f t="shared" si="14"/>
        <v>2040.5177837528754</v>
      </c>
      <c r="AJ42" s="2">
        <v>5.0384428504912648E-6</v>
      </c>
      <c r="AK42" s="2">
        <f t="shared" si="9"/>
        <v>2040.5177837183146</v>
      </c>
      <c r="AL42" s="2">
        <v>-3.5513653529051226E-6</v>
      </c>
      <c r="AM42" s="2">
        <f t="shared" si="10"/>
        <v>1.2663752299352404E-11</v>
      </c>
      <c r="AN42" s="2">
        <f t="shared" si="11"/>
        <v>-1.7893351371827202E-11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4.79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2040.5177837183146</v>
      </c>
      <c r="AH43" s="2">
        <v>-3.5513653529051226E-6</v>
      </c>
      <c r="AI43" s="2">
        <f t="shared" si="14"/>
        <v>2040.5177837528754</v>
      </c>
      <c r="AJ43" s="2">
        <v>5.0384428504912648E-6</v>
      </c>
      <c r="AK43" s="2">
        <f t="shared" si="9"/>
        <v>2040.517783735595</v>
      </c>
      <c r="AL43" s="2">
        <v>5.0311837185290642E-6</v>
      </c>
      <c r="AM43" s="2">
        <f t="shared" si="10"/>
        <v>-1.7867571542084477E-11</v>
      </c>
      <c r="AN43" s="2">
        <f t="shared" si="11"/>
        <v>2.534933163613082E-11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99.990000000000009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2040.5177837183146</v>
      </c>
      <c r="AH44" s="2">
        <v>-3.5513653529051226E-6</v>
      </c>
      <c r="AI44" s="2">
        <f t="shared" si="14"/>
        <v>2040.517783735595</v>
      </c>
      <c r="AJ44" s="2">
        <v>5.0311837185290642E-6</v>
      </c>
      <c r="AK44" s="5">
        <f>(AG44+AI44)/2</f>
        <v>2040.5177837269548</v>
      </c>
      <c r="AL44" s="2">
        <v>5.0275546072953148E-6</v>
      </c>
      <c r="AM44" s="2">
        <f t="shared" si="10"/>
        <v>-1.78546832421871E-11</v>
      </c>
      <c r="AN44" s="2">
        <f t="shared" si="11"/>
        <v>2.5294550884239971E-11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1952.1492761228371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29.4</v>
      </c>
      <c r="L47" s="6" t="s">
        <v>58</v>
      </c>
      <c r="N47" s="6" t="s">
        <v>154</v>
      </c>
      <c r="O47" s="6">
        <f>0.377*O46^0.6945</f>
        <v>72.71142321974142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34.93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35.659999999999997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41" priority="1" operator="containsText" text="FALSE">
      <formula>NOT(ISERROR(SEARCH("FALSE",K28)))</formula>
    </cfRule>
    <cfRule type="containsText" dxfId="40" priority="2" operator="containsText" text="TRUE">
      <formula>NOT(ISERROR(SEARCH("TRUE",K28)))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NOT(ISERROR(SEARCH("YES",K28)))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A725-853A-524C-AA19-CDE8E81561F8}">
  <dimension ref="B1:AO56"/>
  <sheetViews>
    <sheetView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339.25662845210013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6.1710767545145262E-2</v>
      </c>
      <c r="X4" s="3">
        <v>1</v>
      </c>
      <c r="Y4" s="2">
        <f t="shared" ref="Y4:Y34" si="1" xml:space="preserve"> $O$20 * TAN($O$17/180*PI()) + $O$21 / (2 * SQRT($O$20^2 + X4^2)) - X4</f>
        <v>-0.94154427377190597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-0.44011492204895708</v>
      </c>
      <c r="AB4" s="2">
        <f>W4*AA4</f>
        <v>-2.7159829647712918E-2</v>
      </c>
      <c r="AC4" s="2">
        <f>Y4*AA4</f>
        <v>0.41438768465676429</v>
      </c>
      <c r="AD4" s="2">
        <f>X4-V4</f>
        <v>1</v>
      </c>
      <c r="AF4" s="2">
        <v>0</v>
      </c>
      <c r="AG4" s="2"/>
      <c r="AH4" s="2">
        <f>K27</f>
        <v>2.4901785968722834E-4</v>
      </c>
      <c r="AI4" s="2"/>
      <c r="AJ4" s="2">
        <f>K27</f>
        <v>2.4901785968722834E-4</v>
      </c>
      <c r="AK4" s="2"/>
      <c r="AL4" s="2">
        <f>K27</f>
        <v>2.4901785968722834E-4</v>
      </c>
      <c r="AM4" s="2"/>
      <c r="AN4" s="2"/>
      <c r="AO4" s="2"/>
    </row>
    <row r="5" spans="2:41" x14ac:dyDescent="0.2">
      <c r="B5" s="10" t="s">
        <v>37</v>
      </c>
      <c r="C5" s="10">
        <v>1740.34747474549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84.814157113025033</v>
      </c>
      <c r="L5" s="6" t="s">
        <v>101</v>
      </c>
      <c r="N5" s="6" t="s">
        <v>114</v>
      </c>
      <c r="O5" s="6">
        <f xml:space="preserve"> $C$18 * 0.85 * ($C$5/$C$18 *2.20462/1000)^(2/3) * 0.3048^2</f>
        <v>0.30721941303862066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6.1710767545145262E-2</v>
      </c>
      <c r="X5" s="2">
        <f>IF(AC4&gt;0, Z4, X4)</f>
        <v>0.5</v>
      </c>
      <c r="Y5" s="2">
        <f t="shared" si="1"/>
        <v>-0.44011492204895708</v>
      </c>
      <c r="Z5" s="2">
        <f t="shared" ref="Z5:Z34" si="3" xml:space="preserve"> (V5 + X5)/2</f>
        <v>0.25</v>
      </c>
      <c r="AA5" s="2">
        <f t="shared" si="2"/>
        <v>-0.18898261553211484</v>
      </c>
      <c r="AB5" s="2">
        <f t="shared" ref="AB5:AB34" si="4">W5*AA5</f>
        <v>-1.1662262257175898E-2</v>
      </c>
      <c r="AC5" s="2">
        <f t="shared" ref="AC5:AC34" si="5">Y5*AA5</f>
        <v>8.3174069103524748E-2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-808.31176899258844</v>
      </c>
      <c r="AI5" s="3">
        <v>10000</v>
      </c>
      <c r="AJ5" s="2">
        <f t="dataTable" ref="AJ5:AJ44" dt2D="0" dtr="0" r1="C5" ca="1"/>
        <v>3869.5357901219741</v>
      </c>
      <c r="AK5" s="2">
        <f>(AG5+AI5)/2</f>
        <v>5250</v>
      </c>
      <c r="AL5" s="2">
        <f t="dataTable" ref="AL5:AL44" dt2D="0" dtr="0" r1="C5" ca="1"/>
        <v>1953.03003751817</v>
      </c>
      <c r="AM5" s="2">
        <f>AH5*AL5</f>
        <v>-1578657.1645219733</v>
      </c>
      <c r="AN5" s="2">
        <f>AJ5*AL5</f>
        <v>7557319.6293598209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6.1710767545145262E-2</v>
      </c>
      <c r="X6" s="2">
        <f t="shared" ref="X6:X34" si="8">IF(AC5&gt;0, Z5, X5)</f>
        <v>0.25</v>
      </c>
      <c r="Y6" s="2">
        <f t="shared" si="1"/>
        <v>-0.18898261553211484</v>
      </c>
      <c r="Z6" s="2">
        <f t="shared" si="3"/>
        <v>0.125</v>
      </c>
      <c r="AA6" s="2">
        <f t="shared" si="2"/>
        <v>-6.3490154206283997E-2</v>
      </c>
      <c r="AB6" s="2">
        <f t="shared" si="4"/>
        <v>-3.918026147629418E-3</v>
      </c>
      <c r="AC6" s="2">
        <f t="shared" si="5"/>
        <v>1.1998535402440853E-2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-808.31176899258844</v>
      </c>
      <c r="AI6" s="2">
        <f>IF(AN5&gt;0, AK5, AI5)</f>
        <v>5250</v>
      </c>
      <c r="AJ6" s="2">
        <v>1953.03003751817</v>
      </c>
      <c r="AK6" s="2">
        <f t="shared" ref="AK6:AK43" si="9">(AG6+AI6)/2</f>
        <v>2875</v>
      </c>
      <c r="AL6" s="2">
        <v>688.05953568538735</v>
      </c>
      <c r="AM6" s="2">
        <f t="shared" ref="AM6:AM44" si="10">AH6*AL6</f>
        <v>-556166.62046207453</v>
      </c>
      <c r="AN6" s="2">
        <f t="shared" ref="AN6:AN44" si="11">AJ6*AL6</f>
        <v>1343800.9407943666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398.77272413962697</v>
      </c>
      <c r="D7" s="6" t="s">
        <v>125</v>
      </c>
      <c r="F7" t="s">
        <v>121</v>
      </c>
      <c r="G7" s="8">
        <f>$C$6*2*PI()/60*$C$9</f>
        <v>148.0578121113133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0.9374960363737167</v>
      </c>
      <c r="P7" s="6" t="s">
        <v>115</v>
      </c>
      <c r="U7" s="2">
        <v>3</v>
      </c>
      <c r="V7" s="2">
        <f t="shared" si="7"/>
        <v>0</v>
      </c>
      <c r="W7" s="2">
        <f t="shared" si="0"/>
        <v>6.1710767545145262E-2</v>
      </c>
      <c r="X7" s="2">
        <f t="shared" si="8"/>
        <v>0.125</v>
      </c>
      <c r="Y7" s="2">
        <f t="shared" si="1"/>
        <v>-6.3490154206283997E-2</v>
      </c>
      <c r="Z7" s="2">
        <f t="shared" si="3"/>
        <v>6.25E-2</v>
      </c>
      <c r="AA7" s="2">
        <f t="shared" si="2"/>
        <v>-8.4158789010845003E-4</v>
      </c>
      <c r="AB7" s="2">
        <f t="shared" si="4"/>
        <v>-5.1935034655291816E-5</v>
      </c>
      <c r="AC7" s="2">
        <f t="shared" si="5"/>
        <v>5.3432544921126681E-5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-808.31176899258844</v>
      </c>
      <c r="AI7" s="2">
        <f t="shared" ref="AI7:AI44" si="14">IF(AN6&gt;0, AK6, AI6)</f>
        <v>2875</v>
      </c>
      <c r="AJ7" s="2">
        <v>688.05953568538735</v>
      </c>
      <c r="AK7" s="2">
        <f t="shared" si="9"/>
        <v>1687.5</v>
      </c>
      <c r="AL7" s="2">
        <v>-34.876258248971453</v>
      </c>
      <c r="AM7" s="2">
        <f t="shared" si="10"/>
        <v>28190.89000106847</v>
      </c>
      <c r="AN7" s="2">
        <f t="shared" si="11"/>
        <v>-23996.942057230957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0.44339712169282308</v>
      </c>
      <c r="H8" s="6" t="s">
        <v>122</v>
      </c>
      <c r="J8" s="6" t="s">
        <v>96</v>
      </c>
      <c r="K8" s="6">
        <f xml:space="preserve"> $C$15 * (G12*G6 + G22*G15 + G31*G27 +G35*G34)/3600</f>
        <v>181.51892305180951</v>
      </c>
      <c r="L8" s="6" t="s">
        <v>102</v>
      </c>
      <c r="N8" s="6" t="s">
        <v>38</v>
      </c>
      <c r="O8" s="6">
        <f xml:space="preserve"> O4 *O7</f>
        <v>2125.7383116154047</v>
      </c>
      <c r="P8" s="6" t="s">
        <v>20</v>
      </c>
      <c r="U8" s="2">
        <v>4</v>
      </c>
      <c r="V8" s="2">
        <f t="shared" si="7"/>
        <v>0</v>
      </c>
      <c r="W8" s="2">
        <f t="shared" si="0"/>
        <v>6.1710767545145262E-2</v>
      </c>
      <c r="X8" s="2">
        <f t="shared" si="8"/>
        <v>6.25E-2</v>
      </c>
      <c r="Y8" s="2">
        <f t="shared" si="1"/>
        <v>-8.4158789010845003E-4</v>
      </c>
      <c r="Z8" s="2">
        <f t="shared" si="3"/>
        <v>3.125E-2</v>
      </c>
      <c r="AA8" s="2">
        <f t="shared" si="2"/>
        <v>3.0447537960738742E-2</v>
      </c>
      <c r="AB8" s="2">
        <f t="shared" si="4"/>
        <v>1.8789409374171348E-3</v>
      </c>
      <c r="AC8" s="2">
        <f t="shared" si="5"/>
        <v>-2.5624279231375056E-5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-34.876258248971453</v>
      </c>
      <c r="AI8" s="2">
        <f t="shared" si="14"/>
        <v>2875</v>
      </c>
      <c r="AJ8" s="2">
        <v>688.05953568538735</v>
      </c>
      <c r="AK8" s="2">
        <f t="shared" si="9"/>
        <v>2281.25</v>
      </c>
      <c r="AL8" s="2">
        <v>338.97203212520367</v>
      </c>
      <c r="AM8" s="2">
        <f t="shared" si="10"/>
        <v>-11822.076131577251</v>
      </c>
      <c r="AN8" s="2">
        <f t="shared" si="11"/>
        <v>233232.93903439984</v>
      </c>
      <c r="AO8" s="2">
        <f t="shared" si="12"/>
        <v>1187.5</v>
      </c>
    </row>
    <row r="9" spans="2:41" x14ac:dyDescent="0.2">
      <c r="B9" s="6" t="s">
        <v>95</v>
      </c>
      <c r="C9" s="17">
        <v>3.53461989913299</v>
      </c>
      <c r="D9" s="6" t="s">
        <v>8</v>
      </c>
      <c r="F9" t="s">
        <v>19</v>
      </c>
      <c r="G9" s="6">
        <f xml:space="preserve"> $C$5 * $C$44 / $C$18</f>
        <v>4264.5001113587841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2125.7383116154047</v>
      </c>
      <c r="P9" s="6" t="s">
        <v>20</v>
      </c>
      <c r="U9" s="2">
        <v>5</v>
      </c>
      <c r="V9" s="2">
        <f t="shared" si="7"/>
        <v>3.125E-2</v>
      </c>
      <c r="W9" s="2">
        <f t="shared" si="0"/>
        <v>3.0447537960738742E-2</v>
      </c>
      <c r="X9" s="2">
        <f t="shared" si="8"/>
        <v>6.25E-2</v>
      </c>
      <c r="Y9" s="2">
        <f t="shared" si="1"/>
        <v>-8.4158789010845003E-4</v>
      </c>
      <c r="Z9" s="2">
        <f t="shared" si="3"/>
        <v>4.6875E-2</v>
      </c>
      <c r="AA9" s="2">
        <f t="shared" si="2"/>
        <v>1.4806133825421758E-2</v>
      </c>
      <c r="AB9" s="2">
        <f t="shared" si="4"/>
        <v>4.5081032170130693E-4</v>
      </c>
      <c r="AC9" s="2">
        <f t="shared" si="5"/>
        <v>-1.2460662926800051E-5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-34.876258248971453</v>
      </c>
      <c r="AI9" s="2">
        <f t="shared" si="14"/>
        <v>2281.25</v>
      </c>
      <c r="AJ9" s="2">
        <v>338.97203212520367</v>
      </c>
      <c r="AK9" s="2">
        <f t="shared" si="9"/>
        <v>1984.375</v>
      </c>
      <c r="AL9" s="2">
        <v>160.45359917088808</v>
      </c>
      <c r="AM9" s="2">
        <f t="shared" si="10"/>
        <v>-5596.0211616608449</v>
      </c>
      <c r="AN9" s="2">
        <f t="shared" si="11"/>
        <v>54389.282572758828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48.950842788055638</v>
      </c>
      <c r="H10" s="6" t="s">
        <v>101</v>
      </c>
      <c r="N10" s="6" t="s">
        <v>113</v>
      </c>
      <c r="O10" s="6">
        <f>O7/(0.3048^2)/($C$5*2.20462/1000)^(2/3)</f>
        <v>4.1174314236557992</v>
      </c>
      <c r="U10" s="2">
        <v>6</v>
      </c>
      <c r="V10" s="2">
        <f t="shared" si="7"/>
        <v>4.6875E-2</v>
      </c>
      <c r="W10" s="2">
        <f t="shared" si="0"/>
        <v>1.4806133825421758E-2</v>
      </c>
      <c r="X10" s="2">
        <f t="shared" si="8"/>
        <v>6.25E-2</v>
      </c>
      <c r="Y10" s="2">
        <f t="shared" si="1"/>
        <v>-8.4158789010845003E-4</v>
      </c>
      <c r="Z10" s="2">
        <f t="shared" si="3"/>
        <v>5.46875E-2</v>
      </c>
      <c r="AA10" s="2">
        <f t="shared" si="2"/>
        <v>6.9830493333270446E-3</v>
      </c>
      <c r="AB10" s="2">
        <f t="shared" si="4"/>
        <v>1.0339196293876241E-4</v>
      </c>
      <c r="AC10" s="2">
        <f t="shared" si="5"/>
        <v>-5.8768497549579257E-6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-34.876258248971453</v>
      </c>
      <c r="AI10" s="2">
        <f t="shared" si="14"/>
        <v>1984.375</v>
      </c>
      <c r="AJ10" s="2">
        <v>160.45359917088808</v>
      </c>
      <c r="AK10" s="2">
        <f t="shared" si="9"/>
        <v>1835.9375</v>
      </c>
      <c r="AL10" s="2">
        <v>63.016126697258187</v>
      </c>
      <c r="AM10" s="2">
        <f t="shared" si="10"/>
        <v>-2197.7667085434809</v>
      </c>
      <c r="AN10" s="2">
        <f t="shared" si="11"/>
        <v>10111.164334383764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8.8882406084443719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5.46875E-2</v>
      </c>
      <c r="W11" s="2">
        <f t="shared" si="0"/>
        <v>6.9830493333270446E-3</v>
      </c>
      <c r="X11" s="2">
        <f t="shared" si="8"/>
        <v>6.25E-2</v>
      </c>
      <c r="Y11" s="2">
        <f t="shared" si="1"/>
        <v>-8.4158789010845003E-4</v>
      </c>
      <c r="Z11" s="2">
        <f t="shared" si="3"/>
        <v>5.859375E-2</v>
      </c>
      <c r="AA11" s="2">
        <f t="shared" si="2"/>
        <v>3.0709229384041289E-3</v>
      </c>
      <c r="AB11" s="2">
        <f t="shared" si="4"/>
        <v>2.1444406377721682E-5</v>
      </c>
      <c r="AC11" s="2">
        <f t="shared" si="5"/>
        <v>-2.5844515564171726E-6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-34.876258248971453</v>
      </c>
      <c r="AI11" s="2">
        <f t="shared" si="14"/>
        <v>1835.9375</v>
      </c>
      <c r="AJ11" s="2">
        <v>63.016126697258187</v>
      </c>
      <c r="AK11" s="2">
        <f t="shared" si="9"/>
        <v>1761.71875</v>
      </c>
      <c r="AL11" s="2">
        <v>14.096940035081843</v>
      </c>
      <c r="AM11" s="2">
        <f t="shared" si="10"/>
        <v>-491.64852118377905</v>
      </c>
      <c r="AN11" s="2">
        <f t="shared" si="11"/>
        <v>888.33455929436866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195.80337115222255</v>
      </c>
      <c r="H12" s="25" t="s">
        <v>101</v>
      </c>
      <c r="J12" s="10" t="s">
        <v>79</v>
      </c>
      <c r="K12" s="6">
        <f>C5</f>
        <v>1740.34747474549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5.859375E-2</v>
      </c>
      <c r="W12" s="2">
        <f t="shared" si="0"/>
        <v>3.0709229384041289E-3</v>
      </c>
      <c r="X12" s="2">
        <f t="shared" si="8"/>
        <v>6.25E-2</v>
      </c>
      <c r="Y12" s="2">
        <f t="shared" si="1"/>
        <v>-8.4158789010845003E-4</v>
      </c>
      <c r="Z12" s="2">
        <f t="shared" si="3"/>
        <v>6.0546875E-2</v>
      </c>
      <c r="AA12" s="2">
        <f t="shared" si="2"/>
        <v>1.1147153315276062E-3</v>
      </c>
      <c r="AB12" s="2">
        <f t="shared" si="4"/>
        <v>3.4232048813788892E-6</v>
      </c>
      <c r="AC12" s="2">
        <f t="shared" si="5"/>
        <v>-9.381309239318595E-7</v>
      </c>
      <c r="AD12" s="2">
        <f t="shared" si="6"/>
        <v>3.90625E-3</v>
      </c>
      <c r="AF12" s="2">
        <v>8</v>
      </c>
      <c r="AG12" s="2">
        <f t="shared" si="13"/>
        <v>1687.5</v>
      </c>
      <c r="AH12" s="2">
        <v>-34.876258248971453</v>
      </c>
      <c r="AI12" s="2">
        <f t="shared" si="14"/>
        <v>1761.71875</v>
      </c>
      <c r="AJ12" s="2">
        <v>14.096940035081843</v>
      </c>
      <c r="AK12" s="2">
        <f t="shared" si="9"/>
        <v>1724.609375</v>
      </c>
      <c r="AL12" s="2">
        <v>-10.383484310088306</v>
      </c>
      <c r="AM12" s="2">
        <f t="shared" si="10"/>
        <v>362.13708032278294</v>
      </c>
      <c r="AN12" s="2">
        <f t="shared" si="11"/>
        <v>-146.37535567452801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485.34471404227145</v>
      </c>
      <c r="L13" s="6" t="s">
        <v>7</v>
      </c>
      <c r="N13" s="6" t="s">
        <v>74</v>
      </c>
      <c r="O13" s="6">
        <f xml:space="preserve"> SQRT( ($C$5*$C$50)^2 + O9^2)</f>
        <v>17188.323965584528</v>
      </c>
      <c r="P13" s="6" t="s">
        <v>20</v>
      </c>
      <c r="U13" s="2">
        <v>9</v>
      </c>
      <c r="V13" s="2">
        <f t="shared" si="7"/>
        <v>6.0546875E-2</v>
      </c>
      <c r="W13" s="2">
        <f t="shared" si="0"/>
        <v>1.1147153315276062E-3</v>
      </c>
      <c r="X13" s="2">
        <f t="shared" si="8"/>
        <v>6.25E-2</v>
      </c>
      <c r="Y13" s="2">
        <f t="shared" si="1"/>
        <v>-8.4158789010845003E-4</v>
      </c>
      <c r="Z13" s="2">
        <f t="shared" si="3"/>
        <v>6.15234375E-2</v>
      </c>
      <c r="AA13" s="2">
        <f t="shared" si="2"/>
        <v>1.3657564093882968E-4</v>
      </c>
      <c r="AB13" s="2">
        <f t="shared" si="4"/>
        <v>1.5224296086772282E-7</v>
      </c>
      <c r="AC13" s="2">
        <f t="shared" si="5"/>
        <v>-1.1494040549791892E-7</v>
      </c>
      <c r="AD13" s="2">
        <f t="shared" si="6"/>
        <v>1.953125E-3</v>
      </c>
      <c r="AF13" s="2">
        <v>9</v>
      </c>
      <c r="AG13" s="2">
        <f t="shared" si="13"/>
        <v>1724.609375</v>
      </c>
      <c r="AH13" s="2">
        <v>-10.383484310088306</v>
      </c>
      <c r="AI13" s="2">
        <f t="shared" si="14"/>
        <v>1761.71875</v>
      </c>
      <c r="AJ13" s="2">
        <v>14.096940035081843</v>
      </c>
      <c r="AK13" s="2">
        <f t="shared" si="9"/>
        <v>1743.1640625</v>
      </c>
      <c r="AL13" s="2">
        <v>1.8583476727062589</v>
      </c>
      <c r="AM13" s="2">
        <f t="shared" si="10"/>
        <v>-19.296123902234559</v>
      </c>
      <c r="AN13" s="2">
        <f t="shared" si="11"/>
        <v>26.19701570647403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 xml:space="preserve"> $C$54 * $C$18 * (0.0095 * MAX(G9,O18,G28) - 1.9275)</f>
        <v>124.46326213844242</v>
      </c>
      <c r="L14" s="6" t="s">
        <v>7</v>
      </c>
      <c r="N14" s="6" t="s">
        <v>75</v>
      </c>
      <c r="O14" s="6">
        <f>$C$5*$C$50/O13</f>
        <v>0.99232297783610179</v>
      </c>
      <c r="U14" s="2">
        <v>10</v>
      </c>
      <c r="V14" s="2">
        <f t="shared" si="7"/>
        <v>6.15234375E-2</v>
      </c>
      <c r="W14" s="2">
        <f t="shared" si="0"/>
        <v>1.3657564093882968E-4</v>
      </c>
      <c r="X14" s="2">
        <f t="shared" si="8"/>
        <v>6.25E-2</v>
      </c>
      <c r="Y14" s="2">
        <f t="shared" si="1"/>
        <v>-8.4158789010845003E-4</v>
      </c>
      <c r="Z14" s="2">
        <f t="shared" si="3"/>
        <v>6.201171875E-2</v>
      </c>
      <c r="AA14" s="2">
        <f t="shared" si="2"/>
        <v>-3.5250314852660475E-4</v>
      </c>
      <c r="AB14" s="2">
        <f t="shared" si="4"/>
        <v>-4.8143343442976516E-8</v>
      </c>
      <c r="AC14" s="2">
        <f t="shared" si="5"/>
        <v>2.9666238102509088E-7</v>
      </c>
      <c r="AD14" s="2">
        <f t="shared" si="6"/>
        <v>9.765625E-4</v>
      </c>
      <c r="AF14" s="2">
        <v>10</v>
      </c>
      <c r="AG14" s="2">
        <f t="shared" si="13"/>
        <v>1724.609375</v>
      </c>
      <c r="AH14" s="2">
        <v>-10.383484310088306</v>
      </c>
      <c r="AI14" s="2">
        <f t="shared" si="14"/>
        <v>1743.1640625</v>
      </c>
      <c r="AJ14" s="2">
        <v>1.8583476727062589</v>
      </c>
      <c r="AK14" s="2">
        <f t="shared" si="9"/>
        <v>1733.88671875</v>
      </c>
      <c r="AL14" s="2">
        <v>-4.2621764084890401</v>
      </c>
      <c r="AM14" s="2">
        <f t="shared" si="10"/>
        <v>44.256241864374473</v>
      </c>
      <c r="AN14" s="2">
        <f t="shared" si="11"/>
        <v>-7.9206056093791286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198.37865821631689</v>
      </c>
      <c r="L15" s="6" t="s">
        <v>7</v>
      </c>
      <c r="U15" s="2">
        <v>11</v>
      </c>
      <c r="V15" s="2">
        <f t="shared" si="7"/>
        <v>6.15234375E-2</v>
      </c>
      <c r="W15" s="2">
        <f t="shared" si="0"/>
        <v>1.3657564093882968E-4</v>
      </c>
      <c r="X15" s="2">
        <f t="shared" si="8"/>
        <v>6.201171875E-2</v>
      </c>
      <c r="Y15" s="2">
        <f t="shared" si="1"/>
        <v>-3.5250314852660475E-4</v>
      </c>
      <c r="Z15" s="2">
        <f t="shared" si="3"/>
        <v>6.1767578125E-2</v>
      </c>
      <c r="AA15" s="2">
        <f t="shared" si="2"/>
        <v>-1.0796300927735925E-4</v>
      </c>
      <c r="AB15" s="2">
        <f t="shared" si="4"/>
        <v>-1.4745117189740155E-8</v>
      </c>
      <c r="AC15" s="2">
        <f t="shared" si="5"/>
        <v>3.8057300694676176E-8</v>
      </c>
      <c r="AD15" s="2">
        <f t="shared" si="6"/>
        <v>4.8828125E-4</v>
      </c>
      <c r="AF15" s="2">
        <v>11</v>
      </c>
      <c r="AG15" s="2">
        <f t="shared" si="13"/>
        <v>1733.88671875</v>
      </c>
      <c r="AH15" s="2">
        <v>-4.2621764084890401</v>
      </c>
      <c r="AI15" s="2">
        <f t="shared" si="14"/>
        <v>1743.1640625</v>
      </c>
      <c r="AJ15" s="2">
        <v>1.8583476727062589</v>
      </c>
      <c r="AK15" s="2">
        <f t="shared" si="9"/>
        <v>1738.525390625</v>
      </c>
      <c r="AL15" s="2">
        <v>-1.2018119652111636</v>
      </c>
      <c r="AM15" s="2">
        <f t="shared" si="10"/>
        <v>5.1223346055628722</v>
      </c>
      <c r="AN15" s="2">
        <f t="shared" si="11"/>
        <v>-2.2333844685807014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147.60354266445364</v>
      </c>
      <c r="H16" s="6" t="s">
        <v>10</v>
      </c>
      <c r="J16" s="13" t="s">
        <v>53</v>
      </c>
      <c r="K16" s="6">
        <f xml:space="preserve"> $C$54 * 0.2138 * K4</f>
        <v>58.026453730447209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6.15234375E-2</v>
      </c>
      <c r="W16" s="2">
        <f t="shared" si="0"/>
        <v>1.3657564093882968E-4</v>
      </c>
      <c r="X16" s="2">
        <f t="shared" si="8"/>
        <v>6.1767578125E-2</v>
      </c>
      <c r="Y16" s="2">
        <f t="shared" si="1"/>
        <v>-1.0796300927735925E-4</v>
      </c>
      <c r="Z16" s="2">
        <f t="shared" si="3"/>
        <v>6.16455078125E-2</v>
      </c>
      <c r="AA16" s="2">
        <f t="shared" si="2"/>
        <v>1.4306502022429224E-5</v>
      </c>
      <c r="AB16" s="2">
        <f t="shared" si="4"/>
        <v>1.9539196833059345E-9</v>
      </c>
      <c r="AC16" s="2">
        <f t="shared" si="5"/>
        <v>-1.5445730105740852E-9</v>
      </c>
      <c r="AD16" s="2">
        <f t="shared" si="6"/>
        <v>2.44140625E-4</v>
      </c>
      <c r="AF16" s="2">
        <v>12</v>
      </c>
      <c r="AG16" s="2">
        <f t="shared" si="13"/>
        <v>1738.525390625</v>
      </c>
      <c r="AH16" s="2">
        <v>-1.2018119652111636</v>
      </c>
      <c r="AI16" s="2">
        <f t="shared" si="14"/>
        <v>1743.1640625</v>
      </c>
      <c r="AJ16" s="2">
        <v>1.8583476727062589</v>
      </c>
      <c r="AK16" s="2">
        <f t="shared" si="9"/>
        <v>1740.8447265625</v>
      </c>
      <c r="AL16" s="2">
        <v>0.32829229285107431</v>
      </c>
      <c r="AM16" s="2">
        <f t="shared" si="10"/>
        <v>-0.39454560563502844</v>
      </c>
      <c r="AN16" s="2">
        <f t="shared" si="11"/>
        <v>0.61008121838719553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0.44362456530571509</v>
      </c>
      <c r="H17" s="6" t="s">
        <v>122</v>
      </c>
      <c r="J17" s="13" t="s">
        <v>77</v>
      </c>
      <c r="K17" s="6">
        <f xml:space="preserve"> $C$54 * 0.1149 * K4</f>
        <v>31.184469287317043</v>
      </c>
      <c r="L17" s="6" t="s">
        <v>7</v>
      </c>
      <c r="N17" s="6" t="s">
        <v>25</v>
      </c>
      <c r="O17" s="6">
        <f xml:space="preserve"> ACOS(O14)/PI()*180</f>
        <v>7.104152245785615</v>
      </c>
      <c r="P17" s="6" t="s">
        <v>40</v>
      </c>
      <c r="U17" s="2">
        <v>13</v>
      </c>
      <c r="V17" s="2">
        <f t="shared" si="7"/>
        <v>6.16455078125E-2</v>
      </c>
      <c r="W17" s="2">
        <f t="shared" si="0"/>
        <v>1.4306502022429224E-5</v>
      </c>
      <c r="X17" s="2">
        <f t="shared" si="8"/>
        <v>6.1767578125E-2</v>
      </c>
      <c r="Y17" s="2">
        <f t="shared" si="1"/>
        <v>-1.0796300927735925E-4</v>
      </c>
      <c r="Z17" s="2">
        <f t="shared" si="3"/>
        <v>6.170654296875E-2</v>
      </c>
      <c r="AA17" s="2">
        <f t="shared" si="2"/>
        <v>-4.6828207087352969E-5</v>
      </c>
      <c r="AB17" s="2">
        <f t="shared" si="4"/>
        <v>-6.699478394019498E-10</v>
      </c>
      <c r="AC17" s="2">
        <f t="shared" si="5"/>
        <v>5.0557141562139882E-9</v>
      </c>
      <c r="AD17" s="2">
        <f t="shared" si="6"/>
        <v>1.220703125E-4</v>
      </c>
      <c r="AF17" s="2">
        <v>13</v>
      </c>
      <c r="AG17" s="2">
        <f t="shared" si="13"/>
        <v>1738.525390625</v>
      </c>
      <c r="AH17" s="2">
        <v>-1.2018119652111636</v>
      </c>
      <c r="AI17" s="2">
        <f t="shared" si="14"/>
        <v>1740.8447265625</v>
      </c>
      <c r="AJ17" s="2">
        <v>0.32829229285107431</v>
      </c>
      <c r="AK17" s="2">
        <f t="shared" si="9"/>
        <v>1739.68505859375</v>
      </c>
      <c r="AL17" s="2">
        <v>-0.43675877768691862</v>
      </c>
      <c r="AM17" s="2">
        <f t="shared" si="10"/>
        <v>0.52490192493514143</v>
      </c>
      <c r="AN17" s="2">
        <f t="shared" si="11"/>
        <v>-0.14338454054967115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4297.080991396132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127.42822668244217</v>
      </c>
      <c r="L18" s="6" t="s">
        <v>7</v>
      </c>
      <c r="N18" s="6" t="s">
        <v>19</v>
      </c>
      <c r="O18" s="6">
        <f xml:space="preserve"> O13 / $C$18</f>
        <v>4297.080991396132</v>
      </c>
      <c r="P18" s="6" t="s">
        <v>20</v>
      </c>
      <c r="U18" s="2">
        <v>14</v>
      </c>
      <c r="V18" s="2">
        <f t="shared" si="7"/>
        <v>6.16455078125E-2</v>
      </c>
      <c r="W18" s="2">
        <f t="shared" si="0"/>
        <v>1.4306502022429224E-5</v>
      </c>
      <c r="X18" s="2">
        <f t="shared" si="8"/>
        <v>6.170654296875E-2</v>
      </c>
      <c r="Y18" s="2">
        <f t="shared" si="1"/>
        <v>-4.6828207087352969E-5</v>
      </c>
      <c r="Z18" s="2">
        <f t="shared" si="3"/>
        <v>6.1676025390625E-2</v>
      </c>
      <c r="AA18" s="2">
        <f t="shared" si="2"/>
        <v>-1.6260840896453743E-5</v>
      </c>
      <c r="AB18" s="2">
        <f t="shared" si="4"/>
        <v>-2.3263575317151531E-10</v>
      </c>
      <c r="AC18" s="2">
        <f t="shared" si="5"/>
        <v>7.6146602491363421E-10</v>
      </c>
      <c r="AD18" s="2">
        <f t="shared" si="6"/>
        <v>6.103515625E-5</v>
      </c>
      <c r="AF18" s="2">
        <v>14</v>
      </c>
      <c r="AG18" s="2">
        <f t="shared" si="13"/>
        <v>1739.68505859375</v>
      </c>
      <c r="AH18" s="2">
        <v>-0.43675877768691862</v>
      </c>
      <c r="AI18" s="2">
        <f t="shared" si="14"/>
        <v>1740.8447265625</v>
      </c>
      <c r="AJ18" s="2">
        <v>0.32829229285107431</v>
      </c>
      <c r="AK18" s="2">
        <f t="shared" si="9"/>
        <v>1740.264892578125</v>
      </c>
      <c r="AL18" s="2">
        <v>-5.4233747242733443E-2</v>
      </c>
      <c r="AM18" s="2">
        <f t="shared" si="10"/>
        <v>2.3687065155117551E-2</v>
      </c>
      <c r="AN18" s="2">
        <f t="shared" si="11"/>
        <v>-1.7804521232222592E-2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56.542771408683357</v>
      </c>
      <c r="H19" s="6" t="s">
        <v>101</v>
      </c>
      <c r="J19" s="14" t="s">
        <v>61</v>
      </c>
      <c r="K19" s="6">
        <f xml:space="preserve"> $C$55 * C31 * $C$5</f>
        <v>19.491891717149489</v>
      </c>
      <c r="L19" s="6" t="s">
        <v>7</v>
      </c>
      <c r="N19" s="6" t="s">
        <v>26</v>
      </c>
      <c r="O19" s="6">
        <f>$C$7*2*PI()/60</f>
        <v>41.759382020301373</v>
      </c>
      <c r="P19" s="6" t="s">
        <v>27</v>
      </c>
      <c r="U19" s="2">
        <v>15</v>
      </c>
      <c r="V19" s="2">
        <f t="shared" si="7"/>
        <v>6.16455078125E-2</v>
      </c>
      <c r="W19" s="2">
        <f t="shared" si="0"/>
        <v>1.4306502022429224E-5</v>
      </c>
      <c r="X19" s="2">
        <f t="shared" si="8"/>
        <v>6.1676025390625E-2</v>
      </c>
      <c r="Y19" s="2">
        <f t="shared" si="1"/>
        <v>-1.6260840896453743E-5</v>
      </c>
      <c r="Z19" s="2">
        <f t="shared" si="3"/>
        <v>6.16607666015625E-2</v>
      </c>
      <c r="AA19" s="2">
        <f t="shared" si="2"/>
        <v>-9.7716652788792935E-7</v>
      </c>
      <c r="AB19" s="2">
        <f t="shared" si="4"/>
        <v>-1.3979834907478803E-11</v>
      </c>
      <c r="AC19" s="2">
        <f t="shared" si="5"/>
        <v>1.5889549439325748E-11</v>
      </c>
      <c r="AD19" s="2">
        <f t="shared" si="6"/>
        <v>3.0517578125E-5</v>
      </c>
      <c r="AF19" s="2">
        <v>15</v>
      </c>
      <c r="AG19" s="2">
        <f t="shared" si="13"/>
        <v>1740.264892578125</v>
      </c>
      <c r="AH19" s="2">
        <v>-5.4233747242733443E-2</v>
      </c>
      <c r="AI19" s="2">
        <f t="shared" si="14"/>
        <v>1740.8447265625</v>
      </c>
      <c r="AJ19" s="2">
        <v>0.32829229285107431</v>
      </c>
      <c r="AK19" s="2">
        <f t="shared" si="9"/>
        <v>1740.5548095703125</v>
      </c>
      <c r="AL19" s="2">
        <v>0.13703155048574445</v>
      </c>
      <c r="AM19" s="2">
        <f t="shared" si="10"/>
        <v>-7.4317344733237315E-3</v>
      </c>
      <c r="AN19" s="2">
        <f t="shared" si="11"/>
        <v>4.4986401901902791E-2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7.75435781178615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0.45081038300717091</v>
      </c>
      <c r="U20" s="2">
        <v>16</v>
      </c>
      <c r="V20" s="2">
        <f t="shared" si="7"/>
        <v>6.16455078125E-2</v>
      </c>
      <c r="W20" s="2">
        <f t="shared" si="0"/>
        <v>1.4306502022429224E-5</v>
      </c>
      <c r="X20" s="2">
        <f t="shared" si="8"/>
        <v>6.16607666015625E-2</v>
      </c>
      <c r="Y20" s="2">
        <f t="shared" si="1"/>
        <v>-9.7716652788792935E-7</v>
      </c>
      <c r="Z20" s="2">
        <f t="shared" si="3"/>
        <v>6.165313720703125E-2</v>
      </c>
      <c r="AA20" s="2">
        <f t="shared" si="2"/>
        <v>6.6646684745708118E-6</v>
      </c>
      <c r="AB20" s="2">
        <f t="shared" si="4"/>
        <v>9.5348093010267615E-11</v>
      </c>
      <c r="AC20" s="2">
        <f t="shared" si="5"/>
        <v>-6.5124909528205029E-12</v>
      </c>
      <c r="AD20" s="2">
        <f t="shared" si="6"/>
        <v>1.52587890625E-5</v>
      </c>
      <c r="AF20" s="2">
        <v>16</v>
      </c>
      <c r="AG20" s="2">
        <f t="shared" si="13"/>
        <v>1740.264892578125</v>
      </c>
      <c r="AH20" s="2">
        <v>-5.4233747242733443E-2</v>
      </c>
      <c r="AI20" s="2">
        <f t="shared" si="14"/>
        <v>1740.5548095703125</v>
      </c>
      <c r="AJ20" s="2">
        <v>0.13703155048574445</v>
      </c>
      <c r="AK20" s="2">
        <f t="shared" si="9"/>
        <v>1740.4098510742188</v>
      </c>
      <c r="AL20" s="2">
        <v>4.1400270422627727E-2</v>
      </c>
      <c r="AM20" s="2">
        <f t="shared" si="10"/>
        <v>-2.2452918018816053E-3</v>
      </c>
      <c r="AN20" s="2">
        <f t="shared" si="11"/>
        <v>5.6731432465417838E-3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8.114602395713176E-2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4.9825263002969125E-3</v>
      </c>
      <c r="U21" s="2">
        <v>17</v>
      </c>
      <c r="V21" s="2">
        <f t="shared" si="7"/>
        <v>6.165313720703125E-2</v>
      </c>
      <c r="W21" s="2">
        <f t="shared" si="0"/>
        <v>6.6646684745708118E-6</v>
      </c>
      <c r="X21" s="2">
        <f t="shared" si="8"/>
        <v>6.16607666015625E-2</v>
      </c>
      <c r="Y21" s="2">
        <f t="shared" si="1"/>
        <v>-9.7716652788792935E-7</v>
      </c>
      <c r="Z21" s="2">
        <f t="shared" si="3"/>
        <v>6.1656951904296875E-2</v>
      </c>
      <c r="AA21" s="2">
        <f t="shared" si="2"/>
        <v>2.8437511551612782E-6</v>
      </c>
      <c r="AB21" s="2">
        <f t="shared" si="4"/>
        <v>1.89526586733277E-11</v>
      </c>
      <c r="AC21" s="2">
        <f t="shared" si="5"/>
        <v>-2.7788184424662344E-12</v>
      </c>
      <c r="AD21" s="2">
        <f t="shared" si="6"/>
        <v>7.62939453125E-6</v>
      </c>
      <c r="AF21" s="2">
        <v>17</v>
      </c>
      <c r="AG21" s="2">
        <f t="shared" si="13"/>
        <v>1740.264892578125</v>
      </c>
      <c r="AH21" s="2">
        <v>-5.4233747242733443E-2</v>
      </c>
      <c r="AI21" s="2">
        <f t="shared" si="14"/>
        <v>1740.4098510742188</v>
      </c>
      <c r="AJ21" s="2">
        <v>4.1400270422627727E-2</v>
      </c>
      <c r="AK21" s="2">
        <f t="shared" si="9"/>
        <v>1740.3373718261719</v>
      </c>
      <c r="AL21" s="2">
        <v>-6.4171962715136033E-3</v>
      </c>
      <c r="AM21" s="2">
        <f t="shared" si="10"/>
        <v>3.4802860059628024E-4</v>
      </c>
      <c r="AN21" s="2">
        <f t="shared" si="11"/>
        <v>-2.6567366099574156E-4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226.17108563473343</v>
      </c>
      <c r="H22" s="25" t="s">
        <v>101</v>
      </c>
      <c r="J22" s="14" t="s">
        <v>112</v>
      </c>
      <c r="K22" s="6">
        <f>$C$55*(0.14*$G$12*1000/745.7)*0.453592</f>
        <v>13.339496292745126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6.1656951904296875E-2</v>
      </c>
      <c r="W22" s="2">
        <f t="shared" si="0"/>
        <v>2.8437511551612782E-6</v>
      </c>
      <c r="X22" s="2">
        <f t="shared" si="8"/>
        <v>6.16607666015625E-2</v>
      </c>
      <c r="Y22" s="2">
        <f t="shared" si="1"/>
        <v>-9.7716652788792935E-7</v>
      </c>
      <c r="Z22" s="2">
        <f t="shared" si="3"/>
        <v>6.1658859252929688E-2</v>
      </c>
      <c r="AA22" s="2">
        <f t="shared" si="2"/>
        <v>9.3329235908989894E-7</v>
      </c>
      <c r="AB22" s="2">
        <f t="shared" si="4"/>
        <v>2.6540512242650947E-12</v>
      </c>
      <c r="AC22" s="2">
        <f t="shared" si="5"/>
        <v>-9.1198205403621113E-13</v>
      </c>
      <c r="AD22" s="2">
        <f t="shared" si="6"/>
        <v>3.814697265625E-6</v>
      </c>
      <c r="AF22" s="2">
        <v>18</v>
      </c>
      <c r="AG22" s="2">
        <f t="shared" si="13"/>
        <v>1740.3373718261719</v>
      </c>
      <c r="AH22" s="2">
        <v>-6.4171962715136033E-3</v>
      </c>
      <c r="AI22" s="2">
        <f t="shared" si="14"/>
        <v>1740.4098510742188</v>
      </c>
      <c r="AJ22" s="2">
        <v>4.1400270422627727E-2</v>
      </c>
      <c r="AK22" s="2">
        <f t="shared" si="9"/>
        <v>1740.3736114501953</v>
      </c>
      <c r="AL22" s="2">
        <v>1.749142261110137E-2</v>
      </c>
      <c r="AM22" s="2">
        <f t="shared" si="10"/>
        <v>-1.1224589196342844E-4</v>
      </c>
      <c r="AN22" s="2">
        <f t="shared" si="11"/>
        <v>7.2414962617606195E-4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37.313049858543309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16913.249541382193</v>
      </c>
      <c r="P23" s="6" t="s">
        <v>18</v>
      </c>
      <c r="U23" s="2">
        <v>19</v>
      </c>
      <c r="V23" s="2">
        <f t="shared" si="7"/>
        <v>6.1658859252929688E-2</v>
      </c>
      <c r="W23" s="2">
        <f t="shared" si="0"/>
        <v>9.3329235908989894E-7</v>
      </c>
      <c r="X23" s="2">
        <f t="shared" si="8"/>
        <v>6.16607666015625E-2</v>
      </c>
      <c r="Y23" s="2">
        <f t="shared" si="1"/>
        <v>-9.7716652788792935E-7</v>
      </c>
      <c r="Z23" s="2">
        <f t="shared" si="3"/>
        <v>6.1659812927246094E-2</v>
      </c>
      <c r="AA23" s="2">
        <f t="shared" si="2"/>
        <v>-2.1937073033106991E-8</v>
      </c>
      <c r="AB23" s="2">
        <f t="shared" si="4"/>
        <v>-2.0473702642595828E-14</v>
      </c>
      <c r="AC23" s="2">
        <f t="shared" si="5"/>
        <v>2.1436173487785084E-14</v>
      </c>
      <c r="AD23" s="2">
        <f t="shared" si="6"/>
        <v>1.9073486328125E-6</v>
      </c>
      <c r="AF23" s="2">
        <v>19</v>
      </c>
      <c r="AG23" s="2">
        <f t="shared" si="13"/>
        <v>1740.3373718261719</v>
      </c>
      <c r="AH23" s="2">
        <v>-6.4171962715136033E-3</v>
      </c>
      <c r="AI23" s="2">
        <f t="shared" si="14"/>
        <v>1740.3736114501953</v>
      </c>
      <c r="AJ23" s="2">
        <v>1.749142261110137E-2</v>
      </c>
      <c r="AK23" s="2">
        <f t="shared" si="9"/>
        <v>1740.3554916381836</v>
      </c>
      <c r="AL23" s="2">
        <v>5.537084553452587E-3</v>
      </c>
      <c r="AM23" s="2">
        <f t="shared" si="10"/>
        <v>-3.5532558351471508E-5</v>
      </c>
      <c r="AN23" s="2">
        <f t="shared" si="11"/>
        <v>9.6851485957840711E-5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 xml:space="preserve"> $C$56 * (11.5 * ($C$5*2.20462/1000)^0.4 * 0.453592)</f>
        <v>7.145639429022518</v>
      </c>
      <c r="L24" s="6" t="s">
        <v>7</v>
      </c>
      <c r="N24" s="6" t="s">
        <v>31</v>
      </c>
      <c r="O24" s="18">
        <f>Z34</f>
        <v>6.165979104116559E-2</v>
      </c>
      <c r="U24" s="2">
        <v>20</v>
      </c>
      <c r="V24" s="2">
        <f t="shared" si="7"/>
        <v>6.1658859252929688E-2</v>
      </c>
      <c r="W24" s="2">
        <f t="shared" si="0"/>
        <v>9.3329235908989894E-7</v>
      </c>
      <c r="X24" s="2">
        <f t="shared" si="8"/>
        <v>6.1659812927246094E-2</v>
      </c>
      <c r="Y24" s="2">
        <f t="shared" si="1"/>
        <v>-2.1937073033106991E-8</v>
      </c>
      <c r="Z24" s="2">
        <f t="shared" si="3"/>
        <v>6.1659336090087891E-2</v>
      </c>
      <c r="AA24" s="2">
        <f t="shared" si="2"/>
        <v>4.5567764587334247E-7</v>
      </c>
      <c r="AB24" s="2">
        <f t="shared" si="4"/>
        <v>4.2528046510166336E-13</v>
      </c>
      <c r="AC24" s="2">
        <f t="shared" si="5"/>
        <v>-9.996233797077778E-15</v>
      </c>
      <c r="AD24" s="2">
        <f t="shared" si="6"/>
        <v>9.5367431640625E-7</v>
      </c>
      <c r="AF24" s="2">
        <v>20</v>
      </c>
      <c r="AG24" s="2">
        <f t="shared" si="13"/>
        <v>1740.3373718261719</v>
      </c>
      <c r="AH24" s="2">
        <v>-6.4171962715136033E-3</v>
      </c>
      <c r="AI24" s="2">
        <f t="shared" si="14"/>
        <v>1740.3554916381836</v>
      </c>
      <c r="AJ24" s="2">
        <v>5.537084553452587E-3</v>
      </c>
      <c r="AK24" s="2">
        <f t="shared" si="9"/>
        <v>1740.3464317321777</v>
      </c>
      <c r="AL24" s="2">
        <v>-4.3686315484592342E-4</v>
      </c>
      <c r="AM24" s="2">
        <f t="shared" si="10"/>
        <v>2.8034366084389299E-6</v>
      </c>
      <c r="AN24" s="2">
        <f t="shared" si="11"/>
        <v>-2.4189482266699282E-6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11.138223838371136</v>
      </c>
      <c r="L25" s="6" t="s">
        <v>7</v>
      </c>
      <c r="N25" s="6" t="s">
        <v>32</v>
      </c>
      <c r="O25" s="6">
        <f xml:space="preserve"> O19 * $C$9 * O24 - $C$8 * SIN(O17/180*PI())</f>
        <v>0.80816068610701564</v>
      </c>
      <c r="P25" s="6" t="s">
        <v>10</v>
      </c>
      <c r="U25" s="2">
        <v>21</v>
      </c>
      <c r="V25" s="2">
        <f t="shared" si="7"/>
        <v>6.1659336090087891E-2</v>
      </c>
      <c r="W25" s="2">
        <f t="shared" si="0"/>
        <v>4.5567764587334247E-7</v>
      </c>
      <c r="X25" s="2">
        <f t="shared" si="8"/>
        <v>6.1659812927246094E-2</v>
      </c>
      <c r="Y25" s="2">
        <f t="shared" si="1"/>
        <v>-2.1937073033106991E-8</v>
      </c>
      <c r="Z25" s="2">
        <f t="shared" si="3"/>
        <v>6.1659574508666992E-2</v>
      </c>
      <c r="AA25" s="2">
        <f t="shared" si="2"/>
        <v>2.1687028713135437E-7</v>
      </c>
      <c r="AB25" s="2">
        <f t="shared" si="4"/>
        <v>9.8822941899891395E-14</v>
      </c>
      <c r="AC25" s="2">
        <f t="shared" si="5"/>
        <v>-4.757499327511404E-15</v>
      </c>
      <c r="AD25" s="2">
        <f t="shared" si="6"/>
        <v>4.76837158203125E-7</v>
      </c>
      <c r="AF25" s="2">
        <v>21</v>
      </c>
      <c r="AG25" s="2">
        <f t="shared" si="13"/>
        <v>1740.3464317321777</v>
      </c>
      <c r="AH25" s="2">
        <v>-4.3686315484592342E-4</v>
      </c>
      <c r="AI25" s="2">
        <f t="shared" si="14"/>
        <v>1740.3554916381836</v>
      </c>
      <c r="AJ25" s="2">
        <v>5.537084553452587E-3</v>
      </c>
      <c r="AK25" s="2">
        <f t="shared" si="9"/>
        <v>1740.3509616851807</v>
      </c>
      <c r="AL25" s="2">
        <v>2.5469090485330526E-3</v>
      </c>
      <c r="AM25" s="2">
        <f t="shared" si="10"/>
        <v>-1.1126507220477785E-6</v>
      </c>
      <c r="AN25" s="2">
        <f t="shared" si="11"/>
        <v>1.4102450751680991E-5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27.093140494561641</v>
      </c>
      <c r="L26" s="6" t="s">
        <v>7</v>
      </c>
      <c r="N26" s="6" t="s">
        <v>33</v>
      </c>
      <c r="O26" s="6">
        <f xml:space="preserve"> 1/$C$21 - O23 * SQRT( (2*$C$47*PI()*$C$9^2) / O18^3 )</f>
        <v>0.79908037710970348</v>
      </c>
      <c r="U26" s="2">
        <v>22</v>
      </c>
      <c r="V26" s="2">
        <f t="shared" si="7"/>
        <v>6.1659574508666992E-2</v>
      </c>
      <c r="W26" s="2">
        <f t="shared" si="0"/>
        <v>2.1687028713135437E-7</v>
      </c>
      <c r="X26" s="2">
        <f t="shared" si="8"/>
        <v>6.1659812927246094E-2</v>
      </c>
      <c r="Y26" s="2">
        <f t="shared" si="1"/>
        <v>-2.1937073033106991E-8</v>
      </c>
      <c r="Z26" s="2">
        <f t="shared" si="3"/>
        <v>6.1659693717956543E-2</v>
      </c>
      <c r="AA26" s="2">
        <f t="shared" si="2"/>
        <v>9.746660722953493E-8</v>
      </c>
      <c r="AB26" s="2">
        <f t="shared" si="4"/>
        <v>2.1137611095588178E-14</v>
      </c>
      <c r="AC26" s="2">
        <f t="shared" si="5"/>
        <v>-2.1381320810834617E-15</v>
      </c>
      <c r="AD26" s="2">
        <f t="shared" si="6"/>
        <v>2.384185791015625E-7</v>
      </c>
      <c r="AF26" s="2">
        <v>22</v>
      </c>
      <c r="AG26" s="2">
        <f t="shared" si="13"/>
        <v>1740.3464317321777</v>
      </c>
      <c r="AH26" s="2">
        <v>-4.3686315484592342E-4</v>
      </c>
      <c r="AI26" s="2">
        <f t="shared" si="14"/>
        <v>1740.3509616851807</v>
      </c>
      <c r="AJ26" s="2">
        <v>2.5469090485330526E-3</v>
      </c>
      <c r="AK26" s="2">
        <f t="shared" si="9"/>
        <v>1740.3486967086792</v>
      </c>
      <c r="AL26" s="2">
        <v>1.0582223642359168E-3</v>
      </c>
      <c r="AM26" s="2">
        <f t="shared" si="10"/>
        <v>-4.6229836056861447E-7</v>
      </c>
      <c r="AN26" s="2">
        <f t="shared" si="11"/>
        <v>2.6951961148324963E-6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2.4901785968722834E-4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6.1659693717956543E-2</v>
      </c>
      <c r="W27" s="2">
        <f t="shared" si="0"/>
        <v>9.746660722953493E-8</v>
      </c>
      <c r="X27" s="2">
        <f t="shared" si="8"/>
        <v>6.1659812927246094E-2</v>
      </c>
      <c r="Y27" s="2">
        <f t="shared" si="1"/>
        <v>-2.1937073033106991E-8</v>
      </c>
      <c r="Z27" s="2">
        <f t="shared" si="3"/>
        <v>6.1659753322601318E-2</v>
      </c>
      <c r="AA27" s="2">
        <f t="shared" si="2"/>
        <v>3.7764767139847333E-8</v>
      </c>
      <c r="AB27" s="2">
        <f t="shared" si="4"/>
        <v>3.6808037259343469E-15</v>
      </c>
      <c r="AC27" s="2">
        <f t="shared" si="5"/>
        <v>-8.284484548251099E-16</v>
      </c>
      <c r="AD27" s="2">
        <f t="shared" si="6"/>
        <v>1.1920928955078125E-7</v>
      </c>
      <c r="AF27" s="2">
        <v>23</v>
      </c>
      <c r="AG27" s="2">
        <f t="shared" si="13"/>
        <v>1740.3464317321777</v>
      </c>
      <c r="AH27" s="2">
        <v>-4.3686315484592342E-4</v>
      </c>
      <c r="AI27" s="2">
        <f t="shared" si="14"/>
        <v>1740.3486967086792</v>
      </c>
      <c r="AJ27" s="2">
        <v>1.0582223642359168E-3</v>
      </c>
      <c r="AK27" s="2">
        <f t="shared" si="9"/>
        <v>1740.3475642204285</v>
      </c>
      <c r="AL27" s="2">
        <v>3.0747963273825007E-4</v>
      </c>
      <c r="AM27" s="2">
        <f t="shared" si="10"/>
        <v>-1.3432652240889782E-7</v>
      </c>
      <c r="AN27" s="2">
        <f t="shared" si="11"/>
        <v>3.2538182391066239E-7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4264.5001113587841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1.1500008928926628</v>
      </c>
      <c r="U28" s="2">
        <v>24</v>
      </c>
      <c r="V28" s="2">
        <f t="shared" si="7"/>
        <v>6.1659753322601318E-2</v>
      </c>
      <c r="W28" s="2">
        <f t="shared" si="0"/>
        <v>3.7764767139847333E-8</v>
      </c>
      <c r="X28" s="2">
        <f t="shared" si="8"/>
        <v>6.1659812927246094E-2</v>
      </c>
      <c r="Y28" s="2">
        <f t="shared" si="1"/>
        <v>-2.1937073033106991E-8</v>
      </c>
      <c r="Z28" s="2">
        <f t="shared" si="3"/>
        <v>6.1659783124923706E-2</v>
      </c>
      <c r="AA28" s="2">
        <f t="shared" si="2"/>
        <v>7.9138470637785119E-9</v>
      </c>
      <c r="AB28" s="2">
        <f t="shared" si="4"/>
        <v>2.9886459154396004E-16</v>
      </c>
      <c r="AC28" s="2">
        <f t="shared" si="5"/>
        <v>-1.7360664101094853E-16</v>
      </c>
      <c r="AD28" s="2">
        <f t="shared" si="6"/>
        <v>5.9604644775390625E-8</v>
      </c>
      <c r="AF28" s="2">
        <v>24</v>
      </c>
      <c r="AG28" s="2">
        <f t="shared" si="13"/>
        <v>1740.3464317321777</v>
      </c>
      <c r="AH28" s="2">
        <v>-4.3686315484592342E-4</v>
      </c>
      <c r="AI28" s="2">
        <f t="shared" si="14"/>
        <v>1740.3475642204285</v>
      </c>
      <c r="AJ28" s="2">
        <v>3.0747963273825007E-4</v>
      </c>
      <c r="AK28" s="2">
        <f t="shared" si="9"/>
        <v>1740.3469979763031</v>
      </c>
      <c r="AL28" s="2">
        <v>-6.46917885660514E-5</v>
      </c>
      <c r="AM28" s="2">
        <f t="shared" si="10"/>
        <v>2.826145884559065E-8</v>
      </c>
      <c r="AN28" s="2">
        <f t="shared" si="11"/>
        <v>-1.9891407389470011E-8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41.100065465689127</v>
      </c>
      <c r="H29" t="s">
        <v>18</v>
      </c>
      <c r="U29" s="2">
        <v>25</v>
      </c>
      <c r="V29" s="2">
        <f t="shared" si="7"/>
        <v>6.1659783124923706E-2</v>
      </c>
      <c r="W29" s="2">
        <f t="shared" si="0"/>
        <v>7.9138470637785119E-9</v>
      </c>
      <c r="X29" s="2">
        <f t="shared" si="8"/>
        <v>6.1659812927246094E-2</v>
      </c>
      <c r="Y29" s="2">
        <f t="shared" si="1"/>
        <v>-2.1937073033106991E-8</v>
      </c>
      <c r="Z29" s="2">
        <f t="shared" si="3"/>
        <v>6.16597980260849E-2</v>
      </c>
      <c r="AA29" s="2">
        <f t="shared" si="2"/>
        <v>-7.0116129846642394E-9</v>
      </c>
      <c r="AB29" s="2">
        <f t="shared" si="4"/>
        <v>-5.548883283103638E-17</v>
      </c>
      <c r="AC29" s="2">
        <f t="shared" si="5"/>
        <v>1.538142661244607E-16</v>
      </c>
      <c r="AD29" s="2">
        <f t="shared" si="6"/>
        <v>2.9802322387695312E-8</v>
      </c>
      <c r="AF29" s="2">
        <v>25</v>
      </c>
      <c r="AG29" s="2">
        <f t="shared" si="13"/>
        <v>1740.3469979763031</v>
      </c>
      <c r="AH29" s="2">
        <v>-6.46917885660514E-5</v>
      </c>
      <c r="AI29" s="2">
        <f t="shared" si="14"/>
        <v>1740.3475642204285</v>
      </c>
      <c r="AJ29" s="2">
        <v>3.0747963273825007E-4</v>
      </c>
      <c r="AK29" s="2">
        <f t="shared" si="9"/>
        <v>1740.3472810983658</v>
      </c>
      <c r="AL29" s="2">
        <v>1.1819405585811182E-4</v>
      </c>
      <c r="AM29" s="2">
        <f t="shared" si="10"/>
        <v>-7.6461848713370392E-9</v>
      </c>
      <c r="AN29" s="2">
        <f t="shared" si="11"/>
        <v>3.6342264887096441E-8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10.586038337325489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6.1659783124923706E-2</v>
      </c>
      <c r="W30" s="2">
        <f t="shared" si="0"/>
        <v>7.9138470637785119E-9</v>
      </c>
      <c r="X30" s="2">
        <f t="shared" si="8"/>
        <v>6.16597980260849E-2</v>
      </c>
      <c r="Y30" s="2">
        <f t="shared" si="1"/>
        <v>-7.0116129846642394E-9</v>
      </c>
      <c r="Z30" s="2">
        <f t="shared" si="3"/>
        <v>6.1659790575504303E-2</v>
      </c>
      <c r="AA30" s="2">
        <f t="shared" si="2"/>
        <v>4.5111704649603013E-10</v>
      </c>
      <c r="AB30" s="2">
        <f t="shared" si="4"/>
        <v>3.5700713138330426E-18</v>
      </c>
      <c r="AC30" s="2">
        <f t="shared" si="5"/>
        <v>-3.1630581408149463E-18</v>
      </c>
      <c r="AD30" s="2">
        <f t="shared" si="6"/>
        <v>1.4901161193847656E-8</v>
      </c>
      <c r="AF30" s="2">
        <v>26</v>
      </c>
      <c r="AG30" s="2">
        <f t="shared" si="13"/>
        <v>1740.3469979763031</v>
      </c>
      <c r="AH30" s="2">
        <v>-6.46917885660514E-5</v>
      </c>
      <c r="AI30" s="2">
        <f t="shared" si="14"/>
        <v>1740.3472810983658</v>
      </c>
      <c r="AJ30" s="2">
        <v>1.1819405585811182E-4</v>
      </c>
      <c r="AK30" s="2">
        <f t="shared" si="9"/>
        <v>1740.3471395373344</v>
      </c>
      <c r="AL30" s="2">
        <v>2.6751131827040808E-5</v>
      </c>
      <c r="AM30" s="2">
        <f t="shared" si="10"/>
        <v>-1.7305785640574924E-9</v>
      </c>
      <c r="AN30" s="2">
        <f t="shared" si="11"/>
        <v>3.1618247694329744E-9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164.40026186275651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6.1659790575504303E-2</v>
      </c>
      <c r="W31" s="2">
        <f t="shared" si="0"/>
        <v>4.5111704649603013E-10</v>
      </c>
      <c r="X31" s="2">
        <f t="shared" si="8"/>
        <v>6.16597980260849E-2</v>
      </c>
      <c r="Y31" s="2">
        <f t="shared" si="1"/>
        <v>-7.0116129846642394E-9</v>
      </c>
      <c r="Z31" s="2">
        <f t="shared" si="3"/>
        <v>6.1659794300794601E-2</v>
      </c>
      <c r="AA31" s="2">
        <f t="shared" si="2"/>
        <v>-3.2802479690841047E-9</v>
      </c>
      <c r="AB31" s="2">
        <f t="shared" si="4"/>
        <v>-1.4797757755878223E-18</v>
      </c>
      <c r="AC31" s="2">
        <f t="shared" si="5"/>
        <v>2.2999829252948609E-17</v>
      </c>
      <c r="AD31" s="2">
        <f t="shared" si="6"/>
        <v>7.4505805969238281E-9</v>
      </c>
      <c r="AF31" s="2">
        <v>27</v>
      </c>
      <c r="AG31" s="2">
        <f t="shared" si="13"/>
        <v>1740.3469979763031</v>
      </c>
      <c r="AH31" s="2">
        <v>-6.46917885660514E-5</v>
      </c>
      <c r="AI31" s="2">
        <f t="shared" si="14"/>
        <v>1740.3471395373344</v>
      </c>
      <c r="AJ31" s="2">
        <v>2.6751131827040808E-5</v>
      </c>
      <c r="AK31" s="2">
        <f t="shared" si="9"/>
        <v>1740.3470687568188</v>
      </c>
      <c r="AL31" s="2">
        <v>-1.5770470099596423E-5</v>
      </c>
      <c r="AM31" s="2">
        <f t="shared" si="10"/>
        <v>1.0202199172703274E-9</v>
      </c>
      <c r="AN31" s="2">
        <f t="shared" si="11"/>
        <v>-4.218779246087093E-10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485.34</v>
      </c>
      <c r="L32" s="6" t="s">
        <v>7</v>
      </c>
      <c r="U32" s="2">
        <v>28</v>
      </c>
      <c r="V32" s="2">
        <f t="shared" si="7"/>
        <v>6.1659790575504303E-2</v>
      </c>
      <c r="W32" s="2">
        <f t="shared" si="0"/>
        <v>4.5111704649603013E-10</v>
      </c>
      <c r="X32" s="2">
        <f t="shared" si="8"/>
        <v>6.1659794300794601E-2</v>
      </c>
      <c r="Y32" s="2">
        <f t="shared" si="1"/>
        <v>-3.2802479690841047E-9</v>
      </c>
      <c r="Z32" s="2">
        <f t="shared" si="3"/>
        <v>6.1659792438149452E-2</v>
      </c>
      <c r="AA32" s="2">
        <f t="shared" si="2"/>
        <v>-1.4145654647634842E-9</v>
      </c>
      <c r="AB32" s="2">
        <f t="shared" si="4"/>
        <v>-6.3813459453938718E-19</v>
      </c>
      <c r="AC32" s="2">
        <f t="shared" si="5"/>
        <v>4.6401254929269317E-18</v>
      </c>
      <c r="AD32" s="2">
        <f t="shared" si="6"/>
        <v>3.7252902984619141E-9</v>
      </c>
      <c r="AF32" s="2">
        <v>28</v>
      </c>
      <c r="AG32" s="2">
        <f t="shared" si="13"/>
        <v>1740.3470687568188</v>
      </c>
      <c r="AH32" s="2">
        <v>-1.5770470099596423E-5</v>
      </c>
      <c r="AI32" s="2">
        <f t="shared" si="14"/>
        <v>1740.3471395373344</v>
      </c>
      <c r="AJ32" s="2">
        <v>2.6751131827040808E-5</v>
      </c>
      <c r="AK32" s="2">
        <f t="shared" si="9"/>
        <v>1740.3471041470766</v>
      </c>
      <c r="AL32" s="2">
        <v>2.2904721390659688E-6</v>
      </c>
      <c r="AM32" s="2">
        <f t="shared" si="10"/>
        <v>-3.6121822383098521E-11</v>
      </c>
      <c r="AN32" s="2">
        <f t="shared" si="11"/>
        <v>6.1272722138317878E-11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412.05</v>
      </c>
      <c r="L33" s="6" t="s">
        <v>7</v>
      </c>
      <c r="U33" s="2">
        <v>29</v>
      </c>
      <c r="V33" s="2">
        <f t="shared" si="7"/>
        <v>6.1659790575504303E-2</v>
      </c>
      <c r="W33" s="2">
        <f t="shared" si="0"/>
        <v>4.5111704649603013E-10</v>
      </c>
      <c r="X33" s="2">
        <f t="shared" si="8"/>
        <v>6.1659792438149452E-2</v>
      </c>
      <c r="Y33" s="2">
        <f t="shared" si="1"/>
        <v>-1.4145654647634842E-9</v>
      </c>
      <c r="Z33" s="2">
        <f t="shared" si="3"/>
        <v>6.1659791506826878E-2</v>
      </c>
      <c r="AA33" s="2">
        <f t="shared" si="2"/>
        <v>-4.8172420913372704E-10</v>
      </c>
      <c r="AB33" s="2">
        <f t="shared" si="4"/>
        <v>-2.1731400245004288E-19</v>
      </c>
      <c r="AC33" s="2">
        <f t="shared" si="5"/>
        <v>6.8143042978107246E-19</v>
      </c>
      <c r="AD33" s="2">
        <f t="shared" si="6"/>
        <v>1.862645149230957E-9</v>
      </c>
      <c r="AF33" s="2">
        <v>29</v>
      </c>
      <c r="AG33" s="2">
        <f t="shared" si="13"/>
        <v>1740.3470687568188</v>
      </c>
      <c r="AH33" s="2">
        <v>-1.5770470099596423E-5</v>
      </c>
      <c r="AI33" s="2">
        <f t="shared" si="14"/>
        <v>1740.3471041470766</v>
      </c>
      <c r="AJ33" s="2">
        <v>2.2904721390659688E-6</v>
      </c>
      <c r="AK33" s="2">
        <f t="shared" si="9"/>
        <v>1740.3470864519477</v>
      </c>
      <c r="AL33" s="2">
        <v>-6.7399989802652271E-6</v>
      </c>
      <c r="AM33" s="2">
        <f t="shared" si="10"/>
        <v>1.0629295238958315E-10</v>
      </c>
      <c r="AN33" s="2">
        <f t="shared" si="11"/>
        <v>-1.5437779881630543E-11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160.26</v>
      </c>
      <c r="L34" s="6" t="s">
        <v>7</v>
      </c>
      <c r="U34" s="2">
        <v>30</v>
      </c>
      <c r="V34" s="2">
        <f t="shared" si="7"/>
        <v>6.1659790575504303E-2</v>
      </c>
      <c r="W34" s="2">
        <f t="shared" si="0"/>
        <v>4.5111704649603013E-10</v>
      </c>
      <c r="X34" s="2">
        <f t="shared" si="8"/>
        <v>6.1659791506826878E-2</v>
      </c>
      <c r="Y34" s="2">
        <f t="shared" si="1"/>
        <v>-4.8172420913372704E-10</v>
      </c>
      <c r="Z34" s="2">
        <f t="shared" si="3"/>
        <v>6.165979104116559E-2</v>
      </c>
      <c r="AA34" s="2">
        <f t="shared" si="2"/>
        <v>-1.530358478829541E-11</v>
      </c>
      <c r="AB34" s="2">
        <f t="shared" si="4"/>
        <v>-6.9037079704973999E-21</v>
      </c>
      <c r="AC34" s="2">
        <f t="shared" si="5"/>
        <v>7.3721072790525421E-21</v>
      </c>
      <c r="AD34" s="2">
        <f>X34-V34</f>
        <v>9.3132257461547852E-10</v>
      </c>
      <c r="AF34" s="2">
        <v>30</v>
      </c>
      <c r="AG34" s="2">
        <f t="shared" si="13"/>
        <v>1740.3470864519477</v>
      </c>
      <c r="AH34" s="2">
        <v>-6.7399989802652271E-6</v>
      </c>
      <c r="AI34" s="2">
        <f t="shared" si="14"/>
        <v>1740.3471041470766</v>
      </c>
      <c r="AJ34" s="2">
        <v>2.2904721390659688E-6</v>
      </c>
      <c r="AK34" s="2">
        <f t="shared" si="9"/>
        <v>1740.3470952995121</v>
      </c>
      <c r="AL34" s="2">
        <v>-2.2247636479733046E-6</v>
      </c>
      <c r="AM34" s="2">
        <f t="shared" si="10"/>
        <v>1.499490471867122E-11</v>
      </c>
      <c r="AN34" s="2">
        <f t="shared" si="11"/>
        <v>-5.095759151689623E-12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226.17108563473343</v>
      </c>
      <c r="H35" s="25" t="s">
        <v>101</v>
      </c>
      <c r="J35" s="15" t="s">
        <v>70</v>
      </c>
      <c r="K35" s="6">
        <f>ROUND(SUM(K23:K26),2)</f>
        <v>82.69</v>
      </c>
      <c r="L35" s="6" t="s">
        <v>7</v>
      </c>
      <c r="AF35" s="2">
        <v>31</v>
      </c>
      <c r="AG35" s="2">
        <f t="shared" si="13"/>
        <v>1740.3470952995121</v>
      </c>
      <c r="AH35" s="2">
        <v>-2.2247636479733046E-6</v>
      </c>
      <c r="AI35" s="2">
        <f t="shared" si="14"/>
        <v>1740.3471041470766</v>
      </c>
      <c r="AJ35" s="2">
        <v>2.2904721390659688E-6</v>
      </c>
      <c r="AK35" s="2">
        <f t="shared" si="9"/>
        <v>1740.3470997232944</v>
      </c>
      <c r="AL35" s="2">
        <v>3.285390448581893E-8</v>
      </c>
      <c r="AM35" s="2">
        <f t="shared" si="10"/>
        <v>-7.3092172394037039E-14</v>
      </c>
      <c r="AN35" s="2">
        <f t="shared" si="11"/>
        <v>7.5250952884302712E-14</v>
      </c>
      <c r="AO35" s="2">
        <f t="shared" si="12"/>
        <v>8.8475644588470459E-6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1740.34</v>
      </c>
      <c r="L36" s="6" t="s">
        <v>7</v>
      </c>
      <c r="AF36" s="2">
        <v>32</v>
      </c>
      <c r="AG36" s="2">
        <f t="shared" si="13"/>
        <v>1740.3470952995121</v>
      </c>
      <c r="AH36" s="2">
        <v>-2.2247636479733046E-6</v>
      </c>
      <c r="AI36" s="2">
        <f t="shared" si="14"/>
        <v>1740.3470997232944</v>
      </c>
      <c r="AJ36" s="2">
        <v>3.285390448581893E-8</v>
      </c>
      <c r="AK36" s="2">
        <f t="shared" si="9"/>
        <v>1740.3470975114033</v>
      </c>
      <c r="AL36" s="2">
        <v>-1.0959545306832297E-6</v>
      </c>
      <c r="AM36" s="2">
        <f t="shared" si="10"/>
        <v>2.4382397996956931E-12</v>
      </c>
      <c r="AN36" s="2">
        <f t="shared" si="11"/>
        <v>-3.600638547186734E-14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1740.3470975114033</v>
      </c>
      <c r="AH37" s="2">
        <v>-1.0959545306832297E-6</v>
      </c>
      <c r="AI37" s="2">
        <f t="shared" si="14"/>
        <v>1740.3470997232944</v>
      </c>
      <c r="AJ37" s="2">
        <v>3.285390448581893E-8</v>
      </c>
      <c r="AK37" s="2">
        <f t="shared" si="9"/>
        <v>1740.3470986173488</v>
      </c>
      <c r="AL37" s="2">
        <v>-5.3155031309870537E-7</v>
      </c>
      <c r="AM37" s="2">
        <f t="shared" si="10"/>
        <v>5.8255497392661544E-13</v>
      </c>
      <c r="AN37" s="2">
        <f t="shared" si="11"/>
        <v>-1.7463503215952013E-14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1740.3470986173488</v>
      </c>
      <c r="AH38" s="2">
        <v>-5.3155031309870537E-7</v>
      </c>
      <c r="AI38" s="2">
        <f t="shared" si="14"/>
        <v>1740.3470997232944</v>
      </c>
      <c r="AJ38" s="2">
        <v>3.285390448581893E-8</v>
      </c>
      <c r="AK38" s="2">
        <f t="shared" si="9"/>
        <v>1740.3470991703216</v>
      </c>
      <c r="AL38" s="2">
        <v>-2.4934752218541689E-7</v>
      </c>
      <c r="AM38" s="2">
        <f t="shared" si="10"/>
        <v>1.3254075348804473E-13</v>
      </c>
      <c r="AN38" s="2">
        <f t="shared" si="11"/>
        <v>-8.1920396776553032E-15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34.479999999999997</v>
      </c>
      <c r="L39" s="6" t="s">
        <v>58</v>
      </c>
      <c r="AF39" s="2">
        <v>35</v>
      </c>
      <c r="AG39" s="2">
        <f t="shared" si="13"/>
        <v>1740.3470991703216</v>
      </c>
      <c r="AH39" s="2">
        <v>-2.4934752218541689E-7</v>
      </c>
      <c r="AI39" s="2">
        <f t="shared" si="14"/>
        <v>1740.3470997232944</v>
      </c>
      <c r="AJ39" s="2">
        <v>3.285390448581893E-8</v>
      </c>
      <c r="AK39" s="2">
        <f t="shared" si="9"/>
        <v>1740.347099446808</v>
      </c>
      <c r="AL39" s="2">
        <v>-1.0824646778928582E-7</v>
      </c>
      <c r="AM39" s="2">
        <f t="shared" si="10"/>
        <v>2.699098852858196E-14</v>
      </c>
      <c r="AN39" s="2">
        <f t="shared" si="11"/>
        <v>-3.5563191136764716E-15</v>
      </c>
      <c r="AO39" s="2">
        <f t="shared" si="12"/>
        <v>5.5297277867794037E-7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27.89</v>
      </c>
      <c r="L40" s="6" t="s">
        <v>58</v>
      </c>
      <c r="AF40" s="2">
        <v>36</v>
      </c>
      <c r="AG40" s="2">
        <f t="shared" si="13"/>
        <v>1740.347099446808</v>
      </c>
      <c r="AH40" s="2">
        <v>-1.0824646778928582E-7</v>
      </c>
      <c r="AI40" s="2">
        <f t="shared" si="14"/>
        <v>1740.3470997232944</v>
      </c>
      <c r="AJ40" s="2">
        <v>3.285390448581893E-8</v>
      </c>
      <c r="AK40" s="2">
        <f t="shared" si="9"/>
        <v>1740.3470995850512</v>
      </c>
      <c r="AL40" s="2">
        <v>-3.7696509025408886E-8</v>
      </c>
      <c r="AM40" s="2">
        <f t="shared" si="10"/>
        <v>4.0805139499874451E-15</v>
      </c>
      <c r="AN40" s="2">
        <f t="shared" si="11"/>
        <v>-1.2384775069695948E-15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23.68</v>
      </c>
      <c r="L41" s="6" t="s">
        <v>58</v>
      </c>
      <c r="AF41" s="2">
        <v>37</v>
      </c>
      <c r="AG41" s="2">
        <f t="shared" si="13"/>
        <v>1740.3470995850512</v>
      </c>
      <c r="AH41" s="2">
        <v>-3.7696509025408886E-8</v>
      </c>
      <c r="AI41" s="2">
        <f t="shared" si="14"/>
        <v>1740.3470997232944</v>
      </c>
      <c r="AJ41" s="2">
        <v>3.285390448581893E-8</v>
      </c>
      <c r="AK41" s="2">
        <f t="shared" si="9"/>
        <v>1740.3470996541728</v>
      </c>
      <c r="AL41" s="2">
        <v>-2.421074896119535E-9</v>
      </c>
      <c r="AM41" s="2">
        <f t="shared" si="10"/>
        <v>9.1266071672760932E-17</v>
      </c>
      <c r="AN41" s="2">
        <f t="shared" si="11"/>
        <v>-7.954176339012519E-17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9.2100000000000009</v>
      </c>
      <c r="L42" s="6" t="s">
        <v>58</v>
      </c>
      <c r="AF42" s="2">
        <v>38</v>
      </c>
      <c r="AG42" s="2">
        <f t="shared" si="13"/>
        <v>1740.3470996541728</v>
      </c>
      <c r="AH42" s="2">
        <v>-2.421074896119535E-9</v>
      </c>
      <c r="AI42" s="2">
        <f t="shared" si="14"/>
        <v>1740.3470997232944</v>
      </c>
      <c r="AJ42" s="2">
        <v>3.285390448581893E-8</v>
      </c>
      <c r="AK42" s="2">
        <f t="shared" si="9"/>
        <v>1740.3470996887336</v>
      </c>
      <c r="AL42" s="2">
        <v>1.5217210602713749E-8</v>
      </c>
      <c r="AM42" s="2">
        <f t="shared" si="10"/>
        <v>-3.6842006579194276E-17</v>
      </c>
      <c r="AN42" s="2">
        <f t="shared" si="11"/>
        <v>4.9994478368214862E-16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4.75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1740.3470996541728</v>
      </c>
      <c r="AH43" s="2">
        <v>-2.421074896119535E-9</v>
      </c>
      <c r="AI43" s="2">
        <f t="shared" si="14"/>
        <v>1740.3470996887336</v>
      </c>
      <c r="AJ43" s="2">
        <v>1.5217210602713749E-8</v>
      </c>
      <c r="AK43" s="2">
        <f t="shared" si="9"/>
        <v>1740.3470996714532</v>
      </c>
      <c r="AL43" s="2">
        <v>6.3982952269725502E-9</v>
      </c>
      <c r="AM43" s="2">
        <f t="shared" si="10"/>
        <v>-1.5490751951984683E-17</v>
      </c>
      <c r="AN43" s="2">
        <f t="shared" si="11"/>
        <v>9.7364205967179462E-17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100.00999999999999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1740.3470996541728</v>
      </c>
      <c r="AH44" s="2">
        <v>-2.421074896119535E-9</v>
      </c>
      <c r="AI44" s="2">
        <f t="shared" si="14"/>
        <v>1740.3470996714532</v>
      </c>
      <c r="AJ44" s="2">
        <v>6.3982952269725502E-9</v>
      </c>
      <c r="AK44" s="5">
        <f>(AG44+AI44)/2</f>
        <v>1740.347099662813</v>
      </c>
      <c r="AL44" s="2">
        <v>1.9888375391019508E-9</v>
      </c>
      <c r="AM44" s="2">
        <f t="shared" si="10"/>
        <v>-4.8151246383798872E-18</v>
      </c>
      <c r="AN44" s="2">
        <f t="shared" si="11"/>
        <v>1.2725169733659845E-17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1558.1537196466622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34.479999999999997</v>
      </c>
      <c r="L47" s="6" t="s">
        <v>58</v>
      </c>
      <c r="N47" s="6" t="s">
        <v>154</v>
      </c>
      <c r="O47" s="6">
        <f>0.377*O46^0.6945</f>
        <v>62.174056582742558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27.89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37.64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100.00999999999999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35" priority="1" operator="containsText" text="FALSE">
      <formula>NOT(ISERROR(SEARCH("FALSE",K28)))</formula>
    </cfRule>
    <cfRule type="containsText" dxfId="34" priority="2" operator="containsText" text="TRUE">
      <formula>NOT(ISERROR(SEARCH("TRUE",K28)))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NOT(ISERROR(SEARCH("YES",K28)))</formula>
    </cfRule>
    <cfRule type="cellIs" dxfId="30" priority="6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2912-0727-5D49-BD7C-4F809A12D10B}">
  <dimension ref="B1:AO56"/>
  <sheetViews>
    <sheetView workbookViewId="0">
      <selection activeCell="E9" sqref="E9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331.02757570167876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6.536119508154084E-2</v>
      </c>
      <c r="X4" s="3">
        <v>1</v>
      </c>
      <c r="Y4" s="2">
        <f t="shared" ref="Y4:Y34" si="1" xml:space="preserve"> $O$20 * TAN($O$17/180*PI()) + $O$21 / (2 * SQRT($O$20^2 + X4^2)) - X4</f>
        <v>-0.93761805628687966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-0.43631087295957666</v>
      </c>
      <c r="AB4" s="2">
        <f>W4*AA4</f>
        <v>-2.8517800083708272E-2</v>
      </c>
      <c r="AC4" s="2">
        <f>Y4*AA4</f>
        <v>0.40909295264118994</v>
      </c>
      <c r="AD4" s="2">
        <f>X4-V4</f>
        <v>1</v>
      </c>
      <c r="AF4" s="2">
        <v>0</v>
      </c>
      <c r="AG4" s="2"/>
      <c r="AH4" s="2">
        <f>K27</f>
        <v>1.7592891026652069E-5</v>
      </c>
      <c r="AI4" s="2"/>
      <c r="AJ4" s="2">
        <f>K27</f>
        <v>1.7592891026652069E-5</v>
      </c>
      <c r="AK4" s="2"/>
      <c r="AL4" s="2">
        <f>K27</f>
        <v>1.7592891026652069E-5</v>
      </c>
      <c r="AM4" s="2"/>
      <c r="AN4" s="2"/>
      <c r="AO4" s="2"/>
    </row>
    <row r="5" spans="2:41" x14ac:dyDescent="0.2">
      <c r="B5" s="10" t="s">
        <v>37</v>
      </c>
      <c r="C5" s="10">
        <v>1588.0404588479601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82.756893925419689</v>
      </c>
      <c r="L5" s="6" t="s">
        <v>101</v>
      </c>
      <c r="N5" s="6" t="s">
        <v>114</v>
      </c>
      <c r="O5" s="6">
        <f xml:space="preserve"> $C$18 * 0.85 * ($C$5/$C$18 *2.20462/1000)^(2/3) * 0.3048^2</f>
        <v>0.28902298718801206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6.536119508154084E-2</v>
      </c>
      <c r="X5" s="2">
        <f>IF(AC4&gt;0, Z4, X4)</f>
        <v>0.5</v>
      </c>
      <c r="Y5" s="2">
        <f t="shared" si="1"/>
        <v>-0.43631087295957666</v>
      </c>
      <c r="Z5" s="2">
        <f t="shared" ref="Z5:Z34" si="3" xml:space="preserve"> (V5 + X5)/2</f>
        <v>0.25</v>
      </c>
      <c r="AA5" s="2">
        <f t="shared" si="2"/>
        <v>-0.18527423550069277</v>
      </c>
      <c r="AB5" s="2">
        <f t="shared" ref="AB5:AB34" si="4">W5*AA5</f>
        <v>-1.210974545014412E-2</v>
      </c>
      <c r="AC5" s="2">
        <f t="shared" ref="AC5:AC34" si="5">Y5*AA5</f>
        <v>8.0837163428225459E-2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-730.33184549584735</v>
      </c>
      <c r="AI5" s="3">
        <v>10000</v>
      </c>
      <c r="AJ5" s="2">
        <f t="dataTable" ref="AJ5:AJ44" dt2D="0" dtr="0" r1="C5"/>
        <v>4365.1208285969451</v>
      </c>
      <c r="AK5" s="2">
        <f>(AG5+AI5)/2</f>
        <v>5250</v>
      </c>
      <c r="AL5" s="2">
        <f t="dataTable" ref="AL5:AL44" dt2D="0" dtr="0" r1="C5" ca="1"/>
        <v>2173.0879250397838</v>
      </c>
      <c r="AM5" s="2">
        <f>AH5*AL5</f>
        <v>-1587075.3147190469</v>
      </c>
      <c r="AN5" s="2">
        <f>AJ5*AL5</f>
        <v>9485791.3639636766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6.536119508154084E-2</v>
      </c>
      <c r="X6" s="2">
        <f t="shared" ref="X6:X34" si="8">IF(AC5&gt;0, Z5, X5)</f>
        <v>0.25</v>
      </c>
      <c r="Y6" s="2">
        <f t="shared" si="1"/>
        <v>-0.18527423550069277</v>
      </c>
      <c r="Z6" s="2">
        <f t="shared" si="3"/>
        <v>0.125</v>
      </c>
      <c r="AA6" s="2">
        <f t="shared" si="2"/>
        <v>-5.9822988901828231E-2</v>
      </c>
      <c r="AB6" s="2">
        <f t="shared" si="4"/>
        <v>-3.9101020479732473E-3</v>
      </c>
      <c r="AC6" s="2">
        <f t="shared" si="5"/>
        <v>1.1083658534152654E-2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-730.33184549584735</v>
      </c>
      <c r="AI6" s="2">
        <f>IF(AN5&gt;0, AK5, AI5)</f>
        <v>5250</v>
      </c>
      <c r="AJ6" s="2">
        <v>2173.0879250397838</v>
      </c>
      <c r="AK6" s="2">
        <f t="shared" ref="AK6:AK43" si="9">(AG6+AI6)/2</f>
        <v>2875</v>
      </c>
      <c r="AL6" s="2">
        <v>821.2639042158562</v>
      </c>
      <c r="AM6" s="2">
        <f t="shared" ref="AM6:AM44" si="10">AH6*AL6</f>
        <v>-599795.18280509103</v>
      </c>
      <c r="AN6" s="2">
        <f t="shared" ref="AN6:AN44" si="11">AJ6*AL6</f>
        <v>1784678.6735225068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398.77272413962697</v>
      </c>
      <c r="D7" s="6" t="s">
        <v>125</v>
      </c>
      <c r="F7" t="s">
        <v>121</v>
      </c>
      <c r="G7" s="8">
        <f>$C$6*2*PI()/60*$C$9</f>
        <v>148.0578121113133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0.91929961052310816</v>
      </c>
      <c r="P7" s="6" t="s">
        <v>115</v>
      </c>
      <c r="U7" s="2">
        <v>3</v>
      </c>
      <c r="V7" s="2">
        <f t="shared" si="7"/>
        <v>0</v>
      </c>
      <c r="W7" s="2">
        <f t="shared" si="0"/>
        <v>6.536119508154084E-2</v>
      </c>
      <c r="X7" s="2">
        <f t="shared" si="8"/>
        <v>0.125</v>
      </c>
      <c r="Y7" s="2">
        <f t="shared" si="1"/>
        <v>-5.9822988901828231E-2</v>
      </c>
      <c r="Z7" s="2">
        <f t="shared" si="3"/>
        <v>6.25E-2</v>
      </c>
      <c r="AA7" s="2">
        <f t="shared" si="2"/>
        <v>2.8131965974783901E-3</v>
      </c>
      <c r="AB7" s="2">
        <f t="shared" si="4"/>
        <v>1.8387389161051199E-4</v>
      </c>
      <c r="AC7" s="2">
        <f t="shared" si="5"/>
        <v>-1.6829382882961068E-4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-730.33184549584735</v>
      </c>
      <c r="AI7" s="2">
        <f t="shared" ref="AI7:AI44" si="14">IF(AN6&gt;0, AK6, AI6)</f>
        <v>2875</v>
      </c>
      <c r="AJ7" s="2">
        <v>821.2639042158562</v>
      </c>
      <c r="AK7" s="2">
        <f t="shared" si="9"/>
        <v>1687.5</v>
      </c>
      <c r="AL7" s="2">
        <v>67.923827281107606</v>
      </c>
      <c r="AM7" s="2">
        <f t="shared" si="10"/>
        <v>-49606.9341313525</v>
      </c>
      <c r="AN7" s="2">
        <f t="shared" si="11"/>
        <v>55783.387582165917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0.44339712169282308</v>
      </c>
      <c r="H8" s="6" t="s">
        <v>122</v>
      </c>
      <c r="J8" s="6" t="s">
        <v>96</v>
      </c>
      <c r="K8" s="6">
        <f xml:space="preserve"> $C$15 * (G12*G6 + G22*G15 + G31*G27 +G35*G34)/3600</f>
        <v>175.5320191822353</v>
      </c>
      <c r="L8" s="6" t="s">
        <v>102</v>
      </c>
      <c r="N8" s="6" t="s">
        <v>38</v>
      </c>
      <c r="O8" s="6">
        <f xml:space="preserve"> O4 *O7</f>
        <v>2084.4785749719017</v>
      </c>
      <c r="P8" s="6" t="s">
        <v>20</v>
      </c>
      <c r="U8" s="2">
        <v>4</v>
      </c>
      <c r="V8" s="2">
        <f t="shared" si="7"/>
        <v>6.25E-2</v>
      </c>
      <c r="W8" s="2">
        <f t="shared" si="0"/>
        <v>2.8131965974783901E-3</v>
      </c>
      <c r="X8" s="2">
        <f t="shared" si="8"/>
        <v>0.125</v>
      </c>
      <c r="Y8" s="2">
        <f t="shared" si="1"/>
        <v>-5.9822988901828231E-2</v>
      </c>
      <c r="Z8" s="2">
        <f t="shared" si="3"/>
        <v>9.375E-2</v>
      </c>
      <c r="AA8" s="2">
        <f t="shared" si="2"/>
        <v>-2.8494921685911709E-2</v>
      </c>
      <c r="AB8" s="2">
        <f t="shared" si="4"/>
        <v>-8.0161816732220016E-5</v>
      </c>
      <c r="AC8" s="2">
        <f t="shared" si="5"/>
        <v>1.7046513837747608E-3</v>
      </c>
      <c r="AD8" s="2">
        <f t="shared" si="6"/>
        <v>6.25E-2</v>
      </c>
      <c r="AF8" s="2">
        <v>4</v>
      </c>
      <c r="AG8" s="2">
        <f t="shared" si="13"/>
        <v>500</v>
      </c>
      <c r="AH8" s="2">
        <v>-730.33184549584735</v>
      </c>
      <c r="AI8" s="2">
        <f t="shared" si="14"/>
        <v>1687.5</v>
      </c>
      <c r="AJ8" s="2">
        <v>67.923827281107606</v>
      </c>
      <c r="AK8" s="2">
        <f t="shared" si="9"/>
        <v>1093.75</v>
      </c>
      <c r="AL8" s="2">
        <v>-336.96863610615787</v>
      </c>
      <c r="AM8" s="2">
        <f t="shared" si="10"/>
        <v>246098.92588162891</v>
      </c>
      <c r="AN8" s="2">
        <f t="shared" si="11"/>
        <v>-22888.199438025069</v>
      </c>
      <c r="AO8" s="2">
        <f t="shared" si="12"/>
        <v>1187.5</v>
      </c>
    </row>
    <row r="9" spans="2:41" x14ac:dyDescent="0.2">
      <c r="B9" s="6" t="s">
        <v>95</v>
      </c>
      <c r="C9" s="17">
        <v>3.53461989913299</v>
      </c>
      <c r="D9" s="6" t="s">
        <v>8</v>
      </c>
      <c r="F9" t="s">
        <v>19</v>
      </c>
      <c r="G9" s="6">
        <f xml:space="preserve"> $C$5 * $C$44 / $C$18</f>
        <v>3891.2911426436572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2084.4785749719017</v>
      </c>
      <c r="P9" s="6" t="s">
        <v>20</v>
      </c>
      <c r="U9" s="2">
        <v>5</v>
      </c>
      <c r="V9" s="2">
        <f t="shared" si="7"/>
        <v>6.25E-2</v>
      </c>
      <c r="W9" s="2">
        <f t="shared" si="0"/>
        <v>2.8131965974783901E-3</v>
      </c>
      <c r="X9" s="2">
        <f t="shared" si="8"/>
        <v>9.375E-2</v>
      </c>
      <c r="Y9" s="2">
        <f t="shared" si="1"/>
        <v>-2.8494921685911709E-2</v>
      </c>
      <c r="Z9" s="2">
        <f t="shared" si="3"/>
        <v>7.8125E-2</v>
      </c>
      <c r="AA9" s="2">
        <f t="shared" si="2"/>
        <v>-1.2838208803568132E-2</v>
      </c>
      <c r="AB9" s="2">
        <f t="shared" si="4"/>
        <v>-3.6116405323914986E-5</v>
      </c>
      <c r="AC9" s="2">
        <f t="shared" si="5"/>
        <v>3.6582375444505622E-4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-336.96863610615787</v>
      </c>
      <c r="AI9" s="2">
        <f t="shared" si="14"/>
        <v>1687.5</v>
      </c>
      <c r="AJ9" s="2">
        <v>67.923827281107606</v>
      </c>
      <c r="AK9" s="2">
        <f t="shared" si="9"/>
        <v>1390.625</v>
      </c>
      <c r="AL9" s="2">
        <v>-134.81434615053217</v>
      </c>
      <c r="AM9" s="2">
        <f t="shared" si="10"/>
        <v>45428.206349888278</v>
      </c>
      <c r="AN9" s="2">
        <f t="shared" si="11"/>
        <v>-9157.1063629442015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43.014760559308847</v>
      </c>
      <c r="H10" s="6" t="s">
        <v>101</v>
      </c>
      <c r="N10" s="6" t="s">
        <v>113</v>
      </c>
      <c r="O10" s="6">
        <f>O7/(0.3048^2)/($C$5*2.20462/1000)^(2/3)</f>
        <v>4.2917091320791521</v>
      </c>
      <c r="U10" s="2">
        <v>6</v>
      </c>
      <c r="V10" s="2">
        <f t="shared" si="7"/>
        <v>6.25E-2</v>
      </c>
      <c r="W10" s="2">
        <f t="shared" si="0"/>
        <v>2.8131965974783901E-3</v>
      </c>
      <c r="X10" s="2">
        <f t="shared" si="8"/>
        <v>7.8125E-2</v>
      </c>
      <c r="Y10" s="2">
        <f t="shared" si="1"/>
        <v>-1.2838208803568132E-2</v>
      </c>
      <c r="Z10" s="2">
        <f t="shared" si="3"/>
        <v>7.03125E-2</v>
      </c>
      <c r="AA10" s="2">
        <f t="shared" si="2"/>
        <v>-5.0118248341521898E-3</v>
      </c>
      <c r="AB10" s="2">
        <f t="shared" si="4"/>
        <v>-1.4099248570594638E-5</v>
      </c>
      <c r="AC10" s="2">
        <f t="shared" si="5"/>
        <v>6.4342853707754041E-5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-134.81434615053217</v>
      </c>
      <c r="AI10" s="2">
        <f t="shared" si="14"/>
        <v>1687.5</v>
      </c>
      <c r="AJ10" s="2">
        <v>67.923827281107606</v>
      </c>
      <c r="AK10" s="2">
        <f t="shared" si="9"/>
        <v>1539.0625</v>
      </c>
      <c r="AL10" s="2">
        <v>-33.453151879708912</v>
      </c>
      <c r="AM10" s="2">
        <f t="shared" si="10"/>
        <v>4509.9647973374031</v>
      </c>
      <c r="AN10" s="2">
        <f t="shared" si="11"/>
        <v>-2272.2661102860084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9.229625122859666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6.25E-2</v>
      </c>
      <c r="W11" s="2">
        <f t="shared" si="0"/>
        <v>2.8131965974783901E-3</v>
      </c>
      <c r="X11" s="2">
        <f t="shared" si="8"/>
        <v>7.03125E-2</v>
      </c>
      <c r="Y11" s="2">
        <f t="shared" si="1"/>
        <v>-5.0118248341521898E-3</v>
      </c>
      <c r="Z11" s="2">
        <f t="shared" si="3"/>
        <v>6.640625E-2</v>
      </c>
      <c r="AA11" s="2">
        <f t="shared" si="2"/>
        <v>-1.0991417285653726E-3</v>
      </c>
      <c r="AB11" s="2">
        <f t="shared" si="4"/>
        <v>-3.0921017709466227E-6</v>
      </c>
      <c r="AC11" s="2">
        <f t="shared" si="5"/>
        <v>5.5087058114769002E-6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-33.453151879708912</v>
      </c>
      <c r="AI11" s="2">
        <f t="shared" si="14"/>
        <v>1687.5</v>
      </c>
      <c r="AJ11" s="2">
        <v>67.923827281107606</v>
      </c>
      <c r="AK11" s="2">
        <f t="shared" si="9"/>
        <v>1613.28125</v>
      </c>
      <c r="AL11" s="2">
        <v>17.239531379026175</v>
      </c>
      <c r="AM11" s="2">
        <f t="shared" si="10"/>
        <v>-576.71666155757032</v>
      </c>
      <c r="AN11" s="2">
        <f t="shared" si="11"/>
        <v>1170.9749517962086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172.05904223723539</v>
      </c>
      <c r="H12" s="25" t="s">
        <v>101</v>
      </c>
      <c r="J12" s="10" t="s">
        <v>79</v>
      </c>
      <c r="K12" s="6">
        <f>C5</f>
        <v>1588.0404588479601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6.25E-2</v>
      </c>
      <c r="W12" s="2">
        <f t="shared" si="0"/>
        <v>2.8131965974783901E-3</v>
      </c>
      <c r="X12" s="2">
        <f t="shared" si="8"/>
        <v>6.640625E-2</v>
      </c>
      <c r="Y12" s="2">
        <f t="shared" si="1"/>
        <v>-1.0991417285653726E-3</v>
      </c>
      <c r="Z12" s="2">
        <f t="shared" si="3"/>
        <v>6.4453125E-2</v>
      </c>
      <c r="AA12" s="2">
        <f t="shared" si="2"/>
        <v>8.570707805797273E-4</v>
      </c>
      <c r="AB12" s="2">
        <f t="shared" si="4"/>
        <v>2.4111086037250365E-6</v>
      </c>
      <c r="AC12" s="2">
        <f t="shared" si="5"/>
        <v>-9.4204225926927466E-7</v>
      </c>
      <c r="AD12" s="2">
        <f t="shared" si="6"/>
        <v>3.90625E-3</v>
      </c>
      <c r="AF12" s="2">
        <v>8</v>
      </c>
      <c r="AG12" s="2">
        <f t="shared" si="13"/>
        <v>1539.0625</v>
      </c>
      <c r="AH12" s="2">
        <v>-33.453151879708912</v>
      </c>
      <c r="AI12" s="2">
        <f t="shared" si="14"/>
        <v>1613.28125</v>
      </c>
      <c r="AJ12" s="2">
        <v>17.239531379026175</v>
      </c>
      <c r="AK12" s="2">
        <f t="shared" si="9"/>
        <v>1576.171875</v>
      </c>
      <c r="AL12" s="2">
        <v>-8.1064682708143891</v>
      </c>
      <c r="AM12" s="2">
        <f t="shared" si="10"/>
        <v>271.18691427159501</v>
      </c>
      <c r="AN12" s="2">
        <f t="shared" si="11"/>
        <v>-139.75171412778471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368.76474618116657</v>
      </c>
      <c r="L13" s="6" t="s">
        <v>7</v>
      </c>
      <c r="N13" s="6" t="s">
        <v>74</v>
      </c>
      <c r="O13" s="6">
        <f xml:space="preserve"> SQRT( ($C$5*$C$50)^2 + O9^2)</f>
        <v>15702.644790911547</v>
      </c>
      <c r="P13" s="6" t="s">
        <v>20</v>
      </c>
      <c r="U13" s="2">
        <v>9</v>
      </c>
      <c r="V13" s="2">
        <f t="shared" si="7"/>
        <v>6.4453125E-2</v>
      </c>
      <c r="W13" s="2">
        <f t="shared" si="0"/>
        <v>8.570707805797273E-4</v>
      </c>
      <c r="X13" s="2">
        <f t="shared" si="8"/>
        <v>6.640625E-2</v>
      </c>
      <c r="Y13" s="2">
        <f t="shared" si="1"/>
        <v>-1.0991417285653726E-3</v>
      </c>
      <c r="Z13" s="2">
        <f t="shared" si="3"/>
        <v>6.54296875E-2</v>
      </c>
      <c r="AA13" s="2">
        <f t="shared" si="2"/>
        <v>-1.2102466807220602E-4</v>
      </c>
      <c r="AB13" s="2">
        <f t="shared" si="4"/>
        <v>-1.0372670673404801E-7</v>
      </c>
      <c r="AC13" s="2">
        <f t="shared" si="5"/>
        <v>1.33023262863935E-7</v>
      </c>
      <c r="AD13" s="2">
        <f t="shared" si="6"/>
        <v>1.953125E-3</v>
      </c>
      <c r="AF13" s="2">
        <v>9</v>
      </c>
      <c r="AG13" s="2">
        <f t="shared" si="13"/>
        <v>1576.171875</v>
      </c>
      <c r="AH13" s="2">
        <v>-8.1064682708143891</v>
      </c>
      <c r="AI13" s="2">
        <f t="shared" si="14"/>
        <v>1613.28125</v>
      </c>
      <c r="AJ13" s="2">
        <v>17.239531379026175</v>
      </c>
      <c r="AK13" s="2">
        <f t="shared" si="9"/>
        <v>1594.7265625</v>
      </c>
      <c r="AL13" s="2">
        <v>4.5667091907168924</v>
      </c>
      <c r="AM13" s="2">
        <f t="shared" si="10"/>
        <v>-37.019883156582942</v>
      </c>
      <c r="AN13" s="2">
        <f t="shared" si="11"/>
        <v>78.727926392251092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 xml:space="preserve"> $C$54 * $C$18 * (0.0095 * MAX(G9,O18,G28) - 1.9275)</f>
        <v>113.17210041092774</v>
      </c>
      <c r="L14" s="6" t="s">
        <v>7</v>
      </c>
      <c r="N14" s="6" t="s">
        <v>75</v>
      </c>
      <c r="O14" s="6">
        <f>$C$5*$C$50/O13</f>
        <v>0.99114995887368729</v>
      </c>
      <c r="U14" s="2">
        <v>10</v>
      </c>
      <c r="V14" s="2">
        <f t="shared" si="7"/>
        <v>6.4453125E-2</v>
      </c>
      <c r="W14" s="2">
        <f t="shared" si="0"/>
        <v>8.570707805797273E-4</v>
      </c>
      <c r="X14" s="2">
        <f t="shared" si="8"/>
        <v>6.54296875E-2</v>
      </c>
      <c r="Y14" s="2">
        <f t="shared" si="1"/>
        <v>-1.2102466807220602E-4</v>
      </c>
      <c r="Z14" s="2">
        <f t="shared" si="3"/>
        <v>6.494140625E-2</v>
      </c>
      <c r="AA14" s="2">
        <f t="shared" si="2"/>
        <v>3.6802576159015998E-4</v>
      </c>
      <c r="AB14" s="2">
        <f t="shared" si="4"/>
        <v>3.1542412675952702E-7</v>
      </c>
      <c r="AC14" s="2">
        <f t="shared" si="5"/>
        <v>-4.4540195638469937E-8</v>
      </c>
      <c r="AD14" s="2">
        <f t="shared" si="6"/>
        <v>9.765625E-4</v>
      </c>
      <c r="AF14" s="2">
        <v>10</v>
      </c>
      <c r="AG14" s="2">
        <f t="shared" si="13"/>
        <v>1576.171875</v>
      </c>
      <c r="AH14" s="2">
        <v>-8.1064682708143891</v>
      </c>
      <c r="AI14" s="2">
        <f t="shared" si="14"/>
        <v>1594.7265625</v>
      </c>
      <c r="AJ14" s="2">
        <v>4.5667091907168924</v>
      </c>
      <c r="AK14" s="2">
        <f t="shared" si="9"/>
        <v>1585.44921875</v>
      </c>
      <c r="AL14" s="2">
        <v>-1.7698447661546197</v>
      </c>
      <c r="AM14" s="2">
        <f t="shared" si="10"/>
        <v>14.347190441099338</v>
      </c>
      <c r="AN14" s="2">
        <f t="shared" si="11"/>
        <v>-8.0823663597404902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188.63820765815862</v>
      </c>
      <c r="L15" s="6" t="s">
        <v>7</v>
      </c>
      <c r="U15" s="2">
        <v>11</v>
      </c>
      <c r="V15" s="2">
        <f t="shared" si="7"/>
        <v>6.494140625E-2</v>
      </c>
      <c r="W15" s="2">
        <f t="shared" si="0"/>
        <v>3.6802576159015998E-4</v>
      </c>
      <c r="X15" s="2">
        <f t="shared" si="8"/>
        <v>6.54296875E-2</v>
      </c>
      <c r="Y15" s="2">
        <f t="shared" si="1"/>
        <v>-1.2102466807220602E-4</v>
      </c>
      <c r="Z15" s="2">
        <f t="shared" si="3"/>
        <v>6.5185546875E-2</v>
      </c>
      <c r="AA15" s="2">
        <f t="shared" si="2"/>
        <v>1.235012226129123E-4</v>
      </c>
      <c r="AB15" s="2">
        <f t="shared" si="4"/>
        <v>4.5451631509432938E-8</v>
      </c>
      <c r="AC15" s="2">
        <f t="shared" si="5"/>
        <v>-1.4946694473239336E-8</v>
      </c>
      <c r="AD15" s="2">
        <f t="shared" si="6"/>
        <v>4.8828125E-4</v>
      </c>
      <c r="AF15" s="2">
        <v>11</v>
      </c>
      <c r="AG15" s="2">
        <f t="shared" si="13"/>
        <v>1585.44921875</v>
      </c>
      <c r="AH15" s="2">
        <v>-1.7698447661546197</v>
      </c>
      <c r="AI15" s="2">
        <f t="shared" si="14"/>
        <v>1594.7265625</v>
      </c>
      <c r="AJ15" s="2">
        <v>4.5667091907168924</v>
      </c>
      <c r="AK15" s="2">
        <f t="shared" si="9"/>
        <v>1590.087890625</v>
      </c>
      <c r="AL15" s="2">
        <v>1.3984428765098755</v>
      </c>
      <c r="AM15" s="2">
        <f t="shared" si="10"/>
        <v>-2.4750268057572145</v>
      </c>
      <c r="AN15" s="2">
        <f t="shared" si="11"/>
        <v>6.3862819368502164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147.60354266445364</v>
      </c>
      <c r="H16" s="6" t="s">
        <v>10</v>
      </c>
      <c r="J16" s="13" t="s">
        <v>53</v>
      </c>
      <c r="K16" s="6">
        <f xml:space="preserve"> $C$54 * 0.2138 * K4</f>
        <v>56.618956548015134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6.5185546875E-2</v>
      </c>
      <c r="W16" s="2">
        <f t="shared" si="0"/>
        <v>1.235012226129123E-4</v>
      </c>
      <c r="X16" s="2">
        <f t="shared" si="8"/>
        <v>6.54296875E-2</v>
      </c>
      <c r="Y16" s="2">
        <f t="shared" si="1"/>
        <v>-1.2102466807220602E-4</v>
      </c>
      <c r="Z16" s="2">
        <f t="shared" si="3"/>
        <v>6.53076171875E-2</v>
      </c>
      <c r="AA16" s="2">
        <f t="shared" si="2"/>
        <v>1.2384461736542063E-6</v>
      </c>
      <c r="AB16" s="2">
        <f t="shared" si="4"/>
        <v>1.5294961658657756E-10</v>
      </c>
      <c r="AC16" s="2">
        <f t="shared" si="5"/>
        <v>-1.4988253709179393E-10</v>
      </c>
      <c r="AD16" s="2">
        <f t="shared" si="6"/>
        <v>2.44140625E-4</v>
      </c>
      <c r="AF16" s="2">
        <v>12</v>
      </c>
      <c r="AG16" s="2">
        <f t="shared" si="13"/>
        <v>1585.44921875</v>
      </c>
      <c r="AH16" s="2">
        <v>-1.7698447661546197</v>
      </c>
      <c r="AI16" s="2">
        <f t="shared" si="14"/>
        <v>1590.087890625</v>
      </c>
      <c r="AJ16" s="2">
        <v>1.3984428765098755</v>
      </c>
      <c r="AK16" s="2">
        <f t="shared" si="9"/>
        <v>1587.7685546875</v>
      </c>
      <c r="AL16" s="2">
        <v>-0.18569806030370728</v>
      </c>
      <c r="AM16" s="2">
        <f t="shared" si="10"/>
        <v>0.32865674011358126</v>
      </c>
      <c r="AN16" s="2">
        <f t="shared" si="11"/>
        <v>-0.25968812961342075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0.44362456530571509</v>
      </c>
      <c r="H17" s="6" t="s">
        <v>122</v>
      </c>
      <c r="J17" s="13" t="s">
        <v>77</v>
      </c>
      <c r="K17" s="6">
        <f xml:space="preserve"> $C$54 * 0.1149 * K4</f>
        <v>30.428054758498313</v>
      </c>
      <c r="L17" s="6" t="s">
        <v>7</v>
      </c>
      <c r="N17" s="6" t="s">
        <v>25</v>
      </c>
      <c r="O17" s="6">
        <f xml:space="preserve"> ACOS(O14)/PI()*180</f>
        <v>7.6283584029499982</v>
      </c>
      <c r="P17" s="6" t="s">
        <v>40</v>
      </c>
      <c r="U17" s="2">
        <v>13</v>
      </c>
      <c r="V17" s="2">
        <f t="shared" si="7"/>
        <v>6.53076171875E-2</v>
      </c>
      <c r="W17" s="2">
        <f t="shared" si="0"/>
        <v>1.2384461736542063E-6</v>
      </c>
      <c r="X17" s="2">
        <f t="shared" si="8"/>
        <v>6.54296875E-2</v>
      </c>
      <c r="Y17" s="2">
        <f t="shared" si="1"/>
        <v>-1.2102466807220602E-4</v>
      </c>
      <c r="Z17" s="2">
        <f t="shared" si="3"/>
        <v>6.536865234375E-2</v>
      </c>
      <c r="AA17" s="2">
        <f t="shared" si="2"/>
        <v>-5.9893068730984544E-5</v>
      </c>
      <c r="AB17" s="2">
        <f t="shared" si="4"/>
        <v>-7.4174341798296195E-11</v>
      </c>
      <c r="AC17" s="2">
        <f t="shared" si="5"/>
        <v>7.248538762993226E-9</v>
      </c>
      <c r="AD17" s="2">
        <f t="shared" si="6"/>
        <v>1.220703125E-4</v>
      </c>
      <c r="AF17" s="2">
        <v>13</v>
      </c>
      <c r="AG17" s="2">
        <f t="shared" si="13"/>
        <v>1587.7685546875</v>
      </c>
      <c r="AH17" s="2">
        <v>-0.18569806030370728</v>
      </c>
      <c r="AI17" s="2">
        <f t="shared" si="14"/>
        <v>1590.087890625</v>
      </c>
      <c r="AJ17" s="2">
        <v>1.3984428765098755</v>
      </c>
      <c r="AK17" s="2">
        <f t="shared" si="9"/>
        <v>1588.92822265625</v>
      </c>
      <c r="AL17" s="2">
        <v>0.60637520574323389</v>
      </c>
      <c r="AM17" s="2">
        <f t="shared" si="10"/>
        <v>-0.11260269952277996</v>
      </c>
      <c r="AN17" s="2">
        <f t="shared" si="11"/>
        <v>0.84798108696383556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3925.6611977278867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125.75872486060854</v>
      </c>
      <c r="L18" s="6" t="s">
        <v>7</v>
      </c>
      <c r="N18" s="6" t="s">
        <v>19</v>
      </c>
      <c r="O18" s="6">
        <f xml:space="preserve"> O13 / $C$18</f>
        <v>3925.6611977278867</v>
      </c>
      <c r="P18" s="6" t="s">
        <v>20</v>
      </c>
      <c r="U18" s="2">
        <v>14</v>
      </c>
      <c r="V18" s="2">
        <f t="shared" si="7"/>
        <v>6.53076171875E-2</v>
      </c>
      <c r="W18" s="2">
        <f t="shared" si="0"/>
        <v>1.2384461736542063E-6</v>
      </c>
      <c r="X18" s="2">
        <f t="shared" si="8"/>
        <v>6.536865234375E-2</v>
      </c>
      <c r="Y18" s="2">
        <f t="shared" si="1"/>
        <v>-5.9893068730984544E-5</v>
      </c>
      <c r="Z18" s="2">
        <f t="shared" si="3"/>
        <v>6.5338134765625E-2</v>
      </c>
      <c r="AA18" s="2">
        <f t="shared" si="2"/>
        <v>-2.9327300723150374E-5</v>
      </c>
      <c r="AB18" s="2">
        <f t="shared" si="4"/>
        <v>-3.6320283364191816E-11</v>
      </c>
      <c r="AC18" s="2">
        <f t="shared" si="5"/>
        <v>1.7565020379058981E-9</v>
      </c>
      <c r="AD18" s="2">
        <f t="shared" si="6"/>
        <v>6.103515625E-5</v>
      </c>
      <c r="AF18" s="2">
        <v>14</v>
      </c>
      <c r="AG18" s="2">
        <f t="shared" si="13"/>
        <v>1587.7685546875</v>
      </c>
      <c r="AH18" s="2">
        <v>-0.18569806030370728</v>
      </c>
      <c r="AI18" s="2">
        <f t="shared" si="14"/>
        <v>1588.92822265625</v>
      </c>
      <c r="AJ18" s="2">
        <v>0.60637520574323389</v>
      </c>
      <c r="AK18" s="2">
        <f t="shared" si="9"/>
        <v>1588.348388671875</v>
      </c>
      <c r="AL18" s="2">
        <v>0.21033743570046681</v>
      </c>
      <c r="AM18" s="2">
        <f t="shared" si="10"/>
        <v>-3.9059253818832441E-2</v>
      </c>
      <c r="AN18" s="2">
        <f t="shared" si="11"/>
        <v>0.12754340584837479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55.171262616946464</v>
      </c>
      <c r="H19" s="6" t="s">
        <v>101</v>
      </c>
      <c r="J19" s="14" t="s">
        <v>61</v>
      </c>
      <c r="K19" s="6">
        <f xml:space="preserve"> $C$55 * C31 * $C$5</f>
        <v>17.786053139097156</v>
      </c>
      <c r="L19" s="6" t="s">
        <v>7</v>
      </c>
      <c r="N19" s="6" t="s">
        <v>26</v>
      </c>
      <c r="O19" s="6">
        <f>$C$7*2*PI()/60</f>
        <v>41.759382020301373</v>
      </c>
      <c r="P19" s="6" t="s">
        <v>27</v>
      </c>
      <c r="U19" s="2">
        <v>15</v>
      </c>
      <c r="V19" s="2">
        <f t="shared" si="7"/>
        <v>6.53076171875E-2</v>
      </c>
      <c r="W19" s="2">
        <f t="shared" si="0"/>
        <v>1.2384461736542063E-6</v>
      </c>
      <c r="X19" s="2">
        <f t="shared" si="8"/>
        <v>6.5338134765625E-2</v>
      </c>
      <c r="Y19" s="2">
        <f t="shared" si="1"/>
        <v>-2.9327300723150374E-5</v>
      </c>
      <c r="Z19" s="2">
        <f t="shared" si="3"/>
        <v>6.53228759765625E-2</v>
      </c>
      <c r="AA19" s="2">
        <f t="shared" si="2"/>
        <v>-1.4044424635747954E-5</v>
      </c>
      <c r="AB19" s="2">
        <f t="shared" si="4"/>
        <v>-1.7393263951316923E-11</v>
      </c>
      <c r="AC19" s="2">
        <f t="shared" si="5"/>
        <v>4.1188506477620189E-10</v>
      </c>
      <c r="AD19" s="2">
        <f t="shared" si="6"/>
        <v>3.0517578125E-5</v>
      </c>
      <c r="AF19" s="2">
        <v>15</v>
      </c>
      <c r="AG19" s="2">
        <f t="shared" si="13"/>
        <v>1587.7685546875</v>
      </c>
      <c r="AH19" s="2">
        <v>-0.18569806030370728</v>
      </c>
      <c r="AI19" s="2">
        <f t="shared" si="14"/>
        <v>1588.348388671875</v>
      </c>
      <c r="AJ19" s="2">
        <v>0.21033743570046681</v>
      </c>
      <c r="AK19" s="2">
        <f t="shared" si="9"/>
        <v>1588.0584716796875</v>
      </c>
      <c r="AL19" s="2">
        <v>1.2319399341890858E-2</v>
      </c>
      <c r="AM19" s="2">
        <f t="shared" si="10"/>
        <v>-2.2876885618959004E-3</v>
      </c>
      <c r="AN19" s="2">
        <f t="shared" si="11"/>
        <v>2.5912308669433413E-3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7.2602116449602097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0.45027748279269247</v>
      </c>
      <c r="U20" s="2">
        <v>16</v>
      </c>
      <c r="V20" s="2">
        <f t="shared" si="7"/>
        <v>6.53076171875E-2</v>
      </c>
      <c r="W20" s="2">
        <f t="shared" si="0"/>
        <v>1.2384461736542063E-6</v>
      </c>
      <c r="X20" s="2">
        <f t="shared" si="8"/>
        <v>6.53228759765625E-2</v>
      </c>
      <c r="Y20" s="2">
        <f t="shared" si="1"/>
        <v>-1.4044424635747954E-5</v>
      </c>
      <c r="Z20" s="2">
        <f t="shared" si="3"/>
        <v>6.531524658203125E-2</v>
      </c>
      <c r="AA20" s="2">
        <f t="shared" si="2"/>
        <v>-6.4029885712829637E-6</v>
      </c>
      <c r="AB20" s="2">
        <f t="shared" si="4"/>
        <v>-7.9297566960570001E-12</v>
      </c>
      <c r="AC20" s="2">
        <f t="shared" si="5"/>
        <v>8.9926290432939053E-11</v>
      </c>
      <c r="AD20" s="2">
        <f t="shared" si="6"/>
        <v>1.52587890625E-5</v>
      </c>
      <c r="AF20" s="2">
        <v>16</v>
      </c>
      <c r="AG20" s="2">
        <f t="shared" si="13"/>
        <v>1587.7685546875</v>
      </c>
      <c r="AH20" s="2">
        <v>-0.18569806030370728</v>
      </c>
      <c r="AI20" s="2">
        <f t="shared" si="14"/>
        <v>1588.0584716796875</v>
      </c>
      <c r="AJ20" s="2">
        <v>1.2319399341890858E-2</v>
      </c>
      <c r="AK20" s="2">
        <f t="shared" si="9"/>
        <v>1587.9135131835938</v>
      </c>
      <c r="AL20" s="2">
        <v>-8.6691204267708599E-2</v>
      </c>
      <c r="AM20" s="2">
        <f t="shared" si="10"/>
        <v>1.6098388477905956E-2</v>
      </c>
      <c r="AN20" s="2">
        <f t="shared" si="11"/>
        <v>-1.0679835648033352E-3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7.4132137196443987E-2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4.5518597864219624E-3</v>
      </c>
      <c r="U21" s="2">
        <v>17</v>
      </c>
      <c r="V21" s="2">
        <f t="shared" si="7"/>
        <v>6.53076171875E-2</v>
      </c>
      <c r="W21" s="2">
        <f t="shared" si="0"/>
        <v>1.2384461736542063E-6</v>
      </c>
      <c r="X21" s="2">
        <f t="shared" si="8"/>
        <v>6.531524658203125E-2</v>
      </c>
      <c r="Y21" s="2">
        <f t="shared" si="1"/>
        <v>-6.4029885712829637E-6</v>
      </c>
      <c r="Z21" s="2">
        <f t="shared" si="3"/>
        <v>6.5311431884765625E-2</v>
      </c>
      <c r="AA21" s="2">
        <f t="shared" si="2"/>
        <v>-2.5822710338768706E-6</v>
      </c>
      <c r="AB21" s="2">
        <f t="shared" si="4"/>
        <v>-3.1980036812429017E-12</v>
      </c>
      <c r="AC21" s="2">
        <f t="shared" si="5"/>
        <v>1.6534251917868645E-11</v>
      </c>
      <c r="AD21" s="2">
        <f t="shared" si="6"/>
        <v>7.62939453125E-6</v>
      </c>
      <c r="AF21" s="2">
        <v>17</v>
      </c>
      <c r="AG21" s="2">
        <f t="shared" si="13"/>
        <v>1587.9135131835938</v>
      </c>
      <c r="AH21" s="2">
        <v>-8.6691204267708599E-2</v>
      </c>
      <c r="AI21" s="2">
        <f t="shared" si="14"/>
        <v>1588.0584716796875</v>
      </c>
      <c r="AJ21" s="2">
        <v>1.2319399341890858E-2</v>
      </c>
      <c r="AK21" s="2">
        <f t="shared" si="9"/>
        <v>1587.9859924316406</v>
      </c>
      <c r="AL21" s="2">
        <v>-3.7183969218517632E-2</v>
      </c>
      <c r="AM21" s="2">
        <f t="shared" si="10"/>
        <v>3.2235230710067008E-3</v>
      </c>
      <c r="AN21" s="2">
        <f t="shared" si="11"/>
        <v>-4.5808416591949601E-4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220.68505046778586</v>
      </c>
      <c r="H22" s="25" t="s">
        <v>101</v>
      </c>
      <c r="J22" s="14" t="s">
        <v>112</v>
      </c>
      <c r="K22" s="6">
        <f>$C$55*(0.14*$G$12*1000/745.7)*0.453592</f>
        <v>11.721866393569632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6.53076171875E-2</v>
      </c>
      <c r="W22" s="2">
        <f t="shared" si="0"/>
        <v>1.2384461736542063E-6</v>
      </c>
      <c r="X22" s="2">
        <f t="shared" si="8"/>
        <v>6.5311431884765625E-2</v>
      </c>
      <c r="Y22" s="2">
        <f t="shared" si="1"/>
        <v>-2.5822710338768706E-6</v>
      </c>
      <c r="Z22" s="2">
        <f t="shared" si="3"/>
        <v>6.5309524536132812E-2</v>
      </c>
      <c r="AA22" s="2">
        <f t="shared" si="2"/>
        <v>-6.7191238888042459E-7</v>
      </c>
      <c r="AB22" s="2">
        <f t="shared" si="4"/>
        <v>-8.3212732703981889E-13</v>
      </c>
      <c r="AC22" s="2">
        <f t="shared" si="5"/>
        <v>1.735059899108932E-12</v>
      </c>
      <c r="AD22" s="2">
        <f t="shared" si="6"/>
        <v>3.814697265625E-6</v>
      </c>
      <c r="AF22" s="2">
        <v>18</v>
      </c>
      <c r="AG22" s="2">
        <f t="shared" si="13"/>
        <v>1587.9859924316406</v>
      </c>
      <c r="AH22" s="2">
        <v>-3.7183969218517632E-2</v>
      </c>
      <c r="AI22" s="2">
        <f t="shared" si="14"/>
        <v>1588.0584716796875</v>
      </c>
      <c r="AJ22" s="2">
        <v>1.2319399341890858E-2</v>
      </c>
      <c r="AK22" s="2">
        <f t="shared" si="9"/>
        <v>1588.0222320556641</v>
      </c>
      <c r="AL22" s="2">
        <v>-1.243480376331263E-2</v>
      </c>
      <c r="AM22" s="2">
        <f t="shared" si="10"/>
        <v>4.6237536037332401E-4</v>
      </c>
      <c r="AN22" s="2">
        <f t="shared" si="11"/>
        <v>-1.5318931329829556E-4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34.047587437700265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16893.83312464612</v>
      </c>
      <c r="P23" s="6" t="s">
        <v>18</v>
      </c>
      <c r="U23" s="2">
        <v>19</v>
      </c>
      <c r="V23" s="2">
        <f t="shared" si="7"/>
        <v>6.53076171875E-2</v>
      </c>
      <c r="W23" s="2">
        <f t="shared" si="0"/>
        <v>1.2384461736542063E-6</v>
      </c>
      <c r="X23" s="2">
        <f t="shared" si="8"/>
        <v>6.5309524536132812E-2</v>
      </c>
      <c r="Y23" s="2">
        <f t="shared" si="1"/>
        <v>-6.7191238888042459E-7</v>
      </c>
      <c r="Z23" s="2">
        <f t="shared" si="3"/>
        <v>6.5308570861816406E-2</v>
      </c>
      <c r="AA23" s="2">
        <f t="shared" si="2"/>
        <v>2.8326690269808719E-7</v>
      </c>
      <c r="AB23" s="2">
        <f t="shared" si="4"/>
        <v>3.5081081176932443E-13</v>
      </c>
      <c r="AC23" s="2">
        <f t="shared" si="5"/>
        <v>-1.9033054128263054E-13</v>
      </c>
      <c r="AD23" s="2">
        <f t="shared" si="6"/>
        <v>1.9073486328125E-6</v>
      </c>
      <c r="AF23" s="2">
        <v>19</v>
      </c>
      <c r="AG23" s="2">
        <f t="shared" si="13"/>
        <v>1588.0222320556641</v>
      </c>
      <c r="AH23" s="2">
        <v>-1.243480376331263E-2</v>
      </c>
      <c r="AI23" s="2">
        <f t="shared" si="14"/>
        <v>1588.0584716796875</v>
      </c>
      <c r="AJ23" s="2">
        <v>1.2319399341890858E-2</v>
      </c>
      <c r="AK23" s="2">
        <f t="shared" si="9"/>
        <v>1588.0403518676758</v>
      </c>
      <c r="AL23" s="2">
        <v>-5.5329726592390216E-5</v>
      </c>
      <c r="AM23" s="2">
        <f t="shared" si="10"/>
        <v>6.8801429245411277E-7</v>
      </c>
      <c r="AN23" s="2">
        <f t="shared" si="11"/>
        <v>-6.8162899736929314E-7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 xml:space="preserve"> $C$56 * (11.5 * ($C$5*2.20462/1000)^0.4 * 0.453592)</f>
        <v>6.8886058472196723</v>
      </c>
      <c r="L24" s="6" t="s">
        <v>7</v>
      </c>
      <c r="N24" s="6" t="s">
        <v>31</v>
      </c>
      <c r="O24" s="18">
        <f>Z34</f>
        <v>6.5308853518217802E-2</v>
      </c>
      <c r="U24" s="2">
        <v>20</v>
      </c>
      <c r="V24" s="2">
        <f t="shared" si="7"/>
        <v>6.5308570861816406E-2</v>
      </c>
      <c r="W24" s="2">
        <f t="shared" si="0"/>
        <v>2.8326690269808719E-7</v>
      </c>
      <c r="X24" s="2">
        <f t="shared" si="8"/>
        <v>6.5309524536132812E-2</v>
      </c>
      <c r="Y24" s="2">
        <f t="shared" si="1"/>
        <v>-6.7191238888042459E-7</v>
      </c>
      <c r="Z24" s="2">
        <f t="shared" si="3"/>
        <v>6.5309047698974609E-2</v>
      </c>
      <c r="AA24" s="2">
        <f t="shared" si="2"/>
        <v>-1.9432274050990017E-7</v>
      </c>
      <c r="AB24" s="2">
        <f t="shared" si="4"/>
        <v>-5.5045200828043534E-14</v>
      </c>
      <c r="AC24" s="2">
        <f t="shared" si="5"/>
        <v>1.3056785678979787E-13</v>
      </c>
      <c r="AD24" s="2">
        <f t="shared" si="6"/>
        <v>9.5367431640625E-7</v>
      </c>
      <c r="AF24" s="2">
        <v>20</v>
      </c>
      <c r="AG24" s="2">
        <f t="shared" si="13"/>
        <v>1588.0403518676758</v>
      </c>
      <c r="AH24" s="2">
        <v>-5.5329726592390216E-5</v>
      </c>
      <c r="AI24" s="2">
        <f t="shared" si="14"/>
        <v>1588.0584716796875</v>
      </c>
      <c r="AJ24" s="2">
        <v>1.2319399341890858E-2</v>
      </c>
      <c r="AK24" s="2">
        <f t="shared" si="9"/>
        <v>1588.0494117736816</v>
      </c>
      <c r="AL24" s="2">
        <v>6.1296257113099273E-3</v>
      </c>
      <c r="AM24" s="2">
        <f t="shared" si="10"/>
        <v>-3.391505147204637E-7</v>
      </c>
      <c r="AN24" s="2">
        <f t="shared" si="11"/>
        <v>7.5513306953948797E-5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10.163458936626945</v>
      </c>
      <c r="L25" s="6" t="s">
        <v>7</v>
      </c>
      <c r="N25" s="6" t="s">
        <v>32</v>
      </c>
      <c r="O25" s="6">
        <f xml:space="preserve"> O19 * $C$9 * O24 - $C$8 * SIN(O17/180*PI())</f>
        <v>0.73833707867542309</v>
      </c>
      <c r="P25" s="6" t="s">
        <v>10</v>
      </c>
      <c r="U25" s="2">
        <v>21</v>
      </c>
      <c r="V25" s="2">
        <f t="shared" si="7"/>
        <v>6.5308570861816406E-2</v>
      </c>
      <c r="W25" s="2">
        <f t="shared" si="0"/>
        <v>2.8326690269808719E-7</v>
      </c>
      <c r="X25" s="2">
        <f t="shared" si="8"/>
        <v>6.5309047698974609E-2</v>
      </c>
      <c r="Y25" s="2">
        <f t="shared" si="1"/>
        <v>-1.9432274050990017E-7</v>
      </c>
      <c r="Z25" s="2">
        <f t="shared" si="3"/>
        <v>6.5308809280395508E-2</v>
      </c>
      <c r="AA25" s="2">
        <f t="shared" si="2"/>
        <v>4.447208173941064E-8</v>
      </c>
      <c r="AB25" s="2">
        <f t="shared" si="4"/>
        <v>1.2597468850859014E-14</v>
      </c>
      <c r="AC25" s="2">
        <f t="shared" si="5"/>
        <v>-8.6419367997825631E-15</v>
      </c>
      <c r="AD25" s="2">
        <f t="shared" si="6"/>
        <v>4.76837158203125E-7</v>
      </c>
      <c r="AF25" s="2">
        <v>21</v>
      </c>
      <c r="AG25" s="2">
        <f t="shared" si="13"/>
        <v>1588.0403518676758</v>
      </c>
      <c r="AH25" s="2">
        <v>-5.5329726592390216E-5</v>
      </c>
      <c r="AI25" s="2">
        <f t="shared" si="14"/>
        <v>1588.0494117736816</v>
      </c>
      <c r="AJ25" s="2">
        <v>6.1296257113099273E-3</v>
      </c>
      <c r="AK25" s="2">
        <f t="shared" si="9"/>
        <v>1588.0448818206787</v>
      </c>
      <c r="AL25" s="2">
        <v>3.0371461672302758E-3</v>
      </c>
      <c r="AM25" s="2">
        <f t="shared" si="10"/>
        <v>-1.6804446705397701E-7</v>
      </c>
      <c r="AN25" s="2">
        <f t="shared" si="11"/>
        <v>1.8616569235661099E-5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24.052079083480411</v>
      </c>
      <c r="L26" s="6" t="s">
        <v>7</v>
      </c>
      <c r="N26" s="6" t="s">
        <v>33</v>
      </c>
      <c r="O26" s="6">
        <f xml:space="preserve"> 1/$C$21 - O23 * SQRT( (2*$C$47*PI()*$C$9^2) / O18^3 )</f>
        <v>0.72219550951875677</v>
      </c>
      <c r="U26" s="2">
        <v>22</v>
      </c>
      <c r="V26" s="2">
        <f t="shared" si="7"/>
        <v>6.5308809280395508E-2</v>
      </c>
      <c r="W26" s="2">
        <f t="shared" si="0"/>
        <v>4.447208173941064E-8</v>
      </c>
      <c r="X26" s="2">
        <f t="shared" si="8"/>
        <v>6.5309047698974609E-2</v>
      </c>
      <c r="Y26" s="2">
        <f t="shared" si="1"/>
        <v>-1.9432274050990017E-7</v>
      </c>
      <c r="Z26" s="2">
        <f t="shared" si="3"/>
        <v>6.5308928489685059E-2</v>
      </c>
      <c r="AA26" s="2">
        <f t="shared" si="2"/>
        <v>-7.4925329218711312E-8</v>
      </c>
      <c r="AB26" s="2">
        <f t="shared" si="4"/>
        <v>-3.3320853653667818E-15</v>
      </c>
      <c r="AC26" s="2">
        <f t="shared" si="5"/>
        <v>1.4559695307386478E-14</v>
      </c>
      <c r="AD26" s="2">
        <f t="shared" si="6"/>
        <v>2.384185791015625E-7</v>
      </c>
      <c r="AF26" s="2">
        <v>22</v>
      </c>
      <c r="AG26" s="2">
        <f t="shared" si="13"/>
        <v>1588.0403518676758</v>
      </c>
      <c r="AH26" s="2">
        <v>-5.5329726592390216E-5</v>
      </c>
      <c r="AI26" s="2">
        <f t="shared" si="14"/>
        <v>1588.0448818206787</v>
      </c>
      <c r="AJ26" s="2">
        <v>3.0371461672302758E-3</v>
      </c>
      <c r="AK26" s="2">
        <f t="shared" si="9"/>
        <v>1588.0426168441772</v>
      </c>
      <c r="AL26" s="2">
        <v>1.4909077639231327E-3</v>
      </c>
      <c r="AM26" s="2">
        <f t="shared" si="10"/>
        <v>-8.249151895233879E-8</v>
      </c>
      <c r="AN26" s="2">
        <f t="shared" si="11"/>
        <v>4.5281048008930035E-6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1.7592891026652069E-5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6.5308809280395508E-2</v>
      </c>
      <c r="W27" s="2">
        <f t="shared" si="0"/>
        <v>4.447208173941064E-8</v>
      </c>
      <c r="X27" s="2">
        <f t="shared" si="8"/>
        <v>6.5308928489685059E-2</v>
      </c>
      <c r="Y27" s="2">
        <f t="shared" si="1"/>
        <v>-7.4925329218711312E-8</v>
      </c>
      <c r="Z27" s="2">
        <f t="shared" si="3"/>
        <v>6.5308868885040283E-2</v>
      </c>
      <c r="AA27" s="2">
        <f t="shared" si="2"/>
        <v>-1.5226623698016972E-8</v>
      </c>
      <c r="AB27" s="2">
        <f t="shared" si="4"/>
        <v>-6.771596537134579E-16</v>
      </c>
      <c r="AC27" s="2">
        <f t="shared" si="5"/>
        <v>1.1408597934633532E-15</v>
      </c>
      <c r="AD27" s="2">
        <f t="shared" si="6"/>
        <v>1.1920928955078125E-7</v>
      </c>
      <c r="AF27" s="2">
        <v>23</v>
      </c>
      <c r="AG27" s="2">
        <f t="shared" si="13"/>
        <v>1588.0403518676758</v>
      </c>
      <c r="AH27" s="2">
        <v>-5.5329726592390216E-5</v>
      </c>
      <c r="AI27" s="2">
        <f t="shared" si="14"/>
        <v>1588.0426168441772</v>
      </c>
      <c r="AJ27" s="2">
        <v>1.4909077639231327E-3</v>
      </c>
      <c r="AK27" s="2">
        <f t="shared" si="9"/>
        <v>1588.0414843559265</v>
      </c>
      <c r="AL27" s="2">
        <v>7.1778890446694277E-4</v>
      </c>
      <c r="AM27" s="2">
        <f t="shared" si="10"/>
        <v>-3.9715063835207241E-8</v>
      </c>
      <c r="AN27" s="2">
        <f t="shared" si="11"/>
        <v>1.0701570505276448E-6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3891.2911426436572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1.1500000889373692</v>
      </c>
      <c r="U28" s="2">
        <v>24</v>
      </c>
      <c r="V28" s="2">
        <f t="shared" si="7"/>
        <v>6.5308809280395508E-2</v>
      </c>
      <c r="W28" s="2">
        <f t="shared" si="0"/>
        <v>4.447208173941064E-8</v>
      </c>
      <c r="X28" s="2">
        <f t="shared" si="8"/>
        <v>6.5308868885040283E-2</v>
      </c>
      <c r="Y28" s="2">
        <f t="shared" si="1"/>
        <v>-1.5226623698016972E-8</v>
      </c>
      <c r="Z28" s="2">
        <f t="shared" si="3"/>
        <v>6.5308839082717896E-2</v>
      </c>
      <c r="AA28" s="2">
        <f t="shared" si="2"/>
        <v>1.4622729027635728E-8</v>
      </c>
      <c r="AB28" s="2">
        <f t="shared" si="4"/>
        <v>6.5030320057026878E-16</v>
      </c>
      <c r="AC28" s="2">
        <f t="shared" si="5"/>
        <v>-2.2265479234187885E-16</v>
      </c>
      <c r="AD28" s="2">
        <f t="shared" si="6"/>
        <v>5.9604644775390625E-8</v>
      </c>
      <c r="AF28" s="2">
        <v>24</v>
      </c>
      <c r="AG28" s="2">
        <f t="shared" si="13"/>
        <v>1588.0403518676758</v>
      </c>
      <c r="AH28" s="2">
        <v>-5.5329726592390216E-5</v>
      </c>
      <c r="AI28" s="2">
        <f t="shared" si="14"/>
        <v>1588.0414843559265</v>
      </c>
      <c r="AJ28" s="2">
        <v>7.1778890446694277E-4</v>
      </c>
      <c r="AK28" s="2">
        <f t="shared" si="9"/>
        <v>1588.0409181118011</v>
      </c>
      <c r="AL28" s="2">
        <v>3.3122956040188001E-4</v>
      </c>
      <c r="AM28" s="2">
        <f t="shared" si="10"/>
        <v>-1.832684101635362E-8</v>
      </c>
      <c r="AN28" s="2">
        <f t="shared" si="11"/>
        <v>2.3775290328793251E-7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35.824563440780274</v>
      </c>
      <c r="H29" t="s">
        <v>18</v>
      </c>
      <c r="U29" s="2">
        <v>25</v>
      </c>
      <c r="V29" s="2">
        <f t="shared" si="7"/>
        <v>6.5308839082717896E-2</v>
      </c>
      <c r="W29" s="2">
        <f t="shared" si="0"/>
        <v>1.4622729027635728E-8</v>
      </c>
      <c r="X29" s="2">
        <f t="shared" si="8"/>
        <v>6.5308868885040283E-2</v>
      </c>
      <c r="Y29" s="2">
        <f t="shared" si="1"/>
        <v>-1.5226623698016972E-8</v>
      </c>
      <c r="Z29" s="2">
        <f t="shared" si="3"/>
        <v>6.5308853983879089E-2</v>
      </c>
      <c r="AA29" s="2">
        <f t="shared" si="2"/>
        <v>-3.0194734212951602E-10</v>
      </c>
      <c r="AB29" s="2">
        <f t="shared" si="4"/>
        <v>-4.4152941645747302E-18</v>
      </c>
      <c r="AC29" s="2">
        <f t="shared" si="5"/>
        <v>4.5976385552225273E-18</v>
      </c>
      <c r="AD29" s="2">
        <f t="shared" si="6"/>
        <v>2.9802322387695312E-8</v>
      </c>
      <c r="AF29" s="2">
        <v>25</v>
      </c>
      <c r="AG29" s="2">
        <f t="shared" si="13"/>
        <v>1588.0403518676758</v>
      </c>
      <c r="AH29" s="2">
        <v>-5.5329726592390216E-5</v>
      </c>
      <c r="AI29" s="2">
        <f t="shared" si="14"/>
        <v>1588.0409181118011</v>
      </c>
      <c r="AJ29" s="2">
        <v>3.3122956040188001E-4</v>
      </c>
      <c r="AK29" s="2">
        <f t="shared" si="9"/>
        <v>1588.0406349897385</v>
      </c>
      <c r="AL29" s="2">
        <v>1.3794991014037805E-4</v>
      </c>
      <c r="AM29" s="2">
        <f t="shared" si="10"/>
        <v>-7.6327308115119154E-9</v>
      </c>
      <c r="AN29" s="2">
        <f t="shared" si="11"/>
        <v>4.5693088093276273E-8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11.082064276045312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6.5308839082717896E-2</v>
      </c>
      <c r="W30" s="2">
        <f t="shared" si="0"/>
        <v>1.4622729027635728E-8</v>
      </c>
      <c r="X30" s="2">
        <f t="shared" si="8"/>
        <v>6.5308853983879089E-2</v>
      </c>
      <c r="Y30" s="2">
        <f t="shared" si="1"/>
        <v>-3.0194734212951602E-10</v>
      </c>
      <c r="Z30" s="2">
        <f t="shared" si="3"/>
        <v>6.5308846533298492E-2</v>
      </c>
      <c r="AA30" s="2">
        <f t="shared" si="2"/>
        <v>7.1603908496919999E-9</v>
      </c>
      <c r="AB30" s="2">
        <f t="shared" si="4"/>
        <v>1.0470445512700846E-16</v>
      </c>
      <c r="AC30" s="2">
        <f t="shared" si="5"/>
        <v>-2.1620609856730064E-18</v>
      </c>
      <c r="AD30" s="2">
        <f t="shared" si="6"/>
        <v>1.4901161193847656E-8</v>
      </c>
      <c r="AF30" s="2">
        <v>26</v>
      </c>
      <c r="AG30" s="2">
        <f t="shared" si="13"/>
        <v>1588.0403518676758</v>
      </c>
      <c r="AH30" s="2">
        <v>-5.5329726592390216E-5</v>
      </c>
      <c r="AI30" s="2">
        <f t="shared" si="14"/>
        <v>1588.0406349897385</v>
      </c>
      <c r="AJ30" s="2">
        <v>1.3794991014037805E-4</v>
      </c>
      <c r="AK30" s="2">
        <f t="shared" si="9"/>
        <v>1588.0404934287071</v>
      </c>
      <c r="AL30" s="2">
        <v>4.131009018237819E-5</v>
      </c>
      <c r="AM30" s="2">
        <f t="shared" si="10"/>
        <v>-2.2856759952979686E-9</v>
      </c>
      <c r="AN30" s="2">
        <f t="shared" si="11"/>
        <v>5.6987232285499847E-9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143.2982537631211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6.5308846533298492E-2</v>
      </c>
      <c r="W31" s="2">
        <f t="shared" si="0"/>
        <v>7.1603908496919999E-9</v>
      </c>
      <c r="X31" s="2">
        <f t="shared" si="8"/>
        <v>6.5308853983879089E-2</v>
      </c>
      <c r="Y31" s="2">
        <f t="shared" si="1"/>
        <v>-3.0194734212951602E-10</v>
      </c>
      <c r="Z31" s="2">
        <f t="shared" si="3"/>
        <v>6.5308850258588791E-2</v>
      </c>
      <c r="AA31" s="2">
        <f t="shared" si="2"/>
        <v>3.4292217537812419E-9</v>
      </c>
      <c r="AB31" s="2">
        <f t="shared" si="4"/>
        <v>2.4554568067339956E-17</v>
      </c>
      <c r="AC31" s="2">
        <f t="shared" si="5"/>
        <v>-1.0354443941269636E-18</v>
      </c>
      <c r="AD31" s="2">
        <f t="shared" si="6"/>
        <v>7.4505805969238281E-9</v>
      </c>
      <c r="AF31" s="2">
        <v>27</v>
      </c>
      <c r="AG31" s="2">
        <f t="shared" si="13"/>
        <v>1588.0403518676758</v>
      </c>
      <c r="AH31" s="2">
        <v>-5.5329726592390216E-5</v>
      </c>
      <c r="AI31" s="2">
        <f t="shared" si="14"/>
        <v>1588.0404934287071</v>
      </c>
      <c r="AJ31" s="2">
        <v>4.131009018237819E-5</v>
      </c>
      <c r="AK31" s="2">
        <f t="shared" si="9"/>
        <v>1588.0404226481915</v>
      </c>
      <c r="AL31" s="2">
        <v>-7.009818659753364E-6</v>
      </c>
      <c r="AM31" s="2">
        <f t="shared" si="10"/>
        <v>3.8785134990638888E-10</v>
      </c>
      <c r="AN31" s="2">
        <f t="shared" si="11"/>
        <v>-2.8957624099652888E-10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368.76</v>
      </c>
      <c r="L32" s="6" t="s">
        <v>7</v>
      </c>
      <c r="U32" s="2">
        <v>28</v>
      </c>
      <c r="V32" s="2">
        <f t="shared" si="7"/>
        <v>6.5308850258588791E-2</v>
      </c>
      <c r="W32" s="2">
        <f t="shared" si="0"/>
        <v>3.4292217537812419E-9</v>
      </c>
      <c r="X32" s="2">
        <f t="shared" si="8"/>
        <v>6.5308853983879089E-2</v>
      </c>
      <c r="Y32" s="2">
        <f t="shared" si="1"/>
        <v>-3.0194734212951602E-10</v>
      </c>
      <c r="Z32" s="2">
        <f t="shared" si="3"/>
        <v>6.530885212123394E-2</v>
      </c>
      <c r="AA32" s="2">
        <f t="shared" si="2"/>
        <v>1.563637205825863E-9</v>
      </c>
      <c r="AB32" s="2">
        <f t="shared" si="4"/>
        <v>5.3620587212397668E-18</v>
      </c>
      <c r="AC32" s="2">
        <f t="shared" si="5"/>
        <v>-4.721360983539423E-19</v>
      </c>
      <c r="AD32" s="2">
        <f t="shared" si="6"/>
        <v>3.7252902984619141E-9</v>
      </c>
      <c r="AF32" s="2">
        <v>28</v>
      </c>
      <c r="AG32" s="2">
        <f t="shared" si="13"/>
        <v>1588.0404226481915</v>
      </c>
      <c r="AH32" s="2">
        <v>-7.009818659753364E-6</v>
      </c>
      <c r="AI32" s="2">
        <f t="shared" si="14"/>
        <v>1588.0404934287071</v>
      </c>
      <c r="AJ32" s="2">
        <v>4.131009018237819E-5</v>
      </c>
      <c r="AK32" s="2">
        <f t="shared" si="9"/>
        <v>1588.0404580384493</v>
      </c>
      <c r="AL32" s="2">
        <v>1.7150135590782156E-5</v>
      </c>
      <c r="AM32" s="2">
        <f t="shared" si="10"/>
        <v>-1.2021934048156504E-10</v>
      </c>
      <c r="AN32" s="2">
        <f t="shared" si="11"/>
        <v>7.0847364789522472E-10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388.86</v>
      </c>
      <c r="L33" s="6" t="s">
        <v>7</v>
      </c>
      <c r="U33" s="2">
        <v>29</v>
      </c>
      <c r="V33" s="2">
        <f t="shared" si="7"/>
        <v>6.530885212123394E-2</v>
      </c>
      <c r="W33" s="2">
        <f t="shared" si="0"/>
        <v>1.563637205825863E-9</v>
      </c>
      <c r="X33" s="2">
        <f t="shared" si="8"/>
        <v>6.5308853983879089E-2</v>
      </c>
      <c r="Y33" s="2">
        <f t="shared" si="1"/>
        <v>-3.0194734212951602E-10</v>
      </c>
      <c r="Z33" s="2">
        <f t="shared" si="3"/>
        <v>6.5308853052556515E-2</v>
      </c>
      <c r="AA33" s="2">
        <f t="shared" si="2"/>
        <v>6.3084493184817347E-10</v>
      </c>
      <c r="AB33" s="2">
        <f t="shared" si="4"/>
        <v>9.8641260654448492E-19</v>
      </c>
      <c r="AC33" s="2">
        <f t="shared" si="5"/>
        <v>-1.9048195046743165E-19</v>
      </c>
      <c r="AD33" s="2">
        <f t="shared" si="6"/>
        <v>1.862645149230957E-9</v>
      </c>
      <c r="AF33" s="2">
        <v>29</v>
      </c>
      <c r="AG33" s="2">
        <f t="shared" si="13"/>
        <v>1588.0404226481915</v>
      </c>
      <c r="AH33" s="2">
        <v>-7.009818659753364E-6</v>
      </c>
      <c r="AI33" s="2">
        <f t="shared" si="14"/>
        <v>1588.0404580384493</v>
      </c>
      <c r="AJ33" s="2">
        <v>1.7150135590782156E-5</v>
      </c>
      <c r="AK33" s="2">
        <f t="shared" si="9"/>
        <v>1588.0404403433204</v>
      </c>
      <c r="AL33" s="2">
        <v>2.6683896976464894E-6</v>
      </c>
      <c r="AM33" s="2">
        <f t="shared" si="10"/>
        <v>-1.8704927894055998E-11</v>
      </c>
      <c r="AN33" s="2">
        <f t="shared" si="11"/>
        <v>4.5763245123683494E-11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155.27000000000001</v>
      </c>
      <c r="L34" s="6" t="s">
        <v>7</v>
      </c>
      <c r="U34" s="2">
        <v>30</v>
      </c>
      <c r="V34" s="2">
        <f t="shared" si="7"/>
        <v>6.5308853052556515E-2</v>
      </c>
      <c r="W34" s="2">
        <f t="shared" si="0"/>
        <v>6.3084493184817347E-10</v>
      </c>
      <c r="X34" s="2">
        <f t="shared" si="8"/>
        <v>6.5308853983879089E-2</v>
      </c>
      <c r="Y34" s="2">
        <f t="shared" si="1"/>
        <v>-3.0194734212951602E-10</v>
      </c>
      <c r="Z34" s="2">
        <f t="shared" si="3"/>
        <v>6.5308853518217802E-2</v>
      </c>
      <c r="AA34" s="2">
        <f t="shared" si="2"/>
        <v>1.6444880179822263E-10</v>
      </c>
      <c r="AB34" s="2">
        <f t="shared" si="4"/>
        <v>1.0374169316291354E-19</v>
      </c>
      <c r="AC34" s="2">
        <f t="shared" si="5"/>
        <v>-4.9654878619356898E-20</v>
      </c>
      <c r="AD34" s="2">
        <f>X34-V34</f>
        <v>9.3132257461547852E-10</v>
      </c>
      <c r="AF34" s="2">
        <v>30</v>
      </c>
      <c r="AG34" s="2">
        <f t="shared" si="13"/>
        <v>1588.0404226481915</v>
      </c>
      <c r="AH34" s="2">
        <v>-7.009818659753364E-6</v>
      </c>
      <c r="AI34" s="2">
        <f t="shared" si="14"/>
        <v>1588.0404403433204</v>
      </c>
      <c r="AJ34" s="2">
        <v>2.6683896976464894E-6</v>
      </c>
      <c r="AK34" s="2">
        <f t="shared" si="9"/>
        <v>1588.0404314957559</v>
      </c>
      <c r="AL34" s="2">
        <v>-2.1707145378968562E-6</v>
      </c>
      <c r="AM34" s="2">
        <f t="shared" si="10"/>
        <v>1.5216315272747283E-11</v>
      </c>
      <c r="AN34" s="2">
        <f t="shared" si="11"/>
        <v>-5.792312309455431E-12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220.68505046778586</v>
      </c>
      <c r="H35" s="25" t="s">
        <v>101</v>
      </c>
      <c r="J35" s="15" t="s">
        <v>70</v>
      </c>
      <c r="K35" s="6">
        <f>ROUND(SUM(K23:K26),2)</f>
        <v>75.150000000000006</v>
      </c>
      <c r="L35" s="6" t="s">
        <v>7</v>
      </c>
      <c r="AF35" s="2">
        <v>31</v>
      </c>
      <c r="AG35" s="2">
        <f t="shared" si="13"/>
        <v>1588.0404314957559</v>
      </c>
      <c r="AH35" s="2">
        <v>-2.1707145378968562E-6</v>
      </c>
      <c r="AI35" s="2">
        <f t="shared" si="14"/>
        <v>1588.0404403433204</v>
      </c>
      <c r="AJ35" s="2">
        <v>2.6683896976464894E-6</v>
      </c>
      <c r="AK35" s="2">
        <f t="shared" si="9"/>
        <v>1588.0404359195381</v>
      </c>
      <c r="AL35" s="2">
        <v>2.4883797777874861E-7</v>
      </c>
      <c r="AM35" s="2">
        <f t="shared" si="10"/>
        <v>-5.4015621594518446E-13</v>
      </c>
      <c r="AN35" s="2">
        <f t="shared" si="11"/>
        <v>6.6399669628799884E-13</v>
      </c>
      <c r="AO35" s="2">
        <f t="shared" si="12"/>
        <v>8.8475644588470459E-6</v>
      </c>
    </row>
    <row r="36" spans="2:41" x14ac:dyDescent="0.2">
      <c r="B36" s="6" t="s">
        <v>3</v>
      </c>
      <c r="C36" s="17">
        <v>700</v>
      </c>
      <c r="D36" s="6" t="s">
        <v>4</v>
      </c>
      <c r="J36" s="10" t="s">
        <v>59</v>
      </c>
      <c r="K36" s="10">
        <f>SUM(K31:K35)</f>
        <v>1588.04</v>
      </c>
      <c r="L36" s="6" t="s">
        <v>7</v>
      </c>
      <c r="AF36" s="2">
        <v>32</v>
      </c>
      <c r="AG36" s="2">
        <f t="shared" si="13"/>
        <v>1588.0404314957559</v>
      </c>
      <c r="AH36" s="2">
        <v>-2.1707145378968562E-6</v>
      </c>
      <c r="AI36" s="2">
        <f t="shared" si="14"/>
        <v>1588.0404359195381</v>
      </c>
      <c r="AJ36" s="2">
        <v>2.4883797777874861E-7</v>
      </c>
      <c r="AK36" s="2">
        <f t="shared" si="9"/>
        <v>1588.040433707647</v>
      </c>
      <c r="AL36" s="2">
        <v>-9.6093867796298582E-7</v>
      </c>
      <c r="AM36" s="2">
        <f t="shared" si="10"/>
        <v>2.0859235582816387E-12</v>
      </c>
      <c r="AN36" s="2">
        <f t="shared" si="11"/>
        <v>-2.3911803739369353E-13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1588.040433707647</v>
      </c>
      <c r="AH37" s="2">
        <v>-9.6093867796298582E-7</v>
      </c>
      <c r="AI37" s="2">
        <f t="shared" si="14"/>
        <v>1588.0404359195381</v>
      </c>
      <c r="AJ37" s="2">
        <v>2.4883797777874861E-7</v>
      </c>
      <c r="AK37" s="2">
        <f t="shared" si="9"/>
        <v>1588.0404348135926</v>
      </c>
      <c r="AL37" s="2">
        <v>-3.5605057746579405E-7</v>
      </c>
      <c r="AM37" s="2">
        <f t="shared" si="10"/>
        <v>3.421427711979378E-13</v>
      </c>
      <c r="AN37" s="2">
        <f t="shared" si="11"/>
        <v>-8.859890568354387E-14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1588.0404348135926</v>
      </c>
      <c r="AH38" s="2">
        <v>-3.5605057746579405E-7</v>
      </c>
      <c r="AI38" s="2">
        <f t="shared" si="14"/>
        <v>1588.0404359195381</v>
      </c>
      <c r="AJ38" s="2">
        <v>2.4883797777874861E-7</v>
      </c>
      <c r="AK38" s="2">
        <f t="shared" si="9"/>
        <v>1588.0404353665654</v>
      </c>
      <c r="AL38" s="2">
        <v>-5.3606186156684998E-8</v>
      </c>
      <c r="AM38" s="2">
        <f t="shared" si="10"/>
        <v>1.9086513536826549E-14</v>
      </c>
      <c r="AN38" s="2">
        <f t="shared" si="11"/>
        <v>-1.3339254959660643E-14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37.78</v>
      </c>
      <c r="L39" s="6" t="s">
        <v>58</v>
      </c>
      <c r="AF39" s="2">
        <v>35</v>
      </c>
      <c r="AG39" s="2">
        <f t="shared" si="13"/>
        <v>1588.0404353665654</v>
      </c>
      <c r="AH39" s="2">
        <v>-5.3606186156684998E-8</v>
      </c>
      <c r="AI39" s="2">
        <f t="shared" si="14"/>
        <v>1588.0404359195381</v>
      </c>
      <c r="AJ39" s="2">
        <v>2.4883797777874861E-7</v>
      </c>
      <c r="AK39" s="2">
        <f t="shared" si="9"/>
        <v>1588.0404356430518</v>
      </c>
      <c r="AL39" s="2">
        <v>9.7615838967612945E-8</v>
      </c>
      <c r="AM39" s="2">
        <f t="shared" si="10"/>
        <v>-5.2328128355388451E-15</v>
      </c>
      <c r="AN39" s="2">
        <f t="shared" si="11"/>
        <v>2.4290527967876772E-14</v>
      </c>
      <c r="AO39" s="2">
        <f t="shared" si="12"/>
        <v>5.5297277867794037E-7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23.22</v>
      </c>
      <c r="L40" s="6" t="s">
        <v>58</v>
      </c>
      <c r="AF40" s="2">
        <v>36</v>
      </c>
      <c r="AG40" s="2">
        <f t="shared" si="13"/>
        <v>1588.0404353665654</v>
      </c>
      <c r="AH40" s="2">
        <v>-5.3606186156684998E-8</v>
      </c>
      <c r="AI40" s="2">
        <f t="shared" si="14"/>
        <v>1588.0404356430518</v>
      </c>
      <c r="AJ40" s="2">
        <v>9.7615838967612945E-8</v>
      </c>
      <c r="AK40" s="2">
        <f t="shared" si="9"/>
        <v>1588.0404355048086</v>
      </c>
      <c r="AL40" s="2">
        <v>2.2004428501531947E-8</v>
      </c>
      <c r="AM40" s="2">
        <f t="shared" si="10"/>
        <v>-1.1795734905245867E-15</v>
      </c>
      <c r="AN40" s="2">
        <f t="shared" si="11"/>
        <v>2.1479807491798952E-15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24.49</v>
      </c>
      <c r="L41" s="6" t="s">
        <v>58</v>
      </c>
      <c r="AF41" s="2">
        <v>37</v>
      </c>
      <c r="AG41" s="2">
        <f t="shared" si="13"/>
        <v>1588.0404353665654</v>
      </c>
      <c r="AH41" s="2">
        <v>-5.3606186156684998E-8</v>
      </c>
      <c r="AI41" s="2">
        <f t="shared" si="14"/>
        <v>1588.0404355048086</v>
      </c>
      <c r="AJ41" s="2">
        <v>2.2004428501531947E-8</v>
      </c>
      <c r="AK41" s="2">
        <f t="shared" si="9"/>
        <v>1588.040435435687</v>
      </c>
      <c r="AL41" s="2">
        <v>-1.5800878827576526E-8</v>
      </c>
      <c r="AM41" s="2">
        <f t="shared" si="10"/>
        <v>8.4702485187028983E-16</v>
      </c>
      <c r="AN41" s="2">
        <f t="shared" si="11"/>
        <v>-3.476893084227776E-16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9.7799999999999994</v>
      </c>
      <c r="L42" s="6" t="s">
        <v>58</v>
      </c>
      <c r="AF42" s="2">
        <v>38</v>
      </c>
      <c r="AG42" s="2">
        <f t="shared" si="13"/>
        <v>1588.040435435687</v>
      </c>
      <c r="AH42" s="2">
        <v>-1.5800878827576526E-8</v>
      </c>
      <c r="AI42" s="2">
        <f t="shared" si="14"/>
        <v>1588.0404355048086</v>
      </c>
      <c r="AJ42" s="2">
        <v>2.2004428501531947E-8</v>
      </c>
      <c r="AK42" s="2">
        <f t="shared" si="9"/>
        <v>1588.0404354702478</v>
      </c>
      <c r="AL42" s="2">
        <v>3.1018316803965718E-9</v>
      </c>
      <c r="AM42" s="2">
        <f t="shared" si="10"/>
        <v>-4.9011666525484307E-17</v>
      </c>
      <c r="AN42" s="2">
        <f t="shared" si="11"/>
        <v>6.8254033435073058E-17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4.7300000000000004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1588.040435435687</v>
      </c>
      <c r="AH43" s="2">
        <v>-1.5800878827576526E-8</v>
      </c>
      <c r="AI43" s="2">
        <f t="shared" si="14"/>
        <v>1588.0404354702478</v>
      </c>
      <c r="AJ43" s="2">
        <v>3.1018316803965718E-9</v>
      </c>
      <c r="AK43" s="2">
        <f t="shared" si="9"/>
        <v>1588.0404354529674</v>
      </c>
      <c r="AL43" s="2">
        <v>-6.3495235735899769E-9</v>
      </c>
      <c r="AM43" s="2">
        <f t="shared" si="10"/>
        <v>1.003280525991359E-16</v>
      </c>
      <c r="AN43" s="2">
        <f t="shared" si="11"/>
        <v>-1.9695153375986243E-17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1588.0404354529674</v>
      </c>
      <c r="AH44" s="2">
        <v>-6.3495235735899769E-9</v>
      </c>
      <c r="AI44" s="2">
        <f t="shared" si="14"/>
        <v>1588.0404354702478</v>
      </c>
      <c r="AJ44" s="2">
        <v>3.1018316803965718E-9</v>
      </c>
      <c r="AK44" s="5">
        <f>(AG44+AI44)/2</f>
        <v>1588.0404354616076</v>
      </c>
      <c r="AL44" s="2">
        <v>-1.6237891031778418E-9</v>
      </c>
      <c r="AM44" s="2">
        <f t="shared" si="10"/>
        <v>1.0310287189166233E-17</v>
      </c>
      <c r="AN44" s="2">
        <f t="shared" si="11"/>
        <v>-5.0367204825197671E-18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1369.2023537856608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37.78</v>
      </c>
      <c r="L47" s="6" t="s">
        <v>58</v>
      </c>
      <c r="N47" s="6" t="s">
        <v>154</v>
      </c>
      <c r="O47" s="6">
        <f>0.377*O46^0.6945</f>
        <v>56.835295736614448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23.22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39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29" priority="1" operator="containsText" text="FALSE">
      <formula>NOT(ISERROR(SEARCH("FALSE",K28)))</formula>
    </cfRule>
    <cfRule type="containsText" dxfId="28" priority="2" operator="containsText" text="TRUE">
      <formula>NOT(ISERROR(SEARCH("TRUE",K28)))</formula>
    </cfRule>
    <cfRule type="cellIs" dxfId="27" priority="3" operator="equal">
      <formula>1</formula>
    </cfRule>
    <cfRule type="cellIs" dxfId="26" priority="4" operator="equal">
      <formula>TRUE</formula>
    </cfRule>
    <cfRule type="containsText" dxfId="25" priority="5" operator="containsText" text="YES">
      <formula>NOT(ISERROR(SEARCH("YES",K28)))</formula>
    </cfRule>
    <cfRule type="cellIs" dxfId="24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688.66339872011804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4.4775350953232464E-2</v>
      </c>
      <c r="X4" s="3">
        <v>1</v>
      </c>
      <c r="Y4" s="2">
        <f t="shared" ref="Y4:Y34" si="1" xml:space="preserve"> $O$20 * TAN($O$17/180*PI()) + $O$21 / (2 * SQRT($O$20^2 + X4^2)) - X4</f>
        <v>-0.96133386749224226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-0.45875066765359923</v>
      </c>
      <c r="AB4" s="2">
        <f>W4*AA4</f>
        <v>-2.0540722144219613E-2</v>
      </c>
      <c r="AC4" s="2">
        <f>Y4*AA4</f>
        <v>0.44101255355008284</v>
      </c>
      <c r="AD4" s="2">
        <f>X4-V4</f>
        <v>1</v>
      </c>
      <c r="AF4" s="2">
        <v>0</v>
      </c>
      <c r="AG4" s="2"/>
      <c r="AH4" s="2">
        <f>K27</f>
        <v>-5.0813959205697756E-5</v>
      </c>
      <c r="AI4" s="2"/>
      <c r="AJ4" s="2">
        <f>K27</f>
        <v>-5.0813959205697756E-5</v>
      </c>
      <c r="AK4" s="2"/>
      <c r="AL4" s="2">
        <f>K27</f>
        <v>-5.0813959205697756E-5</v>
      </c>
      <c r="AM4" s="2"/>
      <c r="AN4" s="2"/>
      <c r="AO4" s="2"/>
    </row>
    <row r="5" spans="2:41" x14ac:dyDescent="0.2">
      <c r="B5" s="10" t="s">
        <v>37</v>
      </c>
      <c r="C5" s="10">
        <v>3071.9360414099101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172.16584968002951</v>
      </c>
      <c r="L5" s="6" t="s">
        <v>101</v>
      </c>
      <c r="N5" s="6" t="s">
        <v>114</v>
      </c>
      <c r="O5" s="6">
        <f xml:space="preserve"> $C$18 * 0.85 * ($C$5/$C$18 *2.20462/1000)^(2/3) * 0.3048^2</f>
        <v>0.44871038706641542</v>
      </c>
      <c r="P5" s="6" t="s">
        <v>115</v>
      </c>
      <c r="U5" s="2">
        <v>1</v>
      </c>
      <c r="V5" s="2">
        <f>IF(AB4&gt;0, Z4, V4)</f>
        <v>0</v>
      </c>
      <c r="W5" s="2">
        <f t="shared" si="0"/>
        <v>4.4775350953232464E-2</v>
      </c>
      <c r="X5" s="2">
        <f>IF(AC4&gt;0, Z4, X4)</f>
        <v>0.5</v>
      </c>
      <c r="Y5" s="2">
        <f t="shared" si="1"/>
        <v>-0.45875066765359923</v>
      </c>
      <c r="Z5" s="2">
        <f t="shared" ref="Z5:Z34" si="3" xml:space="preserve"> (V5 + X5)/2</f>
        <v>0.25</v>
      </c>
      <c r="AA5" s="2">
        <f t="shared" si="2"/>
        <v>-0.20660250672845787</v>
      </c>
      <c r="AB5" s="2">
        <f t="shared" ref="AB5:AB34" si="4">W5*AA5</f>
        <v>-9.250699746584273E-3</v>
      </c>
      <c r="AC5" s="2">
        <f t="shared" ref="AC5:AC34" si="5">Y5*AA5</f>
        <v>9.4779037900587268E-2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-1244.0572176320593</v>
      </c>
      <c r="AI5" s="3">
        <v>10000</v>
      </c>
      <c r="AJ5" s="2">
        <f t="dataTable" ref="AJ5:AJ44" dt2D="0" dtr="0" r1="C5" ca="1"/>
        <v>763.41613448973112</v>
      </c>
      <c r="AK5" s="2">
        <f>(AG5+AI5)/2</f>
        <v>5250</v>
      </c>
      <c r="AL5" s="2">
        <f t="dataTable" ref="AL5:AL44" dt2D="0" dtr="0" r1="C5" ca="1"/>
        <v>635.35622824885832</v>
      </c>
      <c r="AM5" s="2">
        <f>AH5*AL5</f>
        <v>-790419.50152047421</v>
      </c>
      <c r="AN5" s="2">
        <f>AJ5*AL5</f>
        <v>485041.19579371874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4.4775350953232464E-2</v>
      </c>
      <c r="X6" s="2">
        <f t="shared" ref="X6:X34" si="8">IF(AC5&gt;0, Z5, X5)</f>
        <v>0.25</v>
      </c>
      <c r="Y6" s="2">
        <f t="shared" si="1"/>
        <v>-0.20660250672845787</v>
      </c>
      <c r="Z6" s="2">
        <f t="shared" si="3"/>
        <v>0.125</v>
      </c>
      <c r="AA6" s="2">
        <f t="shared" si="2"/>
        <v>-8.0629603592939469E-2</v>
      </c>
      <c r="AB6" s="2">
        <f t="shared" si="4"/>
        <v>-3.610218798093878E-3</v>
      </c>
      <c r="AC6" s="2">
        <f t="shared" si="5"/>
        <v>1.6658278218823167E-2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-1244.0572176320593</v>
      </c>
      <c r="AI6" s="2">
        <f>IF(AN5&gt;0, AK5, AI5)</f>
        <v>5250</v>
      </c>
      <c r="AJ6" s="2">
        <v>635.35622824885832</v>
      </c>
      <c r="AK6" s="2">
        <f t="shared" ref="AK6:AK43" si="9">(AG6+AI6)/2</f>
        <v>2875</v>
      </c>
      <c r="AL6" s="2">
        <v>-76.828533486115703</v>
      </c>
      <c r="AM6" s="2">
        <f t="shared" ref="AM6:AM44" si="10">AH6*AL6</f>
        <v>95579.091603488603</v>
      </c>
      <c r="AN6" s="2">
        <f t="shared" ref="AN6:AN44" si="11">AJ6*AL6</f>
        <v>-48813.487257629582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443.95751755308402</v>
      </c>
      <c r="D7" s="6" t="s">
        <v>125</v>
      </c>
      <c r="F7" t="s">
        <v>121</v>
      </c>
      <c r="G7" s="8">
        <f>$C$6*2*PI()/60*$C$9</f>
        <v>140.96856795129204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1.0789870104015113</v>
      </c>
      <c r="P7" s="6" t="s">
        <v>115</v>
      </c>
      <c r="U7" s="2">
        <v>3</v>
      </c>
      <c r="V7" s="2">
        <f t="shared" si="7"/>
        <v>0</v>
      </c>
      <c r="W7" s="2">
        <f t="shared" si="0"/>
        <v>4.4775350953232464E-2</v>
      </c>
      <c r="X7" s="2">
        <f t="shared" si="8"/>
        <v>0.125</v>
      </c>
      <c r="Y7" s="2">
        <f t="shared" si="1"/>
        <v>-8.0629603592939469E-2</v>
      </c>
      <c r="Z7" s="2">
        <f t="shared" si="3"/>
        <v>6.25E-2</v>
      </c>
      <c r="AA7" s="2">
        <f t="shared" si="2"/>
        <v>-1.7830645963428086E-2</v>
      </c>
      <c r="AB7" s="2">
        <f t="shared" si="4"/>
        <v>-7.9837343073533033E-4</v>
      </c>
      <c r="AC7" s="2">
        <f t="shared" si="5"/>
        <v>1.4376779158372529E-3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-76.828533486115703</v>
      </c>
      <c r="AI7" s="2">
        <f t="shared" ref="AI7:AI44" si="14">IF(AN6&gt;0, AK6, AI6)</f>
        <v>5250</v>
      </c>
      <c r="AJ7" s="2">
        <v>635.35622824885832</v>
      </c>
      <c r="AK7" s="2">
        <f t="shared" si="9"/>
        <v>4062.5</v>
      </c>
      <c r="AL7" s="2">
        <v>336.83386913272443</v>
      </c>
      <c r="AM7" s="2">
        <f t="shared" si="10"/>
        <v>-25878.452193921432</v>
      </c>
      <c r="AN7" s="2">
        <f t="shared" si="11"/>
        <v>214009.49663863733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0.42216656039580869</v>
      </c>
      <c r="H8" s="6" t="s">
        <v>122</v>
      </c>
      <c r="J8" s="6" t="s">
        <v>96</v>
      </c>
      <c r="K8" s="6">
        <f xml:space="preserve"> $C$15 * (G12*G6 + G22*G15 + G31*G27 +G35*G34)/3600</f>
        <v>249.19976030577902</v>
      </c>
      <c r="L8" s="6" t="s">
        <v>102</v>
      </c>
      <c r="N8" s="6" t="s">
        <v>38</v>
      </c>
      <c r="O8" s="6">
        <f xml:space="preserve"> O4 *O7</f>
        <v>2446.5639712118632</v>
      </c>
      <c r="P8" s="6" t="s">
        <v>20</v>
      </c>
      <c r="U8" s="2">
        <v>4</v>
      </c>
      <c r="V8" s="2">
        <f t="shared" si="7"/>
        <v>0</v>
      </c>
      <c r="W8" s="2">
        <f t="shared" si="0"/>
        <v>4.4775350953232464E-2</v>
      </c>
      <c r="X8" s="2">
        <f t="shared" si="8"/>
        <v>6.25E-2</v>
      </c>
      <c r="Y8" s="2">
        <f t="shared" si="1"/>
        <v>-1.7830645963428086E-2</v>
      </c>
      <c r="Z8" s="2">
        <f t="shared" si="3"/>
        <v>3.125E-2</v>
      </c>
      <c r="AA8" s="2">
        <f t="shared" si="2"/>
        <v>1.3498534614877974E-2</v>
      </c>
      <c r="AB8" s="2">
        <f t="shared" si="4"/>
        <v>6.0440162473551795E-4</v>
      </c>
      <c r="AC8" s="2">
        <f t="shared" si="5"/>
        <v>-2.4068759174296825E-4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-76.828533486115703</v>
      </c>
      <c r="AI8" s="2">
        <f t="shared" si="14"/>
        <v>4062.5</v>
      </c>
      <c r="AJ8" s="2">
        <v>336.83386913272443</v>
      </c>
      <c r="AK8" s="2">
        <f t="shared" si="9"/>
        <v>3468.75</v>
      </c>
      <c r="AL8" s="2">
        <v>144.94290538809037</v>
      </c>
      <c r="AM8" s="2">
        <f t="shared" si="10"/>
        <v>-11135.750860183802</v>
      </c>
      <c r="AN8" s="2">
        <f t="shared" si="11"/>
        <v>48821.67962520889</v>
      </c>
      <c r="AO8" s="2">
        <f t="shared" si="12"/>
        <v>1187.5</v>
      </c>
    </row>
    <row r="9" spans="2:41" x14ac:dyDescent="0.2">
      <c r="B9" s="6" t="s">
        <v>95</v>
      </c>
      <c r="C9" s="17">
        <v>3.36537666150508</v>
      </c>
      <c r="D9" s="6" t="s">
        <v>8</v>
      </c>
      <c r="F9" t="s">
        <v>19</v>
      </c>
      <c r="G9" s="6">
        <f xml:space="preserve"> $C$5 * $C$44 / $C$18</f>
        <v>7527.3885133745607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2446.5639712118632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1.3498534614877974E-2</v>
      </c>
      <c r="X9" s="2">
        <f t="shared" si="8"/>
        <v>6.25E-2</v>
      </c>
      <c r="Y9" s="2">
        <f t="shared" si="1"/>
        <v>-1.7830645963428086E-2</v>
      </c>
      <c r="Z9" s="2">
        <f t="shared" si="3"/>
        <v>4.6875E-2</v>
      </c>
      <c r="AA9" s="2">
        <f t="shared" si="2"/>
        <v>-2.1596862246933482E-3</v>
      </c>
      <c r="AB9" s="2">
        <f t="shared" si="4"/>
        <v>-2.915259926129829E-5</v>
      </c>
      <c r="AC9" s="2">
        <f t="shared" si="5"/>
        <v>3.8508600464599692E-5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-76.828533486115703</v>
      </c>
      <c r="AI9" s="2">
        <f t="shared" si="14"/>
        <v>3468.75</v>
      </c>
      <c r="AJ9" s="2">
        <v>144.94290538809037</v>
      </c>
      <c r="AK9" s="2">
        <f t="shared" si="9"/>
        <v>3171.875</v>
      </c>
      <c r="AL9" s="2">
        <v>37.766321362649251</v>
      </c>
      <c r="AM9" s="2">
        <f t="shared" si="10"/>
        <v>-2901.5310854577046</v>
      </c>
      <c r="AN9" s="2">
        <f t="shared" si="11"/>
        <v>5473.9603441226864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114.77723312001967</v>
      </c>
      <c r="H10" s="6" t="s">
        <v>101</v>
      </c>
      <c r="N10" s="6" t="s">
        <v>113</v>
      </c>
      <c r="O10" s="6">
        <f>O7/(0.3048^2)/($C$5*2.20462/1000)^(2/3)</f>
        <v>3.2445590519619185</v>
      </c>
      <c r="U10" s="2">
        <v>6</v>
      </c>
      <c r="V10" s="2">
        <f t="shared" si="7"/>
        <v>3.125E-2</v>
      </c>
      <c r="W10" s="2">
        <f t="shared" si="0"/>
        <v>1.3498534614877974E-2</v>
      </c>
      <c r="X10" s="2">
        <f t="shared" si="8"/>
        <v>4.6875E-2</v>
      </c>
      <c r="Y10" s="2">
        <f t="shared" si="1"/>
        <v>-2.1596862246933482E-3</v>
      </c>
      <c r="Z10" s="2">
        <f t="shared" si="3"/>
        <v>3.90625E-2</v>
      </c>
      <c r="AA10" s="2">
        <f t="shared" si="2"/>
        <v>5.67104432911298E-3</v>
      </c>
      <c r="AB10" s="2">
        <f t="shared" si="4"/>
        <v>7.6550788179039007E-5</v>
      </c>
      <c r="AC10" s="2">
        <f t="shared" si="5"/>
        <v>-1.2247676317210634E-5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-76.828533486115703</v>
      </c>
      <c r="AI10" s="2">
        <f t="shared" si="14"/>
        <v>3171.875</v>
      </c>
      <c r="AJ10" s="2">
        <v>37.766321362649251</v>
      </c>
      <c r="AK10" s="2">
        <f t="shared" si="9"/>
        <v>3023.4375</v>
      </c>
      <c r="AL10" s="2">
        <v>-18.627379349960847</v>
      </c>
      <c r="AM10" s="2">
        <f t="shared" si="10"/>
        <v>1431.1142381470472</v>
      </c>
      <c r="AN10" s="2">
        <f t="shared" si="11"/>
        <v>-703.48759467459786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6.6910831484273183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3.90625E-2</v>
      </c>
      <c r="W11" s="2">
        <f t="shared" si="0"/>
        <v>5.67104432911298E-3</v>
      </c>
      <c r="X11" s="2">
        <f t="shared" si="8"/>
        <v>4.6875E-2</v>
      </c>
      <c r="Y11" s="2">
        <f t="shared" si="1"/>
        <v>-2.1596862246933482E-3</v>
      </c>
      <c r="Z11" s="2">
        <f t="shared" si="3"/>
        <v>4.296875E-2</v>
      </c>
      <c r="AA11" s="2">
        <f t="shared" si="2"/>
        <v>1.7560809582086168E-3</v>
      </c>
      <c r="AB11" s="2">
        <f t="shared" si="4"/>
        <v>9.9588129595122647E-6</v>
      </c>
      <c r="AC11" s="2">
        <f t="shared" si="5"/>
        <v>-3.7925838548894447E-6</v>
      </c>
      <c r="AD11" s="2">
        <f t="shared" si="6"/>
        <v>7.8125E-3</v>
      </c>
      <c r="AF11" s="2">
        <v>7</v>
      </c>
      <c r="AG11" s="2">
        <f t="shared" si="13"/>
        <v>3023.4375</v>
      </c>
      <c r="AH11" s="2">
        <v>-18.627379349960847</v>
      </c>
      <c r="AI11" s="2">
        <f t="shared" si="14"/>
        <v>3171.875</v>
      </c>
      <c r="AJ11" s="2">
        <v>37.766321362649251</v>
      </c>
      <c r="AK11" s="2">
        <f t="shared" si="9"/>
        <v>3097.65625</v>
      </c>
      <c r="AL11" s="2">
        <v>9.7994247101469227</v>
      </c>
      <c r="AM11" s="2">
        <f t="shared" si="10"/>
        <v>-182.53760148728685</v>
      </c>
      <c r="AN11" s="2">
        <f t="shared" si="11"/>
        <v>370.08822277249465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459.10893248007869</v>
      </c>
      <c r="H12" s="25" t="s">
        <v>101</v>
      </c>
      <c r="J12" s="10" t="s">
        <v>79</v>
      </c>
      <c r="K12" s="6">
        <f>C5</f>
        <v>3071.9360414099101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4.296875E-2</v>
      </c>
      <c r="W12" s="2">
        <f t="shared" si="0"/>
        <v>1.7560809582086168E-3</v>
      </c>
      <c r="X12" s="2">
        <f t="shared" si="8"/>
        <v>4.6875E-2</v>
      </c>
      <c r="Y12" s="2">
        <f t="shared" si="1"/>
        <v>-2.1596862246933482E-3</v>
      </c>
      <c r="Z12" s="2">
        <f t="shared" si="3"/>
        <v>4.4921875E-2</v>
      </c>
      <c r="AA12" s="2">
        <f t="shared" si="2"/>
        <v>-2.0170257845563561E-4</v>
      </c>
      <c r="AB12" s="2">
        <f t="shared" si="4"/>
        <v>-3.5420605724752128E-7</v>
      </c>
      <c r="AC12" s="2">
        <f t="shared" si="5"/>
        <v>4.3561428017576551E-7</v>
      </c>
      <c r="AD12" s="2">
        <f t="shared" si="6"/>
        <v>3.90625E-3</v>
      </c>
      <c r="AF12" s="2">
        <v>8</v>
      </c>
      <c r="AG12" s="2">
        <f t="shared" si="13"/>
        <v>3023.4375</v>
      </c>
      <c r="AH12" s="2">
        <v>-18.627379349960847</v>
      </c>
      <c r="AI12" s="2">
        <f t="shared" si="14"/>
        <v>3097.65625</v>
      </c>
      <c r="AJ12" s="2">
        <v>9.7994247101469227</v>
      </c>
      <c r="AK12" s="2">
        <f t="shared" si="9"/>
        <v>3060.546875</v>
      </c>
      <c r="AL12" s="2">
        <v>-4.3569313301445618</v>
      </c>
      <c r="AM12" s="2">
        <f t="shared" si="10"/>
        <v>81.158212688332256</v>
      </c>
      <c r="AN12" s="2">
        <f t="shared" si="11"/>
        <v>-42.695420537031922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1465.8809429751707</v>
      </c>
      <c r="L13" s="6" t="s">
        <v>7</v>
      </c>
      <c r="N13" s="6" t="s">
        <v>74</v>
      </c>
      <c r="O13" s="6">
        <f xml:space="preserve"> SQRT( ($C$5*$C$50)^2 + O9^2)</f>
        <v>30205.918233403605</v>
      </c>
      <c r="P13" s="6" t="s">
        <v>20</v>
      </c>
      <c r="U13" s="2">
        <v>9</v>
      </c>
      <c r="V13" s="2">
        <f t="shared" si="7"/>
        <v>4.296875E-2</v>
      </c>
      <c r="W13" s="2">
        <f t="shared" si="0"/>
        <v>1.7560809582086168E-3</v>
      </c>
      <c r="X13" s="2">
        <f t="shared" si="8"/>
        <v>4.4921875E-2</v>
      </c>
      <c r="Y13" s="2">
        <f t="shared" si="1"/>
        <v>-2.0170257845563561E-4</v>
      </c>
      <c r="Z13" s="2">
        <f t="shared" si="3"/>
        <v>4.39453125E-2</v>
      </c>
      <c r="AA13" s="2">
        <f t="shared" si="2"/>
        <v>7.7721425764051139E-4</v>
      </c>
      <c r="AB13" s="2">
        <f t="shared" si="4"/>
        <v>1.364851158290748E-6</v>
      </c>
      <c r="AC13" s="2">
        <f t="shared" si="5"/>
        <v>-1.5676611977857384E-7</v>
      </c>
      <c r="AD13" s="2">
        <f t="shared" si="6"/>
        <v>1.953125E-3</v>
      </c>
      <c r="AF13" s="2">
        <v>9</v>
      </c>
      <c r="AG13" s="2">
        <f t="shared" si="13"/>
        <v>3060.546875</v>
      </c>
      <c r="AH13" s="2">
        <v>-4.3569313301445618</v>
      </c>
      <c r="AI13" s="2">
        <f t="shared" si="14"/>
        <v>3097.65625</v>
      </c>
      <c r="AJ13" s="2">
        <v>9.7994247101469227</v>
      </c>
      <c r="AK13" s="2">
        <f t="shared" si="9"/>
        <v>3079.1015625</v>
      </c>
      <c r="AL13" s="2">
        <v>2.7355662260465579</v>
      </c>
      <c r="AM13" s="2">
        <f t="shared" si="10"/>
        <v>-11.918674195947569</v>
      </c>
      <c r="AN13" s="2">
        <f t="shared" si="11"/>
        <v>26.806975271764003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 xml:space="preserve"> $C$54 * $C$18 * (0.0095 * MAX(G9,O18,G28) - 1.9275)</f>
        <v>223.39697857386741</v>
      </c>
      <c r="L14" s="6" t="s">
        <v>7</v>
      </c>
      <c r="N14" s="6" t="s">
        <v>75</v>
      </c>
      <c r="O14" s="6">
        <f>$C$5*$C$50/O13</f>
        <v>0.99671441191936505</v>
      </c>
      <c r="U14" s="2">
        <v>10</v>
      </c>
      <c r="V14" s="2">
        <f t="shared" si="7"/>
        <v>4.39453125E-2</v>
      </c>
      <c r="W14" s="2">
        <f t="shared" si="0"/>
        <v>7.7721425764051139E-4</v>
      </c>
      <c r="X14" s="2">
        <f t="shared" si="8"/>
        <v>4.4921875E-2</v>
      </c>
      <c r="Y14" s="2">
        <f t="shared" si="1"/>
        <v>-2.0170257845563561E-4</v>
      </c>
      <c r="Z14" s="2">
        <f t="shared" si="3"/>
        <v>4.443359375E-2</v>
      </c>
      <c r="AA14" s="2">
        <f t="shared" si="2"/>
        <v>2.8776209985903467E-4</v>
      </c>
      <c r="AB14" s="2">
        <f t="shared" si="4"/>
        <v>2.2365280681901435E-7</v>
      </c>
      <c r="AC14" s="2">
        <f t="shared" si="5"/>
        <v>-5.8042357523375387E-8</v>
      </c>
      <c r="AD14" s="2">
        <f t="shared" si="6"/>
        <v>9.765625E-4</v>
      </c>
      <c r="AF14" s="2">
        <v>10</v>
      </c>
      <c r="AG14" s="2">
        <f t="shared" si="13"/>
        <v>3060.546875</v>
      </c>
      <c r="AH14" s="2">
        <v>-4.3569313301445618</v>
      </c>
      <c r="AI14" s="2">
        <f t="shared" si="14"/>
        <v>3079.1015625</v>
      </c>
      <c r="AJ14" s="2">
        <v>2.7355662260465579</v>
      </c>
      <c r="AK14" s="2">
        <f t="shared" si="9"/>
        <v>3069.82421875</v>
      </c>
      <c r="AL14" s="2">
        <v>-0.80710353479707919</v>
      </c>
      <c r="AM14" s="2">
        <f t="shared" si="10"/>
        <v>3.5164946774278159</v>
      </c>
      <c r="AN14" s="2">
        <f t="shared" si="11"/>
        <v>-2.2078851707136824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246.38745876165129</v>
      </c>
      <c r="L15" s="6" t="s">
        <v>7</v>
      </c>
      <c r="U15" s="2">
        <v>11</v>
      </c>
      <c r="V15" s="2">
        <f t="shared" si="7"/>
        <v>4.443359375E-2</v>
      </c>
      <c r="W15" s="2">
        <f t="shared" si="0"/>
        <v>2.8776209985903467E-4</v>
      </c>
      <c r="X15" s="2">
        <f t="shared" si="8"/>
        <v>4.4921875E-2</v>
      </c>
      <c r="Y15" s="2">
        <f t="shared" si="1"/>
        <v>-2.0170257845563561E-4</v>
      </c>
      <c r="Z15" s="2">
        <f t="shared" si="3"/>
        <v>4.4677734375E-2</v>
      </c>
      <c r="AA15" s="2">
        <f t="shared" si="2"/>
        <v>4.3031324926674774E-5</v>
      </c>
      <c r="AB15" s="2">
        <f t="shared" si="4"/>
        <v>1.2382784420616355E-8</v>
      </c>
      <c r="AC15" s="2">
        <f t="shared" si="5"/>
        <v>-8.6795291920725668E-9</v>
      </c>
      <c r="AD15" s="2">
        <f t="shared" si="6"/>
        <v>4.8828125E-4</v>
      </c>
      <c r="AF15" s="2">
        <v>11</v>
      </c>
      <c r="AG15" s="2">
        <f t="shared" si="13"/>
        <v>3069.82421875</v>
      </c>
      <c r="AH15" s="2">
        <v>-0.80710353479707919</v>
      </c>
      <c r="AI15" s="2">
        <f t="shared" si="14"/>
        <v>3079.1015625</v>
      </c>
      <c r="AJ15" s="2">
        <v>2.7355662260465579</v>
      </c>
      <c r="AK15" s="2">
        <f t="shared" si="9"/>
        <v>3074.462890625</v>
      </c>
      <c r="AL15" s="2">
        <v>0.96512420586486769</v>
      </c>
      <c r="AM15" s="2">
        <f t="shared" si="10"/>
        <v>-0.77895515807175864</v>
      </c>
      <c r="AN15" s="2">
        <f t="shared" si="11"/>
        <v>2.6401611815039372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156.46013870167215</v>
      </c>
      <c r="H16" s="6" t="s">
        <v>10</v>
      </c>
      <c r="J16" s="13" t="s">
        <v>53</v>
      </c>
      <c r="K16" s="6">
        <f xml:space="preserve"> $C$54 * 0.2138 * K4</f>
        <v>117.78898771708899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4.4677734375E-2</v>
      </c>
      <c r="W16" s="2">
        <f t="shared" si="0"/>
        <v>4.3031324926674774E-5</v>
      </c>
      <c r="X16" s="2">
        <f t="shared" si="8"/>
        <v>4.4921875E-2</v>
      </c>
      <c r="Y16" s="2">
        <f t="shared" si="1"/>
        <v>-2.0170257845563561E-4</v>
      </c>
      <c r="Z16" s="2">
        <f t="shared" si="3"/>
        <v>4.47998046875E-2</v>
      </c>
      <c r="AA16" s="2">
        <f t="shared" si="2"/>
        <v>-7.9335235813902949E-5</v>
      </c>
      <c r="AB16" s="2">
        <f t="shared" si="4"/>
        <v>-3.4139003104424232E-9</v>
      </c>
      <c r="AC16" s="2">
        <f t="shared" si="5"/>
        <v>1.600212162605011E-8</v>
      </c>
      <c r="AD16" s="2">
        <f t="shared" si="6"/>
        <v>2.44140625E-4</v>
      </c>
      <c r="AF16" s="2">
        <v>12</v>
      </c>
      <c r="AG16" s="2">
        <f t="shared" si="13"/>
        <v>3069.82421875</v>
      </c>
      <c r="AH16" s="2">
        <v>-0.80710353479707919</v>
      </c>
      <c r="AI16" s="2">
        <f t="shared" si="14"/>
        <v>3074.462890625</v>
      </c>
      <c r="AJ16" s="2">
        <v>0.96512420586486769</v>
      </c>
      <c r="AK16" s="2">
        <f t="shared" si="9"/>
        <v>3072.1435546875</v>
      </c>
      <c r="AL16" s="2">
        <v>7.9230011027448199E-2</v>
      </c>
      <c r="AM16" s="2">
        <f t="shared" si="10"/>
        <v>-6.3946821962265005E-2</v>
      </c>
      <c r="AN16" s="2">
        <f t="shared" si="11"/>
        <v>7.646680147353066E-2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0.47024319177073948</v>
      </c>
      <c r="H17" s="6" t="s">
        <v>122</v>
      </c>
      <c r="J17" s="13" t="s">
        <v>77</v>
      </c>
      <c r="K17" s="6">
        <f xml:space="preserve"> $C$54 * 0.1149 * K4</f>
        <v>63.301939610353251</v>
      </c>
      <c r="L17" s="6" t="s">
        <v>7</v>
      </c>
      <c r="N17" s="6" t="s">
        <v>25</v>
      </c>
      <c r="O17" s="6">
        <f xml:space="preserve"> ACOS(O14)/PI()*180</f>
        <v>4.6458284426949765</v>
      </c>
      <c r="P17" s="6" t="s">
        <v>40</v>
      </c>
      <c r="U17" s="2">
        <v>13</v>
      </c>
      <c r="V17" s="2">
        <f t="shared" si="7"/>
        <v>4.4677734375E-2</v>
      </c>
      <c r="W17" s="2">
        <f t="shared" si="0"/>
        <v>4.3031324926674774E-5</v>
      </c>
      <c r="X17" s="2">
        <f t="shared" si="8"/>
        <v>4.47998046875E-2</v>
      </c>
      <c r="Y17" s="2">
        <f t="shared" si="1"/>
        <v>-7.9335235813902949E-5</v>
      </c>
      <c r="Z17" s="2">
        <f t="shared" si="3"/>
        <v>4.473876953125E-2</v>
      </c>
      <c r="AA17" s="2">
        <f t="shared" si="2"/>
        <v>-1.8151857692744189E-5</v>
      </c>
      <c r="AB17" s="2">
        <f t="shared" si="4"/>
        <v>-7.8109848639923628E-10</v>
      </c>
      <c r="AC17" s="2">
        <f t="shared" si="5"/>
        <v>1.4400819105142686E-9</v>
      </c>
      <c r="AD17" s="2">
        <f t="shared" si="6"/>
        <v>1.220703125E-4</v>
      </c>
      <c r="AF17" s="2">
        <v>13</v>
      </c>
      <c r="AG17" s="2">
        <f t="shared" si="13"/>
        <v>3069.82421875</v>
      </c>
      <c r="AH17" s="2">
        <v>-0.80710353479707919</v>
      </c>
      <c r="AI17" s="2">
        <f t="shared" si="14"/>
        <v>3072.1435546875</v>
      </c>
      <c r="AJ17" s="2">
        <v>7.9230011027448199E-2</v>
      </c>
      <c r="AK17" s="2">
        <f t="shared" si="9"/>
        <v>3070.98388671875</v>
      </c>
      <c r="AL17" s="2">
        <v>-0.36389293640240794</v>
      </c>
      <c r="AM17" s="2">
        <f t="shared" si="10"/>
        <v>0.29369927525807216</v>
      </c>
      <c r="AN17" s="2">
        <f t="shared" si="11"/>
        <v>-2.8831241363973286E-2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7551.4795583509012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138.29338676139523</v>
      </c>
      <c r="L18" s="6" t="s">
        <v>7</v>
      </c>
      <c r="N18" s="6" t="s">
        <v>19</v>
      </c>
      <c r="O18" s="6">
        <f xml:space="preserve"> O13 / $C$18</f>
        <v>7551.4795583509012</v>
      </c>
      <c r="P18" s="6" t="s">
        <v>20</v>
      </c>
      <c r="U18" s="2">
        <v>14</v>
      </c>
      <c r="V18" s="2">
        <f t="shared" si="7"/>
        <v>4.4677734375E-2</v>
      </c>
      <c r="W18" s="2">
        <f t="shared" si="0"/>
        <v>4.3031324926674774E-5</v>
      </c>
      <c r="X18" s="2">
        <f t="shared" si="8"/>
        <v>4.473876953125E-2</v>
      </c>
      <c r="Y18" s="2">
        <f t="shared" si="1"/>
        <v>-1.8151857692744189E-5</v>
      </c>
      <c r="Z18" s="2">
        <f t="shared" si="3"/>
        <v>4.4708251953125E-2</v>
      </c>
      <c r="AA18" s="2">
        <f t="shared" si="2"/>
        <v>1.2439758056335959E-5</v>
      </c>
      <c r="AB18" s="2">
        <f t="shared" si="4"/>
        <v>5.3529927093141287E-10</v>
      </c>
      <c r="AC18" s="2">
        <f t="shared" si="5"/>
        <v>-2.2580471797077838E-10</v>
      </c>
      <c r="AD18" s="2">
        <f t="shared" si="6"/>
        <v>6.103515625E-5</v>
      </c>
      <c r="AF18" s="2">
        <v>14</v>
      </c>
      <c r="AG18" s="2">
        <f t="shared" si="13"/>
        <v>3070.98388671875</v>
      </c>
      <c r="AH18" s="2">
        <v>-0.36389293640240794</v>
      </c>
      <c r="AI18" s="2">
        <f t="shared" si="14"/>
        <v>3072.1435546875</v>
      </c>
      <c r="AJ18" s="2">
        <v>7.9230011027448199E-2</v>
      </c>
      <c r="AK18" s="2">
        <f t="shared" si="9"/>
        <v>3071.563720703125</v>
      </c>
      <c r="AL18" s="2">
        <v>-0.14232599455044692</v>
      </c>
      <c r="AM18" s="2">
        <f t="shared" si="10"/>
        <v>5.1791424083355242E-2</v>
      </c>
      <c r="AN18" s="2">
        <f t="shared" si="11"/>
        <v>-1.1276490117724441E-2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72.068260502761746</v>
      </c>
      <c r="H19" s="6" t="s">
        <v>101</v>
      </c>
      <c r="J19" s="14" t="s">
        <v>61</v>
      </c>
      <c r="K19" s="6">
        <f xml:space="preserve"> $C$55 * C31 * $C$5</f>
        <v>34.405683663790995</v>
      </c>
      <c r="L19" s="6" t="s">
        <v>7</v>
      </c>
      <c r="N19" s="6" t="s">
        <v>26</v>
      </c>
      <c r="O19" s="6">
        <f>$C$7*2*PI()/60</f>
        <v>46.491122521691018</v>
      </c>
      <c r="P19" s="6" t="s">
        <v>27</v>
      </c>
      <c r="U19" s="2">
        <v>15</v>
      </c>
      <c r="V19" s="2">
        <f t="shared" si="7"/>
        <v>4.4708251953125E-2</v>
      </c>
      <c r="W19" s="2">
        <f t="shared" si="0"/>
        <v>1.2439758056335959E-5</v>
      </c>
      <c r="X19" s="2">
        <f t="shared" si="8"/>
        <v>4.473876953125E-2</v>
      </c>
      <c r="Y19" s="2">
        <f t="shared" si="1"/>
        <v>-1.8151857692744189E-5</v>
      </c>
      <c r="Z19" s="2">
        <f t="shared" si="3"/>
        <v>4.47235107421875E-2</v>
      </c>
      <c r="AA19" s="2">
        <f t="shared" si="2"/>
        <v>-2.8560437085670132E-6</v>
      </c>
      <c r="AB19" s="2">
        <f t="shared" si="4"/>
        <v>-3.5528492732894134E-11</v>
      </c>
      <c r="AC19" s="2">
        <f t="shared" si="5"/>
        <v>5.184249896216578E-11</v>
      </c>
      <c r="AD19" s="2">
        <f t="shared" si="6"/>
        <v>3.0517578125E-5</v>
      </c>
      <c r="AF19" s="2">
        <v>15</v>
      </c>
      <c r="AG19" s="2">
        <f t="shared" si="13"/>
        <v>3071.563720703125</v>
      </c>
      <c r="AH19" s="2">
        <v>-0.14232599455044692</v>
      </c>
      <c r="AI19" s="2">
        <f t="shared" si="14"/>
        <v>3072.1435546875</v>
      </c>
      <c r="AJ19" s="2">
        <v>7.9230011027448199E-2</v>
      </c>
      <c r="AK19" s="2">
        <f t="shared" si="9"/>
        <v>3071.8536376953125</v>
      </c>
      <c r="AL19" s="2">
        <v>-3.1549373503821698E-2</v>
      </c>
      <c r="AM19" s="2">
        <f t="shared" si="10"/>
        <v>4.4902959613749415E-3</v>
      </c>
      <c r="AN19" s="2">
        <f t="shared" si="11"/>
        <v>-2.4996572106168752E-3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10.691469474527784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0.42717386140825814</v>
      </c>
      <c r="U20" s="2">
        <v>16</v>
      </c>
      <c r="V20" s="2">
        <f t="shared" si="7"/>
        <v>4.4708251953125E-2</v>
      </c>
      <c r="W20" s="2">
        <f t="shared" si="0"/>
        <v>1.2439758056335959E-5</v>
      </c>
      <c r="X20" s="2">
        <f t="shared" si="8"/>
        <v>4.47235107421875E-2</v>
      </c>
      <c r="Y20" s="2">
        <f t="shared" si="1"/>
        <v>-2.8560437085670132E-6</v>
      </c>
      <c r="Z20" s="2">
        <f t="shared" si="3"/>
        <v>4.471588134765625E-2</v>
      </c>
      <c r="AA20" s="2">
        <f t="shared" si="2"/>
        <v>4.7918587013223712E-6</v>
      </c>
      <c r="AB20" s="2">
        <f t="shared" si="4"/>
        <v>5.9609562884598535E-11</v>
      </c>
      <c r="AC20" s="2">
        <f t="shared" si="5"/>
        <v>-1.3685757896253856E-11</v>
      </c>
      <c r="AD20" s="2">
        <f t="shared" si="6"/>
        <v>1.52587890625E-5</v>
      </c>
      <c r="AF20" s="2">
        <v>16</v>
      </c>
      <c r="AG20" s="2">
        <f t="shared" si="13"/>
        <v>3071.8536376953125</v>
      </c>
      <c r="AH20" s="2">
        <v>-3.1549373503821698E-2</v>
      </c>
      <c r="AI20" s="2">
        <f t="shared" si="14"/>
        <v>3072.1435546875</v>
      </c>
      <c r="AJ20" s="2">
        <v>7.9230011027448199E-2</v>
      </c>
      <c r="AK20" s="2">
        <f t="shared" si="9"/>
        <v>3071.9985961914062</v>
      </c>
      <c r="AL20" s="2">
        <v>2.3839973334361275E-2</v>
      </c>
      <c r="AM20" s="2">
        <f t="shared" si="10"/>
        <v>-7.5213622304691344E-4</v>
      </c>
      <c r="AN20" s="2">
        <f t="shared" si="11"/>
        <v>1.8888413501755149E-3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0.1400006255470525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8.5963151961052069E-3</v>
      </c>
      <c r="U21" s="2">
        <v>17</v>
      </c>
      <c r="V21" s="2">
        <f t="shared" si="7"/>
        <v>4.471588134765625E-2</v>
      </c>
      <c r="W21" s="2">
        <f t="shared" si="0"/>
        <v>4.7918587013223712E-6</v>
      </c>
      <c r="X21" s="2">
        <f t="shared" si="8"/>
        <v>4.47235107421875E-2</v>
      </c>
      <c r="Y21" s="2">
        <f t="shared" si="1"/>
        <v>-2.8560437085670132E-6</v>
      </c>
      <c r="Z21" s="2">
        <f t="shared" si="3"/>
        <v>4.4719696044921875E-2</v>
      </c>
      <c r="AA21" s="2">
        <f t="shared" si="2"/>
        <v>9.6790787823541891E-7</v>
      </c>
      <c r="AB21" s="2">
        <f t="shared" si="4"/>
        <v>4.6380777884008662E-12</v>
      </c>
      <c r="AC21" s="2">
        <f t="shared" si="5"/>
        <v>-2.7643872061067147E-12</v>
      </c>
      <c r="AD21" s="2">
        <f t="shared" si="6"/>
        <v>7.62939453125E-6</v>
      </c>
      <c r="AF21" s="2">
        <v>17</v>
      </c>
      <c r="AG21" s="2">
        <f t="shared" si="13"/>
        <v>3071.8536376953125</v>
      </c>
      <c r="AH21" s="2">
        <v>-3.1549373503821698E-2</v>
      </c>
      <c r="AI21" s="2">
        <f t="shared" si="14"/>
        <v>3071.9985961914062</v>
      </c>
      <c r="AJ21" s="2">
        <v>2.3839973334361275E-2</v>
      </c>
      <c r="AK21" s="2">
        <f t="shared" si="9"/>
        <v>3071.9261169433594</v>
      </c>
      <c r="AL21" s="2">
        <v>-3.8437874109149561E-3</v>
      </c>
      <c r="AM21" s="2">
        <f t="shared" si="10"/>
        <v>1.2126908469624372E-4</v>
      </c>
      <c r="AN21" s="2">
        <f t="shared" si="11"/>
        <v>-9.1635789379166117E-5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288.27304201104698</v>
      </c>
      <c r="H22" s="25" t="s">
        <v>101</v>
      </c>
      <c r="J22" s="14" t="s">
        <v>112</v>
      </c>
      <c r="K22" s="6">
        <f>$C$55*(0.14*$G$12*1000/745.7)*0.453592</f>
        <v>31.27771430463784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4.4719696044921875E-2</v>
      </c>
      <c r="W22" s="2">
        <f t="shared" si="0"/>
        <v>9.6790787823541891E-7</v>
      </c>
      <c r="X22" s="2">
        <f t="shared" si="8"/>
        <v>4.47235107421875E-2</v>
      </c>
      <c r="Y22" s="2">
        <f t="shared" si="1"/>
        <v>-2.8560437085670132E-6</v>
      </c>
      <c r="Z22" s="2">
        <f t="shared" si="3"/>
        <v>4.4721603393554688E-2</v>
      </c>
      <c r="AA22" s="2">
        <f t="shared" si="2"/>
        <v>-9.4406781970396425E-7</v>
      </c>
      <c r="AB22" s="2">
        <f t="shared" si="4"/>
        <v>-9.1377068028000213E-13</v>
      </c>
      <c r="AC22" s="2">
        <f t="shared" si="5"/>
        <v>2.6962989569260846E-12</v>
      </c>
      <c r="AD22" s="2">
        <f t="shared" si="6"/>
        <v>3.814697265625E-6</v>
      </c>
      <c r="AF22" s="2">
        <v>18</v>
      </c>
      <c r="AG22" s="2">
        <f t="shared" si="13"/>
        <v>3071.9261169433594</v>
      </c>
      <c r="AH22" s="2">
        <v>-3.8437874109149561E-3</v>
      </c>
      <c r="AI22" s="2">
        <f t="shared" si="14"/>
        <v>3071.9985961914062</v>
      </c>
      <c r="AJ22" s="2">
        <v>2.3839973334361275E-2</v>
      </c>
      <c r="AK22" s="2">
        <f t="shared" si="9"/>
        <v>3071.9623565673828</v>
      </c>
      <c r="AL22" s="2">
        <v>9.9870722747255058E-3</v>
      </c>
      <c r="AM22" s="2">
        <f t="shared" si="10"/>
        <v>-3.8388182681487693E-5</v>
      </c>
      <c r="AN22" s="2">
        <f t="shared" si="11"/>
        <v>2.3809153671779486E-4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65.862308727828477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17355.217309314925</v>
      </c>
      <c r="P23" s="6" t="s">
        <v>18</v>
      </c>
      <c r="U23" s="2">
        <v>19</v>
      </c>
      <c r="V23" s="2">
        <f t="shared" si="7"/>
        <v>4.4719696044921875E-2</v>
      </c>
      <c r="W23" s="2">
        <f t="shared" si="0"/>
        <v>9.6790787823541891E-7</v>
      </c>
      <c r="X23" s="2">
        <f t="shared" si="8"/>
        <v>4.4721603393554688E-2</v>
      </c>
      <c r="Y23" s="2">
        <f t="shared" si="1"/>
        <v>-9.4406781970396425E-7</v>
      </c>
      <c r="Z23" s="2">
        <f t="shared" si="3"/>
        <v>4.4720649719238281E-2</v>
      </c>
      <c r="AA23" s="2">
        <f t="shared" si="2"/>
        <v>1.192005313205291E-8</v>
      </c>
      <c r="AB23" s="2">
        <f t="shared" si="4"/>
        <v>1.1537513335498791E-14</v>
      </c>
      <c r="AC23" s="2">
        <f t="shared" si="5"/>
        <v>-1.1253338571132602E-14</v>
      </c>
      <c r="AD23" s="2">
        <f t="shared" si="6"/>
        <v>1.9073486328125E-6</v>
      </c>
      <c r="AF23" s="2">
        <v>19</v>
      </c>
      <c r="AG23" s="2">
        <f t="shared" si="13"/>
        <v>3071.9261169433594</v>
      </c>
      <c r="AH23" s="2">
        <v>-3.8437874109149561E-3</v>
      </c>
      <c r="AI23" s="2">
        <f t="shared" si="14"/>
        <v>3071.9623565673828</v>
      </c>
      <c r="AJ23" s="2">
        <v>9.9870722747255058E-3</v>
      </c>
      <c r="AK23" s="2">
        <f t="shared" si="9"/>
        <v>3071.9442367553711</v>
      </c>
      <c r="AL23" s="2">
        <v>3.0826361839899619E-3</v>
      </c>
      <c r="AM23" s="2">
        <f t="shared" si="10"/>
        <v>-1.1848998156451536E-5</v>
      </c>
      <c r="AN23" s="2">
        <f t="shared" si="11"/>
        <v>3.0786510366191779E-5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 xml:space="preserve"> $C$56 * (11.5 * ($C$5*2.20462/1000)^0.4 * 0.453592)</f>
        <v>8.9691560168906559</v>
      </c>
      <c r="L24" s="6" t="s">
        <v>7</v>
      </c>
      <c r="N24" s="6" t="s">
        <v>31</v>
      </c>
      <c r="O24" s="18">
        <f>Z34</f>
        <v>4.4720661360770464E-2</v>
      </c>
      <c r="U24" s="2">
        <v>20</v>
      </c>
      <c r="V24" s="2">
        <f t="shared" si="7"/>
        <v>4.4720649719238281E-2</v>
      </c>
      <c r="W24" s="2">
        <f t="shared" si="0"/>
        <v>1.192005313205291E-8</v>
      </c>
      <c r="X24" s="2">
        <f t="shared" si="8"/>
        <v>4.4721603393554688E-2</v>
      </c>
      <c r="Y24" s="2">
        <f t="shared" si="1"/>
        <v>-9.4406781970396425E-7</v>
      </c>
      <c r="Z24" s="2">
        <f t="shared" si="3"/>
        <v>4.4721126556396484E-2</v>
      </c>
      <c r="AA24" s="2">
        <f t="shared" si="2"/>
        <v>-4.6607387731850691E-7</v>
      </c>
      <c r="AB24" s="2">
        <f t="shared" si="4"/>
        <v>-5.5556253810985124E-15</v>
      </c>
      <c r="AC24" s="2">
        <f t="shared" si="5"/>
        <v>4.4000534918105575E-13</v>
      </c>
      <c r="AD24" s="2">
        <f t="shared" si="6"/>
        <v>9.5367431640625E-7</v>
      </c>
      <c r="AF24" s="2">
        <v>20</v>
      </c>
      <c r="AG24" s="2">
        <f t="shared" si="13"/>
        <v>3071.9261169433594</v>
      </c>
      <c r="AH24" s="2">
        <v>-3.8437874109149561E-3</v>
      </c>
      <c r="AI24" s="2">
        <f t="shared" si="14"/>
        <v>3071.9442367553711</v>
      </c>
      <c r="AJ24" s="2">
        <v>3.0826361839899619E-3</v>
      </c>
      <c r="AK24" s="2">
        <f t="shared" si="9"/>
        <v>3071.9351768493652</v>
      </c>
      <c r="AL24" s="2">
        <v>-3.9157603123385343E-4</v>
      </c>
      <c r="AM24" s="2">
        <f t="shared" si="10"/>
        <v>1.5051350192727275E-6</v>
      </c>
      <c r="AN24" s="2">
        <f t="shared" si="11"/>
        <v>-1.20708644266466E-6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19.660390665023428</v>
      </c>
      <c r="L25" s="6" t="s">
        <v>7</v>
      </c>
      <c r="N25" s="6" t="s">
        <v>32</v>
      </c>
      <c r="O25" s="6">
        <f xml:space="preserve"> O19 * $C$9 * O24 - $C$8 * SIN(O17/180*PI())</f>
        <v>1.5657210756273416</v>
      </c>
      <c r="P25" s="6" t="s">
        <v>10</v>
      </c>
      <c r="U25" s="2">
        <v>21</v>
      </c>
      <c r="V25" s="2">
        <f t="shared" si="7"/>
        <v>4.4720649719238281E-2</v>
      </c>
      <c r="W25" s="2">
        <f t="shared" si="0"/>
        <v>1.192005313205291E-8</v>
      </c>
      <c r="X25" s="2">
        <f t="shared" si="8"/>
        <v>4.4721126556396484E-2</v>
      </c>
      <c r="Y25" s="2">
        <f t="shared" si="1"/>
        <v>-4.6607387731850691E-7</v>
      </c>
      <c r="Z25" s="2">
        <f t="shared" si="3"/>
        <v>4.4720888137817383E-2</v>
      </c>
      <c r="AA25" s="2">
        <f t="shared" si="2"/>
        <v>-2.2707691060136481E-7</v>
      </c>
      <c r="AB25" s="2">
        <f t="shared" si="4"/>
        <v>-2.7067688394306974E-15</v>
      </c>
      <c r="AC25" s="2">
        <f t="shared" si="5"/>
        <v>1.0583461617348607E-13</v>
      </c>
      <c r="AD25" s="2">
        <f t="shared" si="6"/>
        <v>4.76837158203125E-7</v>
      </c>
      <c r="AF25" s="2">
        <v>21</v>
      </c>
      <c r="AG25" s="2">
        <f t="shared" si="13"/>
        <v>3071.9351768493652</v>
      </c>
      <c r="AH25" s="2">
        <v>-3.9157603123385343E-4</v>
      </c>
      <c r="AI25" s="2">
        <f t="shared" si="14"/>
        <v>3071.9442367553711</v>
      </c>
      <c r="AJ25" s="2">
        <v>3.0826361839899619E-3</v>
      </c>
      <c r="AK25" s="2">
        <f t="shared" si="9"/>
        <v>3071.9397068023682</v>
      </c>
      <c r="AL25" s="2">
        <v>1.3455297307700675E-3</v>
      </c>
      <c r="AM25" s="2">
        <f t="shared" si="10"/>
        <v>-5.2687719188209836E-7</v>
      </c>
      <c r="AN25" s="2">
        <f t="shared" si="11"/>
        <v>4.1477786347060821E-6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56.71114444617114</v>
      </c>
      <c r="L26" s="6" t="s">
        <v>7</v>
      </c>
      <c r="N26" s="6" t="s">
        <v>33</v>
      </c>
      <c r="O26" s="6">
        <f xml:space="preserve"> 1/$C$21 - O23 * SQRT( (2*$C$47*PI()*$C$9^2) / O18^3 )</f>
        <v>1.1092791143350713</v>
      </c>
      <c r="U26" s="2">
        <v>22</v>
      </c>
      <c r="V26" s="2">
        <f t="shared" si="7"/>
        <v>4.4720649719238281E-2</v>
      </c>
      <c r="W26" s="2">
        <f t="shared" si="0"/>
        <v>1.192005313205291E-8</v>
      </c>
      <c r="X26" s="2">
        <f t="shared" si="8"/>
        <v>4.4720888137817383E-2</v>
      </c>
      <c r="Y26" s="2">
        <f t="shared" si="1"/>
        <v>-2.2707691060136481E-7</v>
      </c>
      <c r="Z26" s="2">
        <f t="shared" si="3"/>
        <v>4.4720768928527832E-2</v>
      </c>
      <c r="AA26" s="2">
        <f t="shared" si="2"/>
        <v>-1.0757842835995568E-7</v>
      </c>
      <c r="AB26" s="2">
        <f t="shared" si="4"/>
        <v>-1.2823405819134193E-15</v>
      </c>
      <c r="AC26" s="2">
        <f t="shared" si="5"/>
        <v>2.4428577159328986E-14</v>
      </c>
      <c r="AD26" s="2">
        <f t="shared" si="6"/>
        <v>2.384185791015625E-7</v>
      </c>
      <c r="AF26" s="2">
        <v>22</v>
      </c>
      <c r="AG26" s="2">
        <f t="shared" si="13"/>
        <v>3071.9351768493652</v>
      </c>
      <c r="AH26" s="2">
        <v>-3.9157603123385343E-4</v>
      </c>
      <c r="AI26" s="2">
        <f t="shared" si="14"/>
        <v>3071.9397068023682</v>
      </c>
      <c r="AJ26" s="2">
        <v>1.3455297307700675E-3</v>
      </c>
      <c r="AK26" s="2">
        <f t="shared" si="9"/>
        <v>3071.9374418258667</v>
      </c>
      <c r="AL26" s="2">
        <v>4.7697676291136304E-4</v>
      </c>
      <c r="AM26" s="2">
        <f t="shared" si="10"/>
        <v>-1.867726678116022E-7</v>
      </c>
      <c r="AN26" s="2">
        <f t="shared" si="11"/>
        <v>6.4178641538370465E-7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-5.0813959205697756E-5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4.4720649719238281E-2</v>
      </c>
      <c r="W27" s="2">
        <f t="shared" si="0"/>
        <v>1.192005313205291E-8</v>
      </c>
      <c r="X27" s="2">
        <f t="shared" si="8"/>
        <v>4.4720768928527832E-2</v>
      </c>
      <c r="Y27" s="2">
        <f t="shared" si="1"/>
        <v>-1.0757842835995568E-7</v>
      </c>
      <c r="Z27" s="2">
        <f t="shared" si="3"/>
        <v>4.4720709323883057E-2</v>
      </c>
      <c r="AA27" s="2">
        <f t="shared" si="2"/>
        <v>-4.7829187527215211E-8</v>
      </c>
      <c r="AB27" s="2">
        <f t="shared" si="4"/>
        <v>-5.7012645658732768E-16</v>
      </c>
      <c r="AC27" s="2">
        <f t="shared" si="5"/>
        <v>5.1453888239114074E-15</v>
      </c>
      <c r="AD27" s="2">
        <f t="shared" si="6"/>
        <v>1.1920928955078125E-7</v>
      </c>
      <c r="AF27" s="2">
        <v>23</v>
      </c>
      <c r="AG27" s="2">
        <f t="shared" si="13"/>
        <v>3071.9351768493652</v>
      </c>
      <c r="AH27" s="2">
        <v>-3.9157603123385343E-4</v>
      </c>
      <c r="AI27" s="2">
        <f t="shared" si="14"/>
        <v>3071.9374418258667</v>
      </c>
      <c r="AJ27" s="2">
        <v>4.7697676291136304E-4</v>
      </c>
      <c r="AK27" s="2">
        <f t="shared" si="9"/>
        <v>3071.936309337616</v>
      </c>
      <c r="AL27" s="2">
        <v>4.2700342874013586E-5</v>
      </c>
      <c r="AM27" s="2">
        <f t="shared" si="10"/>
        <v>-1.6720430794930996E-8</v>
      </c>
      <c r="AN27" s="2">
        <f t="shared" si="11"/>
        <v>2.0367071319252289E-8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7527.3885133745607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1.1586105964195133</v>
      </c>
      <c r="U28" s="2">
        <v>24</v>
      </c>
      <c r="V28" s="2">
        <f t="shared" si="7"/>
        <v>4.4720649719238281E-2</v>
      </c>
      <c r="W28" s="2">
        <f t="shared" si="0"/>
        <v>1.192005313205291E-8</v>
      </c>
      <c r="X28" s="2">
        <f t="shared" si="8"/>
        <v>4.4720709323883057E-2</v>
      </c>
      <c r="Y28" s="2">
        <f t="shared" si="1"/>
        <v>-4.7829187527215211E-8</v>
      </c>
      <c r="Z28" s="2">
        <f t="shared" si="3"/>
        <v>4.4720679521560669E-2</v>
      </c>
      <c r="AA28" s="2">
        <f t="shared" si="2"/>
        <v>-1.7954567173295022E-8</v>
      </c>
      <c r="AB28" s="2">
        <f t="shared" si="4"/>
        <v>-2.140193946686897E-16</v>
      </c>
      <c r="AC28" s="2">
        <f t="shared" si="5"/>
        <v>8.5875236030150991E-16</v>
      </c>
      <c r="AD28" s="2">
        <f t="shared" si="6"/>
        <v>5.9604644775390625E-8</v>
      </c>
      <c r="AF28" s="2">
        <v>24</v>
      </c>
      <c r="AG28" s="2">
        <f t="shared" si="13"/>
        <v>3071.9351768493652</v>
      </c>
      <c r="AH28" s="2">
        <v>-3.9157603123385343E-4</v>
      </c>
      <c r="AI28" s="2">
        <f t="shared" si="14"/>
        <v>3071.936309337616</v>
      </c>
      <c r="AJ28" s="2">
        <v>4.2700342874013586E-5</v>
      </c>
      <c r="AK28" s="2">
        <f t="shared" si="9"/>
        <v>3071.9357430934906</v>
      </c>
      <c r="AL28" s="2">
        <v>-1.7443785009163548E-4</v>
      </c>
      <c r="AM28" s="2">
        <f t="shared" si="10"/>
        <v>6.8305681035848496E-8</v>
      </c>
      <c r="AN28" s="2">
        <f t="shared" si="11"/>
        <v>-7.4485560091186175E-9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101.23154286753871</v>
      </c>
      <c r="H29" t="s">
        <v>18</v>
      </c>
      <c r="U29" s="2">
        <v>25</v>
      </c>
      <c r="V29" s="2">
        <f t="shared" si="7"/>
        <v>4.4720649719238281E-2</v>
      </c>
      <c r="W29" s="2">
        <f t="shared" si="0"/>
        <v>1.192005313205291E-8</v>
      </c>
      <c r="X29" s="2">
        <f t="shared" si="8"/>
        <v>4.4720679521560669E-2</v>
      </c>
      <c r="Y29" s="2">
        <f t="shared" si="1"/>
        <v>-1.7954567173295022E-8</v>
      </c>
      <c r="Z29" s="2">
        <f t="shared" si="3"/>
        <v>4.4720664620399475E-2</v>
      </c>
      <c r="AA29" s="2">
        <f t="shared" si="2"/>
        <v>-3.0172570136821619E-9</v>
      </c>
      <c r="AB29" s="2">
        <f t="shared" si="4"/>
        <v>-3.5965863916150667E-17</v>
      </c>
      <c r="AC29" s="2">
        <f t="shared" si="5"/>
        <v>5.4173543731251911E-17</v>
      </c>
      <c r="AD29" s="2">
        <f t="shared" si="6"/>
        <v>2.9802322387695312E-8</v>
      </c>
      <c r="AF29" s="2">
        <v>25</v>
      </c>
      <c r="AG29" s="2">
        <f t="shared" si="13"/>
        <v>3071.9357430934906</v>
      </c>
      <c r="AH29" s="2">
        <v>-1.7443785009163548E-4</v>
      </c>
      <c r="AI29" s="2">
        <f t="shared" si="14"/>
        <v>3071.936309337616</v>
      </c>
      <c r="AJ29" s="2">
        <v>4.2700342874013586E-5</v>
      </c>
      <c r="AK29" s="2">
        <f t="shared" si="9"/>
        <v>3071.9360262155533</v>
      </c>
      <c r="AL29" s="2">
        <v>-5.4869687119207811E-5</v>
      </c>
      <c r="AM29" s="2">
        <f t="shared" si="10"/>
        <v>9.5713502562753148E-9</v>
      </c>
      <c r="AN29" s="2">
        <f t="shared" si="11"/>
        <v>-2.3429544533800203E-9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7.5864102096851695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4.4720649719238281E-2</v>
      </c>
      <c r="W30" s="2">
        <f t="shared" si="0"/>
        <v>1.192005313205291E-8</v>
      </c>
      <c r="X30" s="2">
        <f t="shared" si="8"/>
        <v>4.4720664620399475E-2</v>
      </c>
      <c r="Y30" s="2">
        <f t="shared" si="1"/>
        <v>-3.0172570136821619E-9</v>
      </c>
      <c r="Z30" s="2">
        <f t="shared" si="3"/>
        <v>4.4720657169818878E-2</v>
      </c>
      <c r="AA30" s="2">
        <f t="shared" si="2"/>
        <v>4.4513980557159272E-9</v>
      </c>
      <c r="AB30" s="2">
        <f t="shared" si="4"/>
        <v>5.3060901336050874E-17</v>
      </c>
      <c r="AC30" s="2">
        <f t="shared" si="5"/>
        <v>-1.343101200430002E-17</v>
      </c>
      <c r="AD30" s="2">
        <f t="shared" si="6"/>
        <v>1.4901161193847656E-8</v>
      </c>
      <c r="AF30" s="2">
        <v>26</v>
      </c>
      <c r="AG30" s="2">
        <f t="shared" si="13"/>
        <v>3071.9360262155533</v>
      </c>
      <c r="AH30" s="2">
        <v>-5.4869687119207811E-5</v>
      </c>
      <c r="AI30" s="2">
        <f t="shared" si="14"/>
        <v>3071.936309337616</v>
      </c>
      <c r="AJ30" s="2">
        <v>4.2700342874013586E-5</v>
      </c>
      <c r="AK30" s="2">
        <f t="shared" si="9"/>
        <v>3071.9361677765846</v>
      </c>
      <c r="AL30" s="2">
        <v>-1.7083737930079224E-5</v>
      </c>
      <c r="AM30" s="2">
        <f t="shared" si="10"/>
        <v>9.3737935504998988E-10</v>
      </c>
      <c r="AN30" s="2">
        <f t="shared" si="11"/>
        <v>-7.2948146718417398E-10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404.92617147015483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4.4720657169818878E-2</v>
      </c>
      <c r="W31" s="2">
        <f t="shared" si="0"/>
        <v>4.4513980557159272E-9</v>
      </c>
      <c r="X31" s="2">
        <f t="shared" si="8"/>
        <v>4.4720664620399475E-2</v>
      </c>
      <c r="Y31" s="2">
        <f t="shared" si="1"/>
        <v>-3.0172570136821619E-9</v>
      </c>
      <c r="Z31" s="2">
        <f t="shared" si="3"/>
        <v>4.4720660895109177E-2</v>
      </c>
      <c r="AA31" s="2">
        <f t="shared" si="2"/>
        <v>7.1707052101688262E-10</v>
      </c>
      <c r="AB31" s="2">
        <f t="shared" si="4"/>
        <v>3.191966323065758E-18</v>
      </c>
      <c r="AC31" s="2">
        <f t="shared" si="5"/>
        <v>-2.1635860588429111E-18</v>
      </c>
      <c r="AD31" s="2">
        <f t="shared" si="6"/>
        <v>7.4505805969238281E-9</v>
      </c>
      <c r="AF31" s="2">
        <v>27</v>
      </c>
      <c r="AG31" s="2">
        <f t="shared" si="13"/>
        <v>3071.9361677765846</v>
      </c>
      <c r="AH31" s="2">
        <v>-1.7083737930079224E-5</v>
      </c>
      <c r="AI31" s="2">
        <f t="shared" si="14"/>
        <v>3071.936309337616</v>
      </c>
      <c r="AJ31" s="2">
        <v>4.2700342874013586E-5</v>
      </c>
      <c r="AK31" s="2">
        <f t="shared" si="9"/>
        <v>3071.9362385571003</v>
      </c>
      <c r="AL31" s="2">
        <v>2.380736941631767E-5</v>
      </c>
      <c r="AM31" s="2">
        <f t="shared" si="10"/>
        <v>-4.0671885991295424E-10</v>
      </c>
      <c r="AN31" s="2">
        <f t="shared" si="11"/>
        <v>1.0165828370050692E-9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1465.88</v>
      </c>
      <c r="L32" s="6" t="s">
        <v>7</v>
      </c>
      <c r="U32" s="2">
        <v>28</v>
      </c>
      <c r="V32" s="2">
        <f t="shared" si="7"/>
        <v>4.4720660895109177E-2</v>
      </c>
      <c r="W32" s="2">
        <f t="shared" si="0"/>
        <v>7.1707052101688262E-10</v>
      </c>
      <c r="X32" s="2">
        <f t="shared" si="8"/>
        <v>4.4720664620399475E-2</v>
      </c>
      <c r="Y32" s="2">
        <f t="shared" si="1"/>
        <v>-3.0172570136821619E-9</v>
      </c>
      <c r="Z32" s="2">
        <f t="shared" si="3"/>
        <v>4.4720662757754326E-2</v>
      </c>
      <c r="AA32" s="2">
        <f t="shared" si="2"/>
        <v>-1.1500932428631927E-9</v>
      </c>
      <c r="AB32" s="2">
        <f t="shared" si="4"/>
        <v>-8.2469796087790571E-19</v>
      </c>
      <c r="AC32" s="2">
        <f t="shared" si="5"/>
        <v>3.4701269034174302E-18</v>
      </c>
      <c r="AD32" s="2">
        <f t="shared" si="6"/>
        <v>3.7252902984619141E-9</v>
      </c>
      <c r="AF32" s="2">
        <v>28</v>
      </c>
      <c r="AG32" s="2">
        <f t="shared" si="13"/>
        <v>3071.9361677765846</v>
      </c>
      <c r="AH32" s="2">
        <v>-1.7083737930079224E-5</v>
      </c>
      <c r="AI32" s="2">
        <f t="shared" si="14"/>
        <v>3071.9362385571003</v>
      </c>
      <c r="AJ32" s="2">
        <v>2.380736941631767E-5</v>
      </c>
      <c r="AK32" s="2">
        <f t="shared" si="9"/>
        <v>3071.9362031668425</v>
      </c>
      <c r="AL32" s="2">
        <v>1.4360884506459115E-5</v>
      </c>
      <c r="AM32" s="2">
        <f t="shared" si="10"/>
        <v>-2.4533758735248263E-10</v>
      </c>
      <c r="AN32" s="2">
        <f t="shared" si="11"/>
        <v>3.4189488259034501E-10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650.88</v>
      </c>
      <c r="L33" s="6" t="s">
        <v>7</v>
      </c>
      <c r="U33" s="2">
        <v>29</v>
      </c>
      <c r="V33" s="2">
        <f t="shared" si="7"/>
        <v>4.4720660895109177E-2</v>
      </c>
      <c r="W33" s="2">
        <f t="shared" si="0"/>
        <v>7.1707052101688262E-10</v>
      </c>
      <c r="X33" s="2">
        <f t="shared" si="8"/>
        <v>4.4720662757754326E-2</v>
      </c>
      <c r="Y33" s="2">
        <f t="shared" si="1"/>
        <v>-1.1500932428631927E-9</v>
      </c>
      <c r="Z33" s="2">
        <f t="shared" si="3"/>
        <v>4.4720661826431751E-2</v>
      </c>
      <c r="AA33" s="2">
        <f t="shared" si="2"/>
        <v>-2.1651136439260199E-10</v>
      </c>
      <c r="AB33" s="2">
        <f t="shared" si="4"/>
        <v>-1.5525391687107924E-19</v>
      </c>
      <c r="AC33" s="2">
        <f t="shared" si="5"/>
        <v>2.4900825719102201E-19</v>
      </c>
      <c r="AD33" s="2">
        <f t="shared" si="6"/>
        <v>1.862645149230957E-9</v>
      </c>
      <c r="AF33" s="2">
        <v>29</v>
      </c>
      <c r="AG33" s="2">
        <f t="shared" si="13"/>
        <v>3071.9361677765846</v>
      </c>
      <c r="AH33" s="2">
        <v>-1.7083737930079224E-5</v>
      </c>
      <c r="AI33" s="2">
        <f t="shared" si="14"/>
        <v>3071.9362031668425</v>
      </c>
      <c r="AJ33" s="2">
        <v>1.4360884506459115E-5</v>
      </c>
      <c r="AK33" s="2">
        <f t="shared" si="9"/>
        <v>3071.9361854717135</v>
      </c>
      <c r="AL33" s="2">
        <v>-1.2360496839391999E-5</v>
      </c>
      <c r="AM33" s="2">
        <f t="shared" si="10"/>
        <v>2.1116348868974545E-10</v>
      </c>
      <c r="AN33" s="2">
        <f t="shared" si="11"/>
        <v>-1.7750766755296142E-10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203.98</v>
      </c>
      <c r="L34" s="6" t="s">
        <v>7</v>
      </c>
      <c r="U34" s="2">
        <v>30</v>
      </c>
      <c r="V34" s="2">
        <f t="shared" si="7"/>
        <v>4.4720660895109177E-2</v>
      </c>
      <c r="W34" s="2">
        <f t="shared" si="0"/>
        <v>7.1707052101688262E-10</v>
      </c>
      <c r="X34" s="2">
        <f t="shared" si="8"/>
        <v>4.4720661826431751E-2</v>
      </c>
      <c r="Y34" s="2">
        <f t="shared" si="1"/>
        <v>-2.1651136439260199E-10</v>
      </c>
      <c r="Z34" s="2">
        <f t="shared" si="3"/>
        <v>4.4720661360770464E-2</v>
      </c>
      <c r="AA34" s="2">
        <f t="shared" si="2"/>
        <v>2.5027957484269336E-10</v>
      </c>
      <c r="AB34" s="2">
        <f t="shared" si="4"/>
        <v>1.79468105132334E-19</v>
      </c>
      <c r="AC34" s="2">
        <f t="shared" si="5"/>
        <v>-5.4188372228791885E-20</v>
      </c>
      <c r="AD34" s="2">
        <f>X34-V34</f>
        <v>9.3132257461547852E-10</v>
      </c>
      <c r="AF34" s="2">
        <v>30</v>
      </c>
      <c r="AG34" s="2">
        <f t="shared" si="13"/>
        <v>3071.9361854717135</v>
      </c>
      <c r="AH34" s="2">
        <v>-1.2360496839391999E-5</v>
      </c>
      <c r="AI34" s="2">
        <f t="shared" si="14"/>
        <v>3071.9362031668425</v>
      </c>
      <c r="AJ34" s="2">
        <v>1.4360884506459115E-5</v>
      </c>
      <c r="AK34" s="2">
        <f t="shared" si="9"/>
        <v>3071.936194319278</v>
      </c>
      <c r="AL34" s="2">
        <v>1.1999262824247126E-5</v>
      </c>
      <c r="AM34" s="2">
        <f t="shared" si="10"/>
        <v>-1.4831685021414051E-10</v>
      </c>
      <c r="AN34" s="2">
        <f t="shared" si="11"/>
        <v>1.7232002758166139E-10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288.27304201104698</v>
      </c>
      <c r="H35" s="25" t="s">
        <v>101</v>
      </c>
      <c r="J35" s="15" t="s">
        <v>70</v>
      </c>
      <c r="K35" s="6">
        <f>ROUND(SUM(K23:K26),2)</f>
        <v>151.19999999999999</v>
      </c>
      <c r="L35" s="6" t="s">
        <v>7</v>
      </c>
      <c r="AF35" s="2">
        <v>31</v>
      </c>
      <c r="AG35" s="2">
        <f t="shared" si="13"/>
        <v>3071.9361854717135</v>
      </c>
      <c r="AH35" s="2">
        <v>-1.2360496839391999E-5</v>
      </c>
      <c r="AI35" s="2">
        <f t="shared" si="14"/>
        <v>3071.936194319278</v>
      </c>
      <c r="AJ35" s="2">
        <v>1.1999262824247126E-5</v>
      </c>
      <c r="AK35" s="2">
        <f t="shared" si="9"/>
        <v>3071.9361898954958</v>
      </c>
      <c r="AL35" s="2">
        <v>1.0818450846272754E-5</v>
      </c>
      <c r="AM35" s="2">
        <f t="shared" si="10"/>
        <v>-1.3372142749247207E-10</v>
      </c>
      <c r="AN35" s="2">
        <f t="shared" si="11"/>
        <v>1.2981343505562551E-10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3071.94</v>
      </c>
      <c r="L36" s="6" t="s">
        <v>7</v>
      </c>
      <c r="AF36" s="2">
        <v>32</v>
      </c>
      <c r="AG36" s="2">
        <f t="shared" si="13"/>
        <v>3071.9361854717135</v>
      </c>
      <c r="AH36" s="2">
        <v>-1.2360496839391999E-5</v>
      </c>
      <c r="AI36" s="2">
        <f t="shared" si="14"/>
        <v>3071.9361898954958</v>
      </c>
      <c r="AJ36" s="2">
        <v>1.0818450846272754E-5</v>
      </c>
      <c r="AK36" s="2">
        <f t="shared" si="9"/>
        <v>3071.9361876836047</v>
      </c>
      <c r="AL36" s="2">
        <v>-1.177009198727319E-5</v>
      </c>
      <c r="AM36" s="2">
        <f t="shared" si="10"/>
        <v>1.4548418480804336E-10</v>
      </c>
      <c r="AN36" s="2">
        <f t="shared" si="11"/>
        <v>-1.273341616204238E-10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3071.9361876836047</v>
      </c>
      <c r="AH37" s="2">
        <v>-1.177009198727319E-5</v>
      </c>
      <c r="AI37" s="2">
        <f t="shared" si="14"/>
        <v>3071.9361898954958</v>
      </c>
      <c r="AJ37" s="2">
        <v>1.0818450846272754E-5</v>
      </c>
      <c r="AK37" s="2">
        <f t="shared" si="9"/>
        <v>3071.9361887895502</v>
      </c>
      <c r="AL37" s="2">
        <v>1.0523247965465998E-5</v>
      </c>
      <c r="AM37" s="2">
        <f t="shared" si="10"/>
        <v>-1.2385959655842025E-10</v>
      </c>
      <c r="AN37" s="2">
        <f t="shared" si="11"/>
        <v>1.1384524085753366E-10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3071.9361876836047</v>
      </c>
      <c r="AH38" s="2">
        <v>-1.177009198727319E-5</v>
      </c>
      <c r="AI38" s="2">
        <f t="shared" si="14"/>
        <v>3071.9361887895502</v>
      </c>
      <c r="AJ38" s="2">
        <v>1.0523247965465998E-5</v>
      </c>
      <c r="AK38" s="2">
        <f t="shared" si="9"/>
        <v>3071.9361882365774</v>
      </c>
      <c r="AL38" s="2">
        <v>1.0375645615567919E-5</v>
      </c>
      <c r="AM38" s="2">
        <f t="shared" si="10"/>
        <v>-1.2212230332258217E-10</v>
      </c>
      <c r="AN38" s="2">
        <f t="shared" si="11"/>
        <v>1.0918549161442131E-10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19.53</v>
      </c>
      <c r="L39" s="6" t="s">
        <v>58</v>
      </c>
      <c r="AF39" s="2">
        <v>35</v>
      </c>
      <c r="AG39" s="2">
        <f t="shared" si="13"/>
        <v>3071.9361876836047</v>
      </c>
      <c r="AH39" s="2">
        <v>-1.177009198727319E-5</v>
      </c>
      <c r="AI39" s="2">
        <f t="shared" si="14"/>
        <v>3071.9361882365774</v>
      </c>
      <c r="AJ39" s="2">
        <v>1.0375645615567919E-5</v>
      </c>
      <c r="AK39" s="2">
        <f t="shared" si="9"/>
        <v>3071.936187960091</v>
      </c>
      <c r="AL39" s="2">
        <v>-1.1696290584950475E-5</v>
      </c>
      <c r="AM39" s="2">
        <f t="shared" si="10"/>
        <v>1.3766641609474444E-10</v>
      </c>
      <c r="AN39" s="2">
        <f t="shared" si="11"/>
        <v>-1.2135656612614973E-10</v>
      </c>
      <c r="AO39" s="2">
        <f t="shared" si="12"/>
        <v>5.5297277867794037E-7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47.72</v>
      </c>
      <c r="L40" s="6" t="s">
        <v>58</v>
      </c>
      <c r="AF40" s="2">
        <v>36</v>
      </c>
      <c r="AG40" s="2">
        <f t="shared" si="13"/>
        <v>3071.936187960091</v>
      </c>
      <c r="AH40" s="2">
        <v>-1.1696290584950475E-5</v>
      </c>
      <c r="AI40" s="2">
        <f t="shared" si="14"/>
        <v>3071.9361882365774</v>
      </c>
      <c r="AJ40" s="2">
        <v>1.0375645615567919E-5</v>
      </c>
      <c r="AK40" s="2">
        <f t="shared" si="9"/>
        <v>3071.9361880983342</v>
      </c>
      <c r="AL40" s="2">
        <v>-1.1659392839646898E-5</v>
      </c>
      <c r="AM40" s="2">
        <f t="shared" si="10"/>
        <v>1.36371646696601E-10</v>
      </c>
      <c r="AN40" s="2">
        <f t="shared" si="11"/>
        <v>-1.2097372819686633E-10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21.19</v>
      </c>
      <c r="L41" s="6" t="s">
        <v>58</v>
      </c>
      <c r="AF41" s="2">
        <v>37</v>
      </c>
      <c r="AG41" s="2">
        <f t="shared" si="13"/>
        <v>3071.9361880983342</v>
      </c>
      <c r="AH41" s="2">
        <v>-1.1659392839646898E-5</v>
      </c>
      <c r="AI41" s="2">
        <f t="shared" si="14"/>
        <v>3071.9361882365774</v>
      </c>
      <c r="AJ41" s="2">
        <v>1.0375645615567919E-5</v>
      </c>
      <c r="AK41" s="2">
        <f t="shared" si="9"/>
        <v>3071.9361881674558</v>
      </c>
      <c r="AL41" s="2">
        <v>1.0357197425037157E-5</v>
      </c>
      <c r="AM41" s="2">
        <f t="shared" si="10"/>
        <v>-1.2075863349628752E-10</v>
      </c>
      <c r="AN41" s="2">
        <f t="shared" si="11"/>
        <v>1.0746261005265811E-10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6.64</v>
      </c>
      <c r="L42" s="6" t="s">
        <v>58</v>
      </c>
      <c r="AF42" s="2">
        <v>38</v>
      </c>
      <c r="AG42" s="2">
        <f t="shared" si="13"/>
        <v>3071.9361880983342</v>
      </c>
      <c r="AH42" s="2">
        <v>-1.1659392839646898E-5</v>
      </c>
      <c r="AI42" s="2">
        <f t="shared" si="14"/>
        <v>3071.9361881674558</v>
      </c>
      <c r="AJ42" s="2">
        <v>1.0357197425037157E-5</v>
      </c>
      <c r="AK42" s="2">
        <f t="shared" si="9"/>
        <v>3071.936188132895</v>
      </c>
      <c r="AL42" s="2">
        <v>-1.1650164651655359E-5</v>
      </c>
      <c r="AM42" s="2">
        <f t="shared" si="10"/>
        <v>1.358338463202179E-10</v>
      </c>
      <c r="AN42" s="2">
        <f t="shared" si="11"/>
        <v>-1.2066305533138379E-10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4.92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3071.936188132895</v>
      </c>
      <c r="AH43" s="2">
        <v>-1.1650164651655359E-5</v>
      </c>
      <c r="AI43" s="2">
        <f t="shared" si="14"/>
        <v>3071.9361881674558</v>
      </c>
      <c r="AJ43" s="2">
        <v>1.0357197425037157E-5</v>
      </c>
      <c r="AK43" s="2">
        <f t="shared" si="9"/>
        <v>3071.9361881501754</v>
      </c>
      <c r="AL43" s="2">
        <v>1.0352585832151817E-5</v>
      </c>
      <c r="AM43" s="2">
        <f t="shared" si="10"/>
        <v>-1.2060932951496318E-10</v>
      </c>
      <c r="AN43" s="2">
        <f t="shared" si="11"/>
        <v>1.0722377532323895E-10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3071.936188132895</v>
      </c>
      <c r="AH44" s="2">
        <v>-1.1650164651655359E-5</v>
      </c>
      <c r="AI44" s="2">
        <f t="shared" si="14"/>
        <v>3071.9361881501754</v>
      </c>
      <c r="AJ44" s="2">
        <v>1.0352585832151817E-5</v>
      </c>
      <c r="AK44" s="5">
        <f>(AG44+AI44)/2</f>
        <v>3071.9361881415352</v>
      </c>
      <c r="AL44" s="2">
        <v>-1.1647858627839014E-5</v>
      </c>
      <c r="AM44" s="2">
        <f t="shared" si="10"/>
        <v>1.3569947085352898E-10</v>
      </c>
      <c r="AN44" s="2">
        <f t="shared" si="11"/>
        <v>-1.2058545620547348E-10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3653.4728010923873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19.53</v>
      </c>
      <c r="L47" s="6" t="s">
        <v>58</v>
      </c>
      <c r="N47" s="6" t="s">
        <v>154</v>
      </c>
      <c r="O47" s="6">
        <f>0.377*O46^0.6945</f>
        <v>112.36746487156245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47.72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32.75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  <mergeCell ref="B17:D17"/>
    <mergeCell ref="N16:P16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2:P12"/>
  </mergeCells>
  <conditionalFormatting sqref="K28">
    <cfRule type="containsText" dxfId="23" priority="1" operator="containsText" text="FALSE">
      <formula>NOT(ISERROR(SEARCH("FALSE",K28)))</formula>
    </cfRule>
    <cfRule type="containsText" dxfId="22" priority="2" operator="containsText" text="TRUE">
      <formula>NOT(ISERROR(SEARCH("TRUE",K28)))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NOT(ISERROR(SEARCH("YES",K28)))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FB96-3706-9748-9EF1-0E21478048DF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382.6877041893286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5.3707899337992568E-2</v>
      </c>
      <c r="X4" s="3">
        <v>1</v>
      </c>
      <c r="Y4" s="2">
        <f t="shared" ref="Y4:Y34" si="1" xml:space="preserve"> $O$20 * TAN($O$17/180*PI()) + $O$21 / (2 * SQRT($O$20^2 + X4^2)) - X4</f>
        <v>-0.95037246806796549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-0.44865054598832477</v>
      </c>
      <c r="AB4" s="2">
        <f>W4*AA4</f>
        <v>-2.4096078361876352E-2</v>
      </c>
      <c r="AC4" s="2">
        <f>Y4*AA4</f>
        <v>0.42638512669096446</v>
      </c>
      <c r="AD4" s="2">
        <f>X4-V4</f>
        <v>1</v>
      </c>
      <c r="AF4" s="2">
        <v>0</v>
      </c>
      <c r="AG4" s="2"/>
      <c r="AH4" s="2">
        <f>K27</f>
        <v>1.8185418753091653E-4</v>
      </c>
      <c r="AI4" s="2"/>
      <c r="AJ4" s="2">
        <f>K27</f>
        <v>1.8185418753091653E-4</v>
      </c>
      <c r="AK4" s="2"/>
      <c r="AL4" s="2">
        <f>K27</f>
        <v>1.8185418753091653E-4</v>
      </c>
      <c r="AM4" s="2"/>
      <c r="AN4" s="2"/>
      <c r="AO4" s="2"/>
    </row>
    <row r="5" spans="2:41" x14ac:dyDescent="0.2">
      <c r="B5" s="10" t="s">
        <v>37</v>
      </c>
      <c r="C5" s="10">
        <v>2037.3980659713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95.67192604733215</v>
      </c>
      <c r="L5" s="6" t="s">
        <v>101</v>
      </c>
      <c r="N5" s="6" t="s">
        <v>114</v>
      </c>
      <c r="O5" s="6">
        <f xml:space="preserve"> $C$18 * 0.85 * ($C$5/$C$18 *2.20462/1000)^(2/3) * 0.3048^2</f>
        <v>0.34125205066510411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5.3707899337992568E-2</v>
      </c>
      <c r="X5" s="2">
        <f>IF(AC4&gt;0, Z4, X4)</f>
        <v>0.5</v>
      </c>
      <c r="Y5" s="2">
        <f t="shared" si="1"/>
        <v>-0.44865054598832477</v>
      </c>
      <c r="Z5" s="2">
        <f t="shared" ref="Z5:Z34" si="3" xml:space="preserve"> (V5 + X5)/2</f>
        <v>0.25</v>
      </c>
      <c r="AA5" s="2">
        <f t="shared" si="2"/>
        <v>-0.19721507266668034</v>
      </c>
      <c r="AB5" s="2">
        <f t="shared" ref="AB5:AB34" si="4">W5*AA5</f>
        <v>-1.0592007270716958E-2</v>
      </c>
      <c r="AC5" s="2">
        <f t="shared" ref="AC5:AC34" si="5">Y5*AA5</f>
        <v>8.8480650029033284E-2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-940.73722106791956</v>
      </c>
      <c r="AI5" s="3">
        <v>10000</v>
      </c>
      <c r="AJ5" s="2">
        <f t="dataTable" ref="AJ5:AJ44" dt2D="0" dtr="0" r1="C5"/>
        <v>2793.4757358408933</v>
      </c>
      <c r="AK5" s="2">
        <f>(AG5+AI5)/2</f>
        <v>5250</v>
      </c>
      <c r="AL5" s="2">
        <f t="dataTable" ref="AL5:AL44" dt2D="0" dtr="0" r1="C5" ca="1"/>
        <v>1519.5665519135787</v>
      </c>
      <c r="AM5" s="2">
        <f>AH5*AL5</f>
        <v>-1429512.8152749406</v>
      </c>
      <c r="AN5" s="2">
        <f>AJ5*AL5</f>
        <v>4244872.2917659935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5.3707899337992568E-2</v>
      </c>
      <c r="X6" s="2">
        <f t="shared" ref="X6:X34" si="8">IF(AC5&gt;0, Z5, X5)</f>
        <v>0.25</v>
      </c>
      <c r="Y6" s="2">
        <f t="shared" si="1"/>
        <v>-0.19721507266668034</v>
      </c>
      <c r="Z6" s="2">
        <f t="shared" si="3"/>
        <v>0.125</v>
      </c>
      <c r="AA6" s="2">
        <f t="shared" si="2"/>
        <v>-7.1563568256120938E-2</v>
      </c>
      <c r="AB6" s="2">
        <f t="shared" si="4"/>
        <v>-3.8435289201673036E-3</v>
      </c>
      <c r="AC6" s="2">
        <f t="shared" si="5"/>
        <v>1.4113414313917829E-2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-940.73722106791956</v>
      </c>
      <c r="AI6" s="2">
        <f>IF(AN5&gt;0, AK5, AI5)</f>
        <v>5250</v>
      </c>
      <c r="AJ6" s="2">
        <v>1519.5665519135787</v>
      </c>
      <c r="AK6" s="2">
        <f t="shared" ref="AK6:AK43" si="9">(AG6+AI6)/2</f>
        <v>2875</v>
      </c>
      <c r="AL6" s="2">
        <v>449.09948965483159</v>
      </c>
      <c r="AM6" s="2">
        <f t="shared" ref="AM6:AM44" si="10">AH6*AL6</f>
        <v>-422484.60588090715</v>
      </c>
      <c r="AN6" s="2">
        <f t="shared" ref="AN6:AN44" si="11">AJ6*AL6</f>
        <v>682436.5629609403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443.95751755308402</v>
      </c>
      <c r="D7" s="6" t="s">
        <v>125</v>
      </c>
      <c r="F7" t="s">
        <v>121</v>
      </c>
      <c r="G7" s="8">
        <f>$C$6*2*PI()/60*$C$9</f>
        <v>140.96856795129204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0.97152867400020015</v>
      </c>
      <c r="P7" s="6" t="s">
        <v>115</v>
      </c>
      <c r="U7" s="2">
        <v>3</v>
      </c>
      <c r="V7" s="2">
        <f t="shared" si="7"/>
        <v>0</v>
      </c>
      <c r="W7" s="2">
        <f t="shared" si="0"/>
        <v>5.3707899337992568E-2</v>
      </c>
      <c r="X7" s="2">
        <f t="shared" si="8"/>
        <v>0.125</v>
      </c>
      <c r="Y7" s="2">
        <f t="shared" si="1"/>
        <v>-7.1563568256120938E-2</v>
      </c>
      <c r="Z7" s="2">
        <f t="shared" si="3"/>
        <v>6.25E-2</v>
      </c>
      <c r="AA7" s="2">
        <f t="shared" si="2"/>
        <v>-8.8631745653124649E-3</v>
      </c>
      <c r="AB7" s="2">
        <f t="shared" si="4"/>
        <v>-4.7602248736885788E-4</v>
      </c>
      <c r="AC7" s="2">
        <f t="shared" si="5"/>
        <v>6.3428039797065359E-4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-940.73722106791956</v>
      </c>
      <c r="AI7" s="2">
        <f t="shared" ref="AI7:AI44" si="14">IF(AN6&gt;0, AK6, AI6)</f>
        <v>2875</v>
      </c>
      <c r="AJ7" s="2">
        <v>449.09948965483159</v>
      </c>
      <c r="AK7" s="2">
        <f t="shared" si="9"/>
        <v>1687.5</v>
      </c>
      <c r="AL7" s="2">
        <v>-209.14241864892938</v>
      </c>
      <c r="AM7" s="2">
        <f t="shared" si="10"/>
        <v>196748.05772721727</v>
      </c>
      <c r="AN7" s="2">
        <f t="shared" si="11"/>
        <v>-93925.753480411309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0.42216656039580869</v>
      </c>
      <c r="H8" s="6" t="s">
        <v>122</v>
      </c>
      <c r="J8" s="6" t="s">
        <v>96</v>
      </c>
      <c r="K8" s="6">
        <f xml:space="preserve"> $C$15 * (G12*G6 + G22*G15 + G31*G27 +G35*G34)/3600</f>
        <v>197.4092120162598</v>
      </c>
      <c r="L8" s="6" t="s">
        <v>102</v>
      </c>
      <c r="N8" s="6" t="s">
        <v>38</v>
      </c>
      <c r="O8" s="6">
        <f xml:space="preserve"> O4 *O7</f>
        <v>2202.9060849617026</v>
      </c>
      <c r="P8" s="6" t="s">
        <v>20</v>
      </c>
      <c r="U8" s="2">
        <v>4</v>
      </c>
      <c r="V8" s="2">
        <f t="shared" si="7"/>
        <v>0</v>
      </c>
      <c r="W8" s="2">
        <f t="shared" si="0"/>
        <v>5.3707899337992568E-2</v>
      </c>
      <c r="X8" s="2">
        <f t="shared" si="8"/>
        <v>6.25E-2</v>
      </c>
      <c r="Y8" s="2">
        <f t="shared" si="1"/>
        <v>-8.8631745653124649E-3</v>
      </c>
      <c r="Z8" s="2">
        <f t="shared" si="3"/>
        <v>3.125E-2</v>
      </c>
      <c r="AA8" s="2">
        <f t="shared" si="2"/>
        <v>2.2439917062788618E-2</v>
      </c>
      <c r="AB8" s="2">
        <f t="shared" si="4"/>
        <v>1.2052008067611529E-3</v>
      </c>
      <c r="AC8" s="2">
        <f t="shared" si="5"/>
        <v>-1.9888890215862928E-4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-209.14241864892938</v>
      </c>
      <c r="AI8" s="2">
        <f t="shared" si="14"/>
        <v>2875</v>
      </c>
      <c r="AJ8" s="2">
        <v>449.09948965483159</v>
      </c>
      <c r="AK8" s="2">
        <f t="shared" si="9"/>
        <v>2281.25</v>
      </c>
      <c r="AL8" s="2">
        <v>134.01298415280462</v>
      </c>
      <c r="AM8" s="2">
        <f t="shared" si="10"/>
        <v>-28027.799636078202</v>
      </c>
      <c r="AN8" s="2">
        <f t="shared" si="11"/>
        <v>60185.162790145587</v>
      </c>
      <c r="AO8" s="2">
        <f t="shared" si="12"/>
        <v>1187.5</v>
      </c>
    </row>
    <row r="9" spans="2:41" x14ac:dyDescent="0.2">
      <c r="B9" s="6" t="s">
        <v>95</v>
      </c>
      <c r="C9" s="17">
        <v>3.36537666150508</v>
      </c>
      <c r="D9" s="6" t="s">
        <v>8</v>
      </c>
      <c r="F9" t="s">
        <v>19</v>
      </c>
      <c r="G9" s="6">
        <f xml:space="preserve"> $C$5 * $C$44 / $C$18</f>
        <v>4992.3847997581015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2202.9060849617026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2.2439917062788618E-2</v>
      </c>
      <c r="X9" s="2">
        <f t="shared" si="8"/>
        <v>6.25E-2</v>
      </c>
      <c r="Y9" s="2">
        <f t="shared" si="1"/>
        <v>-8.8631745653124649E-3</v>
      </c>
      <c r="Z9" s="2">
        <f t="shared" si="3"/>
        <v>4.6875E-2</v>
      </c>
      <c r="AA9" s="2">
        <f t="shared" si="2"/>
        <v>6.7926412104680201E-3</v>
      </c>
      <c r="AB9" s="2">
        <f t="shared" si="4"/>
        <v>1.5242630540018246E-4</v>
      </c>
      <c r="AC9" s="2">
        <f t="shared" si="5"/>
        <v>-6.0204364807913433E-5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-209.14241864892938</v>
      </c>
      <c r="AI9" s="2">
        <f t="shared" si="14"/>
        <v>2281.25</v>
      </c>
      <c r="AJ9" s="2">
        <v>134.01298415280462</v>
      </c>
      <c r="AK9" s="2">
        <f t="shared" si="9"/>
        <v>1984.375</v>
      </c>
      <c r="AL9" s="2">
        <v>-29.467419930534561</v>
      </c>
      <c r="AM9" s="2">
        <f t="shared" si="10"/>
        <v>6162.8874756156647</v>
      </c>
      <c r="AN9" s="2">
        <f t="shared" si="11"/>
        <v>-3949.0168801747673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63.781284031554769</v>
      </c>
      <c r="H10" s="6" t="s">
        <v>101</v>
      </c>
      <c r="N10" s="6" t="s">
        <v>113</v>
      </c>
      <c r="O10" s="6">
        <f>O7/(0.3048^2)/($C$5*2.20462/1000)^(2/3)</f>
        <v>3.841368251711601</v>
      </c>
      <c r="U10" s="2">
        <v>6</v>
      </c>
      <c r="V10" s="2">
        <f t="shared" si="7"/>
        <v>4.6875E-2</v>
      </c>
      <c r="W10" s="2">
        <f t="shared" si="0"/>
        <v>6.7926412104680201E-3</v>
      </c>
      <c r="X10" s="2">
        <f t="shared" si="8"/>
        <v>6.25E-2</v>
      </c>
      <c r="Y10" s="2">
        <f t="shared" si="1"/>
        <v>-8.8631745653124649E-3</v>
      </c>
      <c r="Z10" s="2">
        <f t="shared" si="3"/>
        <v>5.46875E-2</v>
      </c>
      <c r="AA10" s="2">
        <f t="shared" si="2"/>
        <v>-1.034219368376138E-3</v>
      </c>
      <c r="AB10" s="2">
        <f t="shared" si="4"/>
        <v>-7.0250811022959611E-6</v>
      </c>
      <c r="AC10" s="2">
        <f t="shared" si="5"/>
        <v>9.1664668007449088E-6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-29.467419930534561</v>
      </c>
      <c r="AI10" s="2">
        <f t="shared" si="14"/>
        <v>2281.25</v>
      </c>
      <c r="AJ10" s="2">
        <v>134.01298415280462</v>
      </c>
      <c r="AK10" s="2">
        <f t="shared" si="9"/>
        <v>2132.8125</v>
      </c>
      <c r="AL10" s="2">
        <v>52.735491650377298</v>
      </c>
      <c r="AM10" s="2">
        <f t="shared" si="10"/>
        <v>-1553.9788777048668</v>
      </c>
      <c r="AN10" s="2">
        <f t="shared" si="11"/>
        <v>7067.2406068323735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7.9858774282567362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4.6875E-2</v>
      </c>
      <c r="W11" s="2">
        <f t="shared" si="0"/>
        <v>6.7926412104680201E-3</v>
      </c>
      <c r="X11" s="2">
        <f t="shared" si="8"/>
        <v>5.46875E-2</v>
      </c>
      <c r="Y11" s="2">
        <f t="shared" si="1"/>
        <v>-1.034219368376138E-3</v>
      </c>
      <c r="Z11" s="2">
        <f t="shared" si="3"/>
        <v>5.078125E-2</v>
      </c>
      <c r="AA11" s="2">
        <f t="shared" si="2"/>
        <v>2.8794754954156038E-3</v>
      </c>
      <c r="AB11" s="2">
        <f t="shared" si="4"/>
        <v>1.955924391469285E-5</v>
      </c>
      <c r="AC11" s="2">
        <f t="shared" si="5"/>
        <v>-2.9780093281232929E-6</v>
      </c>
      <c r="AD11" s="2">
        <f t="shared" si="6"/>
        <v>7.8125E-3</v>
      </c>
      <c r="AF11" s="2">
        <v>7</v>
      </c>
      <c r="AG11" s="2">
        <f t="shared" si="13"/>
        <v>1984.375</v>
      </c>
      <c r="AH11" s="2">
        <v>-29.467419930534561</v>
      </c>
      <c r="AI11" s="2">
        <f t="shared" si="14"/>
        <v>2132.8125</v>
      </c>
      <c r="AJ11" s="2">
        <v>52.735491650377298</v>
      </c>
      <c r="AK11" s="2">
        <f t="shared" si="9"/>
        <v>2058.59375</v>
      </c>
      <c r="AL11" s="2">
        <v>11.747547657443874</v>
      </c>
      <c r="AM11" s="2">
        <f t="shared" si="10"/>
        <v>-346.16991997586621</v>
      </c>
      <c r="AN11" s="2">
        <f t="shared" si="11"/>
        <v>619.51270140154088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255.12513612621908</v>
      </c>
      <c r="H12" s="25" t="s">
        <v>101</v>
      </c>
      <c r="J12" s="10" t="s">
        <v>79</v>
      </c>
      <c r="K12" s="6">
        <f>C5</f>
        <v>2037.3980659713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5.078125E-2</v>
      </c>
      <c r="W12" s="2">
        <f t="shared" si="0"/>
        <v>2.8794754954156038E-3</v>
      </c>
      <c r="X12" s="2">
        <f t="shared" si="8"/>
        <v>5.46875E-2</v>
      </c>
      <c r="Y12" s="2">
        <f t="shared" si="1"/>
        <v>-1.034219368376138E-3</v>
      </c>
      <c r="Z12" s="2">
        <f t="shared" si="3"/>
        <v>5.2734375E-2</v>
      </c>
      <c r="AA12" s="2">
        <f t="shared" si="2"/>
        <v>9.2269387731178099E-4</v>
      </c>
      <c r="AB12" s="2">
        <f t="shared" si="4"/>
        <v>2.6568744094892849E-6</v>
      </c>
      <c r="AC12" s="2">
        <f t="shared" si="5"/>
        <v>-9.5426787899791986E-7</v>
      </c>
      <c r="AD12" s="2">
        <f t="shared" si="6"/>
        <v>3.90625E-3</v>
      </c>
      <c r="AF12" s="2">
        <v>8</v>
      </c>
      <c r="AG12" s="2">
        <f t="shared" si="13"/>
        <v>1984.375</v>
      </c>
      <c r="AH12" s="2">
        <v>-29.467419930534561</v>
      </c>
      <c r="AI12" s="2">
        <f t="shared" si="14"/>
        <v>2058.59375</v>
      </c>
      <c r="AJ12" s="2">
        <v>11.747547657443874</v>
      </c>
      <c r="AK12" s="2">
        <f t="shared" si="9"/>
        <v>2021.484375</v>
      </c>
      <c r="AL12" s="2">
        <v>-8.8318335931371621</v>
      </c>
      <c r="AM12" s="2">
        <f t="shared" si="10"/>
        <v>260.25134924557466</v>
      </c>
      <c r="AN12" s="2">
        <f t="shared" si="11"/>
        <v>-103.75238603799258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725.76916182448463</v>
      </c>
      <c r="L13" s="6" t="s">
        <v>7</v>
      </c>
      <c r="N13" s="6" t="s">
        <v>74</v>
      </c>
      <c r="O13" s="6">
        <f xml:space="preserve"> SQRT( ($C$5*$C$50)^2 + O9^2)</f>
        <v>20088.77812051251</v>
      </c>
      <c r="P13" s="6" t="s">
        <v>20</v>
      </c>
      <c r="U13" s="2">
        <v>9</v>
      </c>
      <c r="V13" s="2">
        <f t="shared" si="7"/>
        <v>5.2734375E-2</v>
      </c>
      <c r="W13" s="2">
        <f t="shared" si="0"/>
        <v>9.2269387731178099E-4</v>
      </c>
      <c r="X13" s="2">
        <f t="shared" si="8"/>
        <v>5.46875E-2</v>
      </c>
      <c r="Y13" s="2">
        <f t="shared" si="1"/>
        <v>-1.034219368376138E-3</v>
      </c>
      <c r="Z13" s="2">
        <f t="shared" si="3"/>
        <v>5.37109375E-2</v>
      </c>
      <c r="AA13" s="2">
        <f t="shared" si="2"/>
        <v>-5.5746334514800155E-5</v>
      </c>
      <c r="AB13" s="2">
        <f t="shared" si="4"/>
        <v>-5.1436801539380514E-8</v>
      </c>
      <c r="AC13" s="2">
        <f t="shared" si="5"/>
        <v>5.765393887118152E-8</v>
      </c>
      <c r="AD13" s="2">
        <f t="shared" si="6"/>
        <v>1.953125E-3</v>
      </c>
      <c r="AF13" s="2">
        <v>9</v>
      </c>
      <c r="AG13" s="2">
        <f t="shared" si="13"/>
        <v>2021.484375</v>
      </c>
      <c r="AH13" s="2">
        <v>-8.8318335931371621</v>
      </c>
      <c r="AI13" s="2">
        <f t="shared" si="14"/>
        <v>2058.59375</v>
      </c>
      <c r="AJ13" s="2">
        <v>11.747547657443874</v>
      </c>
      <c r="AK13" s="2">
        <f t="shared" si="9"/>
        <v>2040.0390625</v>
      </c>
      <c r="AL13" s="2">
        <v>1.464915709717161</v>
      </c>
      <c r="AM13" s="2">
        <f t="shared" si="10"/>
        <v>-12.937891776194389</v>
      </c>
      <c r="AN13" s="2">
        <f t="shared" si="11"/>
        <v>17.209167114040564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 xml:space="preserve"> $C$54 * $C$18 * (0.0095 * MAX(G9,O18,G28) - 1.9275)</f>
        <v>146.50671371589507</v>
      </c>
      <c r="L14" s="6" t="s">
        <v>7</v>
      </c>
      <c r="N14" s="6" t="s">
        <v>75</v>
      </c>
      <c r="O14" s="6">
        <f>$C$5*$C$50/O13</f>
        <v>0.99396931770595853</v>
      </c>
      <c r="U14" s="2">
        <v>10</v>
      </c>
      <c r="V14" s="2">
        <f t="shared" si="7"/>
        <v>5.2734375E-2</v>
      </c>
      <c r="W14" s="2">
        <f t="shared" si="0"/>
        <v>9.2269387731178099E-4</v>
      </c>
      <c r="X14" s="2">
        <f t="shared" si="8"/>
        <v>5.37109375E-2</v>
      </c>
      <c r="Y14" s="2">
        <f t="shared" si="1"/>
        <v>-5.5746334514800155E-5</v>
      </c>
      <c r="Z14" s="2">
        <f t="shared" si="3"/>
        <v>5.322265625E-2</v>
      </c>
      <c r="AA14" s="2">
        <f t="shared" si="2"/>
        <v>4.3347787950996641E-4</v>
      </c>
      <c r="AB14" s="2">
        <f t="shared" si="4"/>
        <v>3.9996738537393994E-7</v>
      </c>
      <c r="AC14" s="2">
        <f t="shared" si="5"/>
        <v>-2.4164802875928823E-8</v>
      </c>
      <c r="AD14" s="2">
        <f t="shared" si="6"/>
        <v>9.765625E-4</v>
      </c>
      <c r="AF14" s="2">
        <v>10</v>
      </c>
      <c r="AG14" s="2">
        <f t="shared" si="13"/>
        <v>2021.484375</v>
      </c>
      <c r="AH14" s="2">
        <v>-8.8318335931371621</v>
      </c>
      <c r="AI14" s="2">
        <f t="shared" si="14"/>
        <v>2040.0390625</v>
      </c>
      <c r="AJ14" s="2">
        <v>1.464915709717161</v>
      </c>
      <c r="AK14" s="2">
        <f t="shared" si="9"/>
        <v>2030.76171875</v>
      </c>
      <c r="AL14" s="2">
        <v>-3.6817004690137765</v>
      </c>
      <c r="AM14" s="2">
        <f t="shared" si="10"/>
        <v>32.516165882104715</v>
      </c>
      <c r="AN14" s="2">
        <f t="shared" si="11"/>
        <v>-5.393380855531321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196.35293220127085</v>
      </c>
      <c r="L15" s="6" t="s">
        <v>7</v>
      </c>
      <c r="U15" s="2">
        <v>11</v>
      </c>
      <c r="V15" s="2">
        <f t="shared" si="7"/>
        <v>5.322265625E-2</v>
      </c>
      <c r="W15" s="2">
        <f t="shared" si="0"/>
        <v>4.3347787950996641E-4</v>
      </c>
      <c r="X15" s="2">
        <f t="shared" si="8"/>
        <v>5.37109375E-2</v>
      </c>
      <c r="Y15" s="2">
        <f t="shared" si="1"/>
        <v>-5.5746334514800155E-5</v>
      </c>
      <c r="Z15" s="2">
        <f t="shared" si="3"/>
        <v>5.3466796875E-2</v>
      </c>
      <c r="AA15" s="2">
        <f t="shared" si="2"/>
        <v>1.8886679885912749E-4</v>
      </c>
      <c r="AB15" s="2">
        <f t="shared" si="4"/>
        <v>8.1869579479289926E-8</v>
      </c>
      <c r="AC15" s="2">
        <f t="shared" si="5"/>
        <v>-1.0528631747940398E-8</v>
      </c>
      <c r="AD15" s="2">
        <f t="shared" si="6"/>
        <v>4.8828125E-4</v>
      </c>
      <c r="AF15" s="2">
        <v>11</v>
      </c>
      <c r="AG15" s="2">
        <f t="shared" si="13"/>
        <v>2030.76171875</v>
      </c>
      <c r="AH15" s="2">
        <v>-3.6817004690137765</v>
      </c>
      <c r="AI15" s="2">
        <f t="shared" si="14"/>
        <v>2040.0390625</v>
      </c>
      <c r="AJ15" s="2">
        <v>1.464915709717161</v>
      </c>
      <c r="AK15" s="2">
        <f t="shared" si="9"/>
        <v>2035.400390625</v>
      </c>
      <c r="AL15" s="2">
        <v>-1.1079535658996065</v>
      </c>
      <c r="AM15" s="2">
        <f t="shared" si="10"/>
        <v>4.0791531632180673</v>
      </c>
      <c r="AN15" s="2">
        <f t="shared" si="11"/>
        <v>-1.6230585843234813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156.46013870167215</v>
      </c>
      <c r="H16" s="6" t="s">
        <v>10</v>
      </c>
      <c r="J16" s="13" t="s">
        <v>53</v>
      </c>
      <c r="K16" s="6">
        <f xml:space="preserve"> $C$54 * 0.2138 * K4</f>
        <v>65.45490492454276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5.3466796875E-2</v>
      </c>
      <c r="W16" s="2">
        <f t="shared" si="0"/>
        <v>1.8886679885912749E-4</v>
      </c>
      <c r="X16" s="2">
        <f t="shared" si="8"/>
        <v>5.37109375E-2</v>
      </c>
      <c r="Y16" s="2">
        <f t="shared" si="1"/>
        <v>-5.5746334514800155E-5</v>
      </c>
      <c r="Z16" s="2">
        <f t="shared" si="3"/>
        <v>5.35888671875E-2</v>
      </c>
      <c r="AA16" s="2">
        <f t="shared" si="2"/>
        <v>6.6560488678972518E-5</v>
      </c>
      <c r="AB16" s="2">
        <f t="shared" si="4"/>
        <v>1.2571066427296735E-8</v>
      </c>
      <c r="AC16" s="2">
        <f t="shared" si="5"/>
        <v>-3.7105032673665707E-9</v>
      </c>
      <c r="AD16" s="2">
        <f t="shared" si="6"/>
        <v>2.44140625E-4</v>
      </c>
      <c r="AF16" s="2">
        <v>12</v>
      </c>
      <c r="AG16" s="2">
        <f t="shared" si="13"/>
        <v>2035.400390625</v>
      </c>
      <c r="AH16" s="2">
        <v>-1.1079535658996065</v>
      </c>
      <c r="AI16" s="2">
        <f t="shared" si="14"/>
        <v>2040.0390625</v>
      </c>
      <c r="AJ16" s="2">
        <v>1.464915709717161</v>
      </c>
      <c r="AK16" s="2">
        <f t="shared" si="9"/>
        <v>2037.7197265625</v>
      </c>
      <c r="AL16" s="2">
        <v>0.17859789618682953</v>
      </c>
      <c r="AM16" s="2">
        <f t="shared" si="10"/>
        <v>-0.19787817594236551</v>
      </c>
      <c r="AN16" s="2">
        <f t="shared" si="11"/>
        <v>0.26163086384652123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0.47024319177073948</v>
      </c>
      <c r="H17" s="6" t="s">
        <v>122</v>
      </c>
      <c r="J17" s="13" t="s">
        <v>77</v>
      </c>
      <c r="K17" s="6">
        <f xml:space="preserve"> $C$54 * 0.1149 * K4</f>
        <v>35.176653769083089</v>
      </c>
      <c r="L17" s="6" t="s">
        <v>7</v>
      </c>
      <c r="N17" s="6" t="s">
        <v>25</v>
      </c>
      <c r="O17" s="6">
        <f xml:space="preserve"> ACOS(O14)/PI()*180</f>
        <v>6.2956322945473993</v>
      </c>
      <c r="P17" s="6" t="s">
        <v>40</v>
      </c>
      <c r="U17" s="2">
        <v>13</v>
      </c>
      <c r="V17" s="2">
        <f t="shared" si="7"/>
        <v>5.35888671875E-2</v>
      </c>
      <c r="W17" s="2">
        <f t="shared" si="0"/>
        <v>6.6560488678972518E-5</v>
      </c>
      <c r="X17" s="2">
        <f t="shared" si="8"/>
        <v>5.37109375E-2</v>
      </c>
      <c r="Y17" s="2">
        <f t="shared" si="1"/>
        <v>-5.5746334514800155E-5</v>
      </c>
      <c r="Z17" s="2">
        <f t="shared" si="3"/>
        <v>5.364990234375E-2</v>
      </c>
      <c r="AA17" s="2">
        <f t="shared" si="2"/>
        <v>5.4071411983228068E-6</v>
      </c>
      <c r="AB17" s="2">
        <f t="shared" si="4"/>
        <v>3.599019605165711E-10</v>
      </c>
      <c r="AC17" s="2">
        <f t="shared" si="5"/>
        <v>-3.0142830201046055E-10</v>
      </c>
      <c r="AD17" s="2">
        <f t="shared" si="6"/>
        <v>1.220703125E-4</v>
      </c>
      <c r="AF17" s="2">
        <v>13</v>
      </c>
      <c r="AG17" s="2">
        <f t="shared" si="13"/>
        <v>2035.400390625</v>
      </c>
      <c r="AH17" s="2">
        <v>-1.1079535658996065</v>
      </c>
      <c r="AI17" s="2">
        <f t="shared" si="14"/>
        <v>2037.7197265625</v>
      </c>
      <c r="AJ17" s="2">
        <v>0.17859789618682953</v>
      </c>
      <c r="AK17" s="2">
        <f t="shared" si="9"/>
        <v>2036.56005859375</v>
      </c>
      <c r="AL17" s="2">
        <v>-0.4646465440018801</v>
      </c>
      <c r="AM17" s="2">
        <f t="shared" si="10"/>
        <v>0.51480679530981144</v>
      </c>
      <c r="AN17" s="2">
        <f t="shared" si="11"/>
        <v>-8.2984895229216898E-2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5022.1945301281276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130.35298725754339</v>
      </c>
      <c r="L18" s="6" t="s">
        <v>7</v>
      </c>
      <c r="N18" s="6" t="s">
        <v>19</v>
      </c>
      <c r="O18" s="6">
        <f xml:space="preserve"> O13 / $C$18</f>
        <v>5022.1945301281276</v>
      </c>
      <c r="P18" s="6" t="s">
        <v>20</v>
      </c>
      <c r="U18" s="2">
        <v>14</v>
      </c>
      <c r="V18" s="2">
        <f t="shared" si="7"/>
        <v>5.364990234375E-2</v>
      </c>
      <c r="W18" s="2">
        <f t="shared" si="0"/>
        <v>5.4071411983228068E-6</v>
      </c>
      <c r="X18" s="2">
        <f t="shared" si="8"/>
        <v>5.37109375E-2</v>
      </c>
      <c r="Y18" s="2">
        <f t="shared" si="1"/>
        <v>-5.5746334514800155E-5</v>
      </c>
      <c r="Z18" s="2">
        <f t="shared" si="3"/>
        <v>5.3680419921875E-2</v>
      </c>
      <c r="AA18" s="2">
        <f t="shared" si="2"/>
        <v>-2.5169580630486632E-5</v>
      </c>
      <c r="AB18" s="2">
        <f t="shared" si="4"/>
        <v>-1.36095476371612E-10</v>
      </c>
      <c r="AC18" s="2">
        <f t="shared" si="5"/>
        <v>1.4031118614243423E-9</v>
      </c>
      <c r="AD18" s="2">
        <f t="shared" si="6"/>
        <v>6.103515625E-5</v>
      </c>
      <c r="AF18" s="2">
        <v>14</v>
      </c>
      <c r="AG18" s="2">
        <f t="shared" si="13"/>
        <v>2036.56005859375</v>
      </c>
      <c r="AH18" s="2">
        <v>-0.4646465440018801</v>
      </c>
      <c r="AI18" s="2">
        <f t="shared" si="14"/>
        <v>2037.7197265625</v>
      </c>
      <c r="AJ18" s="2">
        <v>0.17859789618682953</v>
      </c>
      <c r="AK18" s="2">
        <f t="shared" si="9"/>
        <v>2037.139892578125</v>
      </c>
      <c r="AL18" s="2">
        <v>-0.14302101529597167</v>
      </c>
      <c r="AM18" s="2">
        <f t="shared" si="10"/>
        <v>6.6454220476913267E-2</v>
      </c>
      <c r="AN18" s="2">
        <f t="shared" si="11"/>
        <v>-2.5543252442364904E-2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60.257184300056025</v>
      </c>
      <c r="H19" s="6" t="s">
        <v>101</v>
      </c>
      <c r="J19" s="14" t="s">
        <v>61</v>
      </c>
      <c r="K19" s="6">
        <f xml:space="preserve"> $C$55 * C31 * $C$5</f>
        <v>22.818858338878563</v>
      </c>
      <c r="L19" s="6" t="s">
        <v>7</v>
      </c>
      <c r="N19" s="6" t="s">
        <v>26</v>
      </c>
      <c r="O19" s="6">
        <f>$C$7*2*PI()/60</f>
        <v>46.491122521691018</v>
      </c>
      <c r="P19" s="6" t="s">
        <v>27</v>
      </c>
      <c r="U19" s="2">
        <v>15</v>
      </c>
      <c r="V19" s="2">
        <f t="shared" si="7"/>
        <v>5.364990234375E-2</v>
      </c>
      <c r="W19" s="2">
        <f t="shared" si="0"/>
        <v>5.4071411983228068E-6</v>
      </c>
      <c r="X19" s="2">
        <f t="shared" si="8"/>
        <v>5.3680419921875E-2</v>
      </c>
      <c r="Y19" s="2">
        <f t="shared" si="1"/>
        <v>-2.5169580630486632E-5</v>
      </c>
      <c r="Z19" s="2">
        <f t="shared" si="3"/>
        <v>5.36651611328125E-2</v>
      </c>
      <c r="AA19" s="2">
        <f t="shared" si="2"/>
        <v>-9.8812157089817054E-6</v>
      </c>
      <c r="AB19" s="2">
        <f t="shared" si="4"/>
        <v>-5.3429128549549483E-11</v>
      </c>
      <c r="AC19" s="2">
        <f t="shared" si="5"/>
        <v>2.4870605551444618E-10</v>
      </c>
      <c r="AD19" s="2">
        <f t="shared" si="6"/>
        <v>3.0517578125E-5</v>
      </c>
      <c r="AF19" s="2">
        <v>15</v>
      </c>
      <c r="AG19" s="2">
        <f t="shared" si="13"/>
        <v>2037.139892578125</v>
      </c>
      <c r="AH19" s="2">
        <v>-0.14302101529597167</v>
      </c>
      <c r="AI19" s="2">
        <f t="shared" si="14"/>
        <v>2037.7197265625</v>
      </c>
      <c r="AJ19" s="2">
        <v>0.17859789618682953</v>
      </c>
      <c r="AK19" s="2">
        <f t="shared" si="9"/>
        <v>2037.4298095703125</v>
      </c>
      <c r="AL19" s="2">
        <v>1.7783597371590076E-2</v>
      </c>
      <c r="AM19" s="2">
        <f t="shared" si="10"/>
        <v>-2.543428151699586E-3</v>
      </c>
      <c r="AN19" s="2">
        <f t="shared" si="11"/>
        <v>3.176113077199619E-3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8.5042121457864859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0.42599736342543854</v>
      </c>
      <c r="U20" s="2">
        <v>16</v>
      </c>
      <c r="V20" s="2">
        <f t="shared" si="7"/>
        <v>5.364990234375E-2</v>
      </c>
      <c r="W20" s="2">
        <f t="shared" si="0"/>
        <v>5.4071411983228068E-6</v>
      </c>
      <c r="X20" s="2">
        <f t="shared" si="8"/>
        <v>5.36651611328125E-2</v>
      </c>
      <c r="Y20" s="2">
        <f t="shared" si="1"/>
        <v>-9.8812157089817054E-6</v>
      </c>
      <c r="Z20" s="2">
        <f t="shared" si="3"/>
        <v>5.365753173828125E-2</v>
      </c>
      <c r="AA20" s="2">
        <f t="shared" si="2"/>
        <v>-2.2370362535370503E-6</v>
      </c>
      <c r="AB20" s="2">
        <f t="shared" si="4"/>
        <v>-1.2095970888641889E-11</v>
      </c>
      <c r="AC20" s="2">
        <f t="shared" si="5"/>
        <v>2.2104637770011884E-11</v>
      </c>
      <c r="AD20" s="2">
        <f t="shared" si="6"/>
        <v>1.52587890625E-5</v>
      </c>
      <c r="AF20" s="2">
        <v>16</v>
      </c>
      <c r="AG20" s="2">
        <f t="shared" si="13"/>
        <v>2037.139892578125</v>
      </c>
      <c r="AH20" s="2">
        <v>-0.14302101529597167</v>
      </c>
      <c r="AI20" s="2">
        <f t="shared" si="14"/>
        <v>2037.4298095703125</v>
      </c>
      <c r="AJ20" s="2">
        <v>1.7783597371590076E-2</v>
      </c>
      <c r="AK20" s="2">
        <f t="shared" si="9"/>
        <v>2037.2848510742188</v>
      </c>
      <c r="AL20" s="2">
        <v>-6.2619919735880103E-2</v>
      </c>
      <c r="AM20" s="2">
        <f t="shared" si="10"/>
        <v>8.9559644983778254E-3</v>
      </c>
      <c r="AN20" s="2">
        <f t="shared" si="11"/>
        <v>-1.113607440024179E-3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9.3108955722376222E-2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5.7170739619355985E-3</v>
      </c>
      <c r="U21" s="2">
        <v>17</v>
      </c>
      <c r="V21" s="2">
        <f t="shared" si="7"/>
        <v>5.364990234375E-2</v>
      </c>
      <c r="W21" s="2">
        <f t="shared" si="0"/>
        <v>5.4071411983228068E-6</v>
      </c>
      <c r="X21" s="2">
        <f t="shared" si="8"/>
        <v>5.365753173828125E-2</v>
      </c>
      <c r="Y21" s="2">
        <f t="shared" si="1"/>
        <v>-2.2370362535370503E-6</v>
      </c>
      <c r="Z21" s="2">
        <f t="shared" si="3"/>
        <v>5.3653717041015625E-2</v>
      </c>
      <c r="AA21" s="2">
        <f t="shared" si="2"/>
        <v>1.5850527228453148E-6</v>
      </c>
      <c r="AB21" s="2">
        <f t="shared" si="4"/>
        <v>8.570603879210643E-12</v>
      </c>
      <c r="AC21" s="2">
        <f t="shared" si="5"/>
        <v>-3.5458204047725835E-12</v>
      </c>
      <c r="AD21" s="2">
        <f t="shared" si="6"/>
        <v>7.62939453125E-6</v>
      </c>
      <c r="AF21" s="2">
        <v>17</v>
      </c>
      <c r="AG21" s="2">
        <f t="shared" si="13"/>
        <v>2037.2848510742188</v>
      </c>
      <c r="AH21" s="2">
        <v>-6.2619919735880103E-2</v>
      </c>
      <c r="AI21" s="2">
        <f t="shared" si="14"/>
        <v>2037.4298095703125</v>
      </c>
      <c r="AJ21" s="2">
        <v>1.7783597371590076E-2</v>
      </c>
      <c r="AK21" s="2">
        <f t="shared" si="9"/>
        <v>2037.3573303222656</v>
      </c>
      <c r="AL21" s="2">
        <v>-2.2413925898263187E-2</v>
      </c>
      <c r="AM21" s="2">
        <f t="shared" si="10"/>
        <v>1.4035582407152052E-3</v>
      </c>
      <c r="AN21" s="2">
        <f t="shared" si="11"/>
        <v>-3.9860023369136795E-4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241.0287372002241</v>
      </c>
      <c r="H22" s="25" t="s">
        <v>101</v>
      </c>
      <c r="J22" s="14" t="s">
        <v>112</v>
      </c>
      <c r="K22" s="6">
        <f>$C$55*(0.14*$G$12*1000/745.7)*0.453592</f>
        <v>17.380910183083763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5.3653717041015625E-2</v>
      </c>
      <c r="W22" s="2">
        <f t="shared" si="0"/>
        <v>1.5850527228453148E-6</v>
      </c>
      <c r="X22" s="2">
        <f t="shared" si="8"/>
        <v>5.365753173828125E-2</v>
      </c>
      <c r="Y22" s="2">
        <f t="shared" si="1"/>
        <v>-2.2370362535370503E-6</v>
      </c>
      <c r="Z22" s="2">
        <f t="shared" si="3"/>
        <v>5.3655624389648438E-2</v>
      </c>
      <c r="AA22" s="2">
        <f t="shared" si="2"/>
        <v>-3.2599170272928912E-7</v>
      </c>
      <c r="AB22" s="2">
        <f t="shared" si="4"/>
        <v>-5.167140360360402E-13</v>
      </c>
      <c r="AC22" s="2">
        <f t="shared" si="5"/>
        <v>7.2925525735769274E-13</v>
      </c>
      <c r="AD22" s="2">
        <f t="shared" si="6"/>
        <v>3.814697265625E-6</v>
      </c>
      <c r="AF22" s="2">
        <v>18</v>
      </c>
      <c r="AG22" s="2">
        <f t="shared" si="13"/>
        <v>2037.3573303222656</v>
      </c>
      <c r="AH22" s="2">
        <v>-2.2413925898263187E-2</v>
      </c>
      <c r="AI22" s="2">
        <f t="shared" si="14"/>
        <v>2037.4298095703125</v>
      </c>
      <c r="AJ22" s="2">
        <v>1.7783597371590076E-2</v>
      </c>
      <c r="AK22" s="2">
        <f t="shared" si="9"/>
        <v>2037.3935699462891</v>
      </c>
      <c r="AL22" s="2">
        <v>-2.3152398960064602E-3</v>
      </c>
      <c r="AM22" s="2">
        <f t="shared" si="10"/>
        <v>5.1893615465791368E-5</v>
      </c>
      <c r="AN22" s="2">
        <f t="shared" si="11"/>
        <v>-4.1173294129220966E-5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43.681814534424674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17311.395919760231</v>
      </c>
      <c r="P23" s="6" t="s">
        <v>18</v>
      </c>
      <c r="U23" s="2">
        <v>19</v>
      </c>
      <c r="V23" s="2">
        <f t="shared" si="7"/>
        <v>5.3653717041015625E-2</v>
      </c>
      <c r="W23" s="2">
        <f t="shared" si="0"/>
        <v>1.5850527228453148E-6</v>
      </c>
      <c r="X23" s="2">
        <f t="shared" si="8"/>
        <v>5.3655624389648438E-2</v>
      </c>
      <c r="Y23" s="2">
        <f t="shared" si="1"/>
        <v>-3.2599170272928912E-7</v>
      </c>
      <c r="Z23" s="2">
        <f t="shared" si="3"/>
        <v>5.3654670715332031E-2</v>
      </c>
      <c r="AA23" s="2">
        <f t="shared" si="2"/>
        <v>6.2953052570868806E-7</v>
      </c>
      <c r="AB23" s="2">
        <f t="shared" si="4"/>
        <v>9.9783907388879855E-13</v>
      </c>
      <c r="AC23" s="2">
        <f t="shared" si="5"/>
        <v>-2.0522172799583974E-13</v>
      </c>
      <c r="AD23" s="2">
        <f t="shared" si="6"/>
        <v>1.9073486328125E-6</v>
      </c>
      <c r="AF23" s="2">
        <v>19</v>
      </c>
      <c r="AG23" s="2">
        <f t="shared" si="13"/>
        <v>2037.3935699462891</v>
      </c>
      <c r="AH23" s="2">
        <v>-2.3152398960064602E-3</v>
      </c>
      <c r="AI23" s="2">
        <f t="shared" si="14"/>
        <v>2037.4298095703125</v>
      </c>
      <c r="AJ23" s="2">
        <v>1.7783597371590076E-2</v>
      </c>
      <c r="AK23" s="2">
        <f t="shared" si="9"/>
        <v>2037.4116897583008</v>
      </c>
      <c r="AL23" s="2">
        <v>7.7386979260154476E-3</v>
      </c>
      <c r="AM23" s="2">
        <f t="shared" si="10"/>
        <v>-1.7916942181453413E-5</v>
      </c>
      <c r="AN23" s="2">
        <f t="shared" si="11"/>
        <v>1.3762188809661788E-4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 xml:space="preserve"> $C$56 * (11.5 * ($C$5*2.20462/1000)^0.4 * 0.453592)</f>
        <v>7.6105679289750388</v>
      </c>
      <c r="L24" s="6" t="s">
        <v>7</v>
      </c>
      <c r="N24" s="6" t="s">
        <v>31</v>
      </c>
      <c r="O24" s="18">
        <f>Z34</f>
        <v>5.3655298892408609E-2</v>
      </c>
      <c r="U24" s="2">
        <v>20</v>
      </c>
      <c r="V24" s="2">
        <f t="shared" si="7"/>
        <v>5.3654670715332031E-2</v>
      </c>
      <c r="W24" s="2">
        <f t="shared" si="0"/>
        <v>6.2953052570868806E-7</v>
      </c>
      <c r="X24" s="2">
        <f t="shared" si="8"/>
        <v>5.3655624389648438E-2</v>
      </c>
      <c r="Y24" s="2">
        <f t="shared" si="1"/>
        <v>-3.2599170272928912E-7</v>
      </c>
      <c r="Z24" s="2">
        <f t="shared" si="3"/>
        <v>5.3655147552490234E-2</v>
      </c>
      <c r="AA24" s="2">
        <f t="shared" si="2"/>
        <v>1.5176941540323563E-7</v>
      </c>
      <c r="AB24" s="2">
        <f t="shared" si="4"/>
        <v>9.554347986529918E-14</v>
      </c>
      <c r="AC24" s="2">
        <f t="shared" si="5"/>
        <v>-4.9475570149529585E-14</v>
      </c>
      <c r="AD24" s="2">
        <f t="shared" si="6"/>
        <v>9.5367431640625E-7</v>
      </c>
      <c r="AF24" s="2">
        <v>20</v>
      </c>
      <c r="AG24" s="2">
        <f t="shared" si="13"/>
        <v>2037.3935699462891</v>
      </c>
      <c r="AH24" s="2">
        <v>-2.3152398960064602E-3</v>
      </c>
      <c r="AI24" s="2">
        <f t="shared" si="14"/>
        <v>2037.4116897583008</v>
      </c>
      <c r="AJ24" s="2">
        <v>7.7386979260154476E-3</v>
      </c>
      <c r="AK24" s="2">
        <f t="shared" si="9"/>
        <v>2037.4026298522949</v>
      </c>
      <c r="AL24" s="2">
        <v>2.7162623543972586E-3</v>
      </c>
      <c r="AM24" s="2">
        <f t="shared" si="10"/>
        <v>-6.2887989709209714E-6</v>
      </c>
      <c r="AN24" s="2">
        <f t="shared" si="11"/>
        <v>2.1020333848487902E-5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13.03934762221632</v>
      </c>
      <c r="L25" s="6" t="s">
        <v>7</v>
      </c>
      <c r="N25" s="6" t="s">
        <v>32</v>
      </c>
      <c r="O25" s="6">
        <f xml:space="preserve"> O19 * $C$9 * O24 - $C$8 * SIN(O17/180*PI())</f>
        <v>1.0416524289108171</v>
      </c>
      <c r="P25" s="6" t="s">
        <v>10</v>
      </c>
      <c r="U25" s="2">
        <v>21</v>
      </c>
      <c r="V25" s="2">
        <f t="shared" si="7"/>
        <v>5.3655147552490234E-2</v>
      </c>
      <c r="W25" s="2">
        <f t="shared" si="0"/>
        <v>1.5176941540323563E-7</v>
      </c>
      <c r="X25" s="2">
        <f t="shared" si="8"/>
        <v>5.3655624389648438E-2</v>
      </c>
      <c r="Y25" s="2">
        <f t="shared" si="1"/>
        <v>-3.2599170272928912E-7</v>
      </c>
      <c r="Z25" s="2">
        <f t="shared" si="3"/>
        <v>5.3655385971069336E-2</v>
      </c>
      <c r="AA25" s="2">
        <f t="shared" si="2"/>
        <v>-8.7111142688112153E-8</v>
      </c>
      <c r="AB25" s="2">
        <f t="shared" si="4"/>
        <v>-1.3220807200882626E-14</v>
      </c>
      <c r="AC25" s="2">
        <f t="shared" si="5"/>
        <v>2.8397509731591744E-14</v>
      </c>
      <c r="AD25" s="2">
        <f t="shared" si="6"/>
        <v>4.76837158203125E-7</v>
      </c>
      <c r="AF25" s="2">
        <v>21</v>
      </c>
      <c r="AG25" s="2">
        <f t="shared" si="13"/>
        <v>2037.3935699462891</v>
      </c>
      <c r="AH25" s="2">
        <v>-2.3152398960064602E-3</v>
      </c>
      <c r="AI25" s="2">
        <f t="shared" si="14"/>
        <v>2037.4026298522949</v>
      </c>
      <c r="AJ25" s="2">
        <v>2.7162623543972586E-3</v>
      </c>
      <c r="AK25" s="2">
        <f t="shared" si="9"/>
        <v>2037.398099899292</v>
      </c>
      <c r="AL25" s="2">
        <v>1.9597197297116509E-4</v>
      </c>
      <c r="AM25" s="2">
        <f t="shared" si="10"/>
        <v>-4.5372213032194109E-7</v>
      </c>
      <c r="AN25" s="2">
        <f t="shared" si="11"/>
        <v>5.3231129269853278E-7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33.253031816714206</v>
      </c>
      <c r="L26" s="6" t="s">
        <v>7</v>
      </c>
      <c r="N26" s="6" t="s">
        <v>33</v>
      </c>
      <c r="O26" s="6">
        <f xml:space="preserve"> 1/$C$21 - O23 * SQRT( (2*$C$47*PI()*$C$9^2) / O18^3 )</f>
        <v>0.92127097871725216</v>
      </c>
      <c r="U26" s="2">
        <v>22</v>
      </c>
      <c r="V26" s="2">
        <f t="shared" si="7"/>
        <v>5.3655147552490234E-2</v>
      </c>
      <c r="W26" s="2">
        <f t="shared" si="0"/>
        <v>1.5176941540323563E-7</v>
      </c>
      <c r="X26" s="2">
        <f t="shared" si="8"/>
        <v>5.3655385971069336E-2</v>
      </c>
      <c r="Y26" s="2">
        <f t="shared" si="1"/>
        <v>-8.7111142688112153E-8</v>
      </c>
      <c r="Z26" s="2">
        <f t="shared" si="3"/>
        <v>5.3655266761779785E-2</v>
      </c>
      <c r="AA26" s="2">
        <f t="shared" si="2"/>
        <v>3.2329136603892472E-8</v>
      </c>
      <c r="AB26" s="2">
        <f t="shared" si="4"/>
        <v>4.9065741628641067E-15</v>
      </c>
      <c r="AC26" s="2">
        <f t="shared" si="5"/>
        <v>-2.8162280316851465E-15</v>
      </c>
      <c r="AD26" s="2">
        <f t="shared" si="6"/>
        <v>2.384185791015625E-7</v>
      </c>
      <c r="AF26" s="2">
        <v>22</v>
      </c>
      <c r="AG26" s="2">
        <f t="shared" si="13"/>
        <v>2037.3935699462891</v>
      </c>
      <c r="AH26" s="2">
        <v>-2.3152398960064602E-3</v>
      </c>
      <c r="AI26" s="2">
        <f t="shared" si="14"/>
        <v>2037.398099899292</v>
      </c>
      <c r="AJ26" s="2">
        <v>1.9597197297116509E-4</v>
      </c>
      <c r="AK26" s="2">
        <f t="shared" si="9"/>
        <v>2037.3958349227905</v>
      </c>
      <c r="AL26" s="2">
        <v>-1.0550961944773007E-3</v>
      </c>
      <c r="AM26" s="2">
        <f t="shared" si="10"/>
        <v>2.4428008035784377E-6</v>
      </c>
      <c r="AN26" s="2">
        <f t="shared" si="11"/>
        <v>-2.0676928290608473E-7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1.8185418753091653E-4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5.3655266761779785E-2</v>
      </c>
      <c r="W27" s="2">
        <f t="shared" si="0"/>
        <v>3.2329136603892472E-8</v>
      </c>
      <c r="X27" s="2">
        <f t="shared" si="8"/>
        <v>5.3655385971069336E-2</v>
      </c>
      <c r="Y27" s="2">
        <f t="shared" si="1"/>
        <v>-8.7111142688112153E-8</v>
      </c>
      <c r="Z27" s="2">
        <f t="shared" si="3"/>
        <v>5.3655326366424561E-2</v>
      </c>
      <c r="AA27" s="2">
        <f t="shared" si="2"/>
        <v>-2.7391002979659795E-8</v>
      </c>
      <c r="AB27" s="2">
        <f t="shared" si="4"/>
        <v>-8.8552747704704728E-16</v>
      </c>
      <c r="AC27" s="2">
        <f t="shared" si="5"/>
        <v>2.3860615689316497E-15</v>
      </c>
      <c r="AD27" s="2">
        <f t="shared" si="6"/>
        <v>1.1920928955078125E-7</v>
      </c>
      <c r="AF27" s="2">
        <v>23</v>
      </c>
      <c r="AG27" s="2">
        <f t="shared" si="13"/>
        <v>2037.3958349227905</v>
      </c>
      <c r="AH27" s="2">
        <v>-1.0550961944773007E-3</v>
      </c>
      <c r="AI27" s="2">
        <f t="shared" si="14"/>
        <v>2037.398099899292</v>
      </c>
      <c r="AJ27" s="2">
        <v>1.9597197297116509E-4</v>
      </c>
      <c r="AK27" s="2">
        <f t="shared" si="9"/>
        <v>2037.3969674110413</v>
      </c>
      <c r="AL27" s="2">
        <v>-4.2956218385370448E-4</v>
      </c>
      <c r="AM27" s="2">
        <f t="shared" si="10"/>
        <v>4.5322942547540219E-7</v>
      </c>
      <c r="AN27" s="2">
        <f t="shared" si="11"/>
        <v>-8.4182148683612829E-8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4992.3847997581015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1.1500348801984739</v>
      </c>
      <c r="U28" s="2">
        <v>24</v>
      </c>
      <c r="V28" s="2">
        <f t="shared" si="7"/>
        <v>5.3655266761779785E-2</v>
      </c>
      <c r="W28" s="2">
        <f t="shared" si="0"/>
        <v>3.2329136603892472E-8</v>
      </c>
      <c r="X28" s="2">
        <f t="shared" si="8"/>
        <v>5.3655326366424561E-2</v>
      </c>
      <c r="Y28" s="2">
        <f t="shared" si="1"/>
        <v>-2.7391002979659795E-8</v>
      </c>
      <c r="Z28" s="2">
        <f t="shared" si="3"/>
        <v>5.3655296564102173E-2</v>
      </c>
      <c r="AA28" s="2">
        <f t="shared" si="2"/>
        <v>2.4690668259941262E-9</v>
      </c>
      <c r="AB28" s="2">
        <f t="shared" si="4"/>
        <v>7.9822798701703307E-17</v>
      </c>
      <c r="AC28" s="2">
        <f t="shared" si="5"/>
        <v>-6.7630216787784265E-17</v>
      </c>
      <c r="AD28" s="2">
        <f t="shared" si="6"/>
        <v>5.9604644775390625E-8</v>
      </c>
      <c r="AF28" s="2">
        <v>24</v>
      </c>
      <c r="AG28" s="2">
        <f t="shared" si="13"/>
        <v>2037.3969674110413</v>
      </c>
      <c r="AH28" s="2">
        <v>-4.2956218385370448E-4</v>
      </c>
      <c r="AI28" s="2">
        <f t="shared" si="14"/>
        <v>2037.398099899292</v>
      </c>
      <c r="AJ28" s="2">
        <v>1.9597197297116509E-4</v>
      </c>
      <c r="AK28" s="2">
        <f t="shared" si="9"/>
        <v>2037.3975336551666</v>
      </c>
      <c r="AL28" s="2">
        <v>-1.1225705770812056E-4</v>
      </c>
      <c r="AM28" s="2">
        <f t="shared" si="10"/>
        <v>4.8221386862091594E-8</v>
      </c>
      <c r="AN28" s="2">
        <f t="shared" si="11"/>
        <v>-2.1999237078998319E-8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54.677850893496775</v>
      </c>
      <c r="H29" t="s">
        <v>18</v>
      </c>
      <c r="U29" s="2">
        <v>25</v>
      </c>
      <c r="V29" s="2">
        <f t="shared" si="7"/>
        <v>5.3655296564102173E-2</v>
      </c>
      <c r="W29" s="2">
        <f t="shared" si="0"/>
        <v>2.4690668259941262E-9</v>
      </c>
      <c r="X29" s="2">
        <f t="shared" si="8"/>
        <v>5.3655326366424561E-2</v>
      </c>
      <c r="Y29" s="2">
        <f t="shared" si="1"/>
        <v>-2.7391002979659795E-8</v>
      </c>
      <c r="Z29" s="2">
        <f t="shared" si="3"/>
        <v>5.3655311465263367E-2</v>
      </c>
      <c r="AA29" s="2">
        <f t="shared" si="2"/>
        <v>-1.2460968076832835E-8</v>
      </c>
      <c r="AB29" s="2">
        <f t="shared" si="4"/>
        <v>-3.0766962898279777E-17</v>
      </c>
      <c r="AC29" s="2">
        <f t="shared" si="5"/>
        <v>3.4131841372197378E-16</v>
      </c>
      <c r="AD29" s="2">
        <f t="shared" si="6"/>
        <v>2.9802322387695312E-8</v>
      </c>
      <c r="AF29" s="2">
        <v>25</v>
      </c>
      <c r="AG29" s="2">
        <f t="shared" si="13"/>
        <v>2037.3975336551666</v>
      </c>
      <c r="AH29" s="2">
        <v>-1.1225705770812056E-4</v>
      </c>
      <c r="AI29" s="2">
        <f t="shared" si="14"/>
        <v>2037.398099899292</v>
      </c>
      <c r="AJ29" s="2">
        <v>1.9597197297116509E-4</v>
      </c>
      <c r="AK29" s="2">
        <f t="shared" si="9"/>
        <v>2037.3978167772293</v>
      </c>
      <c r="AL29" s="2">
        <v>4.1857454107230296E-5</v>
      </c>
      <c r="AM29" s="2">
        <f t="shared" si="10"/>
        <v>-4.6987946412303588E-9</v>
      </c>
      <c r="AN29" s="2">
        <f t="shared" si="11"/>
        <v>8.2028878649439183E-9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9.3154633580049051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5.3655296564102173E-2</v>
      </c>
      <c r="W30" s="2">
        <f t="shared" si="0"/>
        <v>2.4690668259941262E-9</v>
      </c>
      <c r="X30" s="2">
        <f t="shared" si="8"/>
        <v>5.3655311465263367E-2</v>
      </c>
      <c r="Y30" s="2">
        <f t="shared" si="1"/>
        <v>-1.2460968076832835E-8</v>
      </c>
      <c r="Z30" s="2">
        <f t="shared" si="3"/>
        <v>5.365530401468277E-2</v>
      </c>
      <c r="AA30" s="2">
        <f t="shared" si="2"/>
        <v>-4.9959506254193542E-9</v>
      </c>
      <c r="AB30" s="2">
        <f t="shared" si="4"/>
        <v>-1.2335335953527534E-17</v>
      </c>
      <c r="AC30" s="2">
        <f t="shared" si="5"/>
        <v>6.2254381256783613E-17</v>
      </c>
      <c r="AD30" s="2">
        <f t="shared" si="6"/>
        <v>1.4901161193847656E-8</v>
      </c>
      <c r="AF30" s="2">
        <v>26</v>
      </c>
      <c r="AG30" s="2">
        <f t="shared" si="13"/>
        <v>2037.3975336551666</v>
      </c>
      <c r="AH30" s="2">
        <v>-1.1225705770812056E-4</v>
      </c>
      <c r="AI30" s="2">
        <f t="shared" si="14"/>
        <v>2037.3978167772293</v>
      </c>
      <c r="AJ30" s="2">
        <v>4.1857454107230296E-5</v>
      </c>
      <c r="AK30" s="2">
        <f t="shared" si="9"/>
        <v>2037.397675216198</v>
      </c>
      <c r="AL30" s="2">
        <v>-3.5199803505747695E-5</v>
      </c>
      <c r="AM30" s="2">
        <f t="shared" si="10"/>
        <v>3.951426373459223E-9</v>
      </c>
      <c r="AN30" s="2">
        <f t="shared" si="11"/>
        <v>-1.4733741598253584E-9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218.7114035739871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5.3655296564102173E-2</v>
      </c>
      <c r="W31" s="2">
        <f t="shared" si="0"/>
        <v>2.4690668259941262E-9</v>
      </c>
      <c r="X31" s="2">
        <f t="shared" si="8"/>
        <v>5.365530401468277E-2</v>
      </c>
      <c r="Y31" s="2">
        <f t="shared" si="1"/>
        <v>-4.9959506254193542E-9</v>
      </c>
      <c r="Z31" s="2">
        <f t="shared" si="3"/>
        <v>5.3655300289392471E-2</v>
      </c>
      <c r="AA31" s="2">
        <f t="shared" si="2"/>
        <v>-1.263441899712614E-9</v>
      </c>
      <c r="AB31" s="2">
        <f t="shared" si="4"/>
        <v>-3.1195224811514129E-18</v>
      </c>
      <c r="AC31" s="2">
        <f t="shared" si="5"/>
        <v>6.3120933490502507E-18</v>
      </c>
      <c r="AD31" s="2">
        <f t="shared" si="6"/>
        <v>7.4505805969238281E-9</v>
      </c>
      <c r="AF31" s="2">
        <v>27</v>
      </c>
      <c r="AG31" s="2">
        <f t="shared" si="13"/>
        <v>2037.397675216198</v>
      </c>
      <c r="AH31" s="2">
        <v>-3.5199803505747695E-5</v>
      </c>
      <c r="AI31" s="2">
        <f t="shared" si="14"/>
        <v>2037.3978167772293</v>
      </c>
      <c r="AJ31" s="2">
        <v>4.1857454107230296E-5</v>
      </c>
      <c r="AK31" s="2">
        <f t="shared" si="9"/>
        <v>2037.3977459967136</v>
      </c>
      <c r="AL31" s="2">
        <v>3.3288254144281382E-6</v>
      </c>
      <c r="AM31" s="2">
        <f t="shared" si="10"/>
        <v>-1.171740004928096E-10</v>
      </c>
      <c r="AN31" s="2">
        <f t="shared" si="11"/>
        <v>1.3933615701540767E-10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725.77</v>
      </c>
      <c r="L32" s="6" t="s">
        <v>7</v>
      </c>
      <c r="U32" s="2">
        <v>28</v>
      </c>
      <c r="V32" s="2">
        <f t="shared" si="7"/>
        <v>5.3655296564102173E-2</v>
      </c>
      <c r="W32" s="2">
        <f t="shared" si="0"/>
        <v>2.4690668259941262E-9</v>
      </c>
      <c r="X32" s="2">
        <f t="shared" si="8"/>
        <v>5.3655300289392471E-2</v>
      </c>
      <c r="Y32" s="2">
        <f t="shared" si="1"/>
        <v>-1.263441899712614E-9</v>
      </c>
      <c r="Z32" s="2">
        <f t="shared" si="3"/>
        <v>5.3655298426747322E-2</v>
      </c>
      <c r="AA32" s="2">
        <f t="shared" si="2"/>
        <v>6.0281246661020305E-10</v>
      </c>
      <c r="AB32" s="2">
        <f t="shared" si="4"/>
        <v>1.4883842636029442E-18</v>
      </c>
      <c r="AC32" s="2">
        <f t="shared" si="5"/>
        <v>-7.6161852798444163E-19</v>
      </c>
      <c r="AD32" s="2">
        <f t="shared" si="6"/>
        <v>3.7252902984619141E-9</v>
      </c>
      <c r="AF32" s="2">
        <v>28</v>
      </c>
      <c r="AG32" s="2">
        <f t="shared" si="13"/>
        <v>2037.397675216198</v>
      </c>
      <c r="AH32" s="2">
        <v>-3.5199803505747695E-5</v>
      </c>
      <c r="AI32" s="2">
        <f t="shared" si="14"/>
        <v>2037.3977459967136</v>
      </c>
      <c r="AJ32" s="2">
        <v>3.3288254144281382E-6</v>
      </c>
      <c r="AK32" s="2">
        <f t="shared" si="9"/>
        <v>2037.3977106064558</v>
      </c>
      <c r="AL32" s="2">
        <v>-2.0473554968702956E-5</v>
      </c>
      <c r="AM32" s="2">
        <f t="shared" si="10"/>
        <v>7.2066511196246852E-10</v>
      </c>
      <c r="AN32" s="2">
        <f t="shared" si="11"/>
        <v>-6.8152890103509885E-11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443.49</v>
      </c>
      <c r="L33" s="6" t="s">
        <v>7</v>
      </c>
      <c r="U33" s="2">
        <v>29</v>
      </c>
      <c r="V33" s="2">
        <f t="shared" si="7"/>
        <v>5.3655298426747322E-2</v>
      </c>
      <c r="W33" s="2">
        <f t="shared" si="0"/>
        <v>6.0281246661020305E-10</v>
      </c>
      <c r="X33" s="2">
        <f t="shared" si="8"/>
        <v>5.3655300289392471E-2</v>
      </c>
      <c r="Y33" s="2">
        <f t="shared" si="1"/>
        <v>-1.263441899712614E-9</v>
      </c>
      <c r="Z33" s="2">
        <f t="shared" si="3"/>
        <v>5.3655299358069897E-2</v>
      </c>
      <c r="AA33" s="2">
        <f t="shared" si="2"/>
        <v>-3.3031472002065243E-10</v>
      </c>
      <c r="AB33" s="2">
        <f t="shared" si="4"/>
        <v>-1.9911783113330811E-19</v>
      </c>
      <c r="AC33" s="2">
        <f t="shared" si="5"/>
        <v>4.1733345736593332E-19</v>
      </c>
      <c r="AD33" s="2">
        <f t="shared" si="6"/>
        <v>1.862645149230957E-9</v>
      </c>
      <c r="AF33" s="2">
        <v>29</v>
      </c>
      <c r="AG33" s="2">
        <f t="shared" si="13"/>
        <v>2037.3977106064558</v>
      </c>
      <c r="AH33" s="2">
        <v>-2.0473554968702956E-5</v>
      </c>
      <c r="AI33" s="2">
        <f t="shared" si="14"/>
        <v>2037.3977459967136</v>
      </c>
      <c r="AJ33" s="2">
        <v>3.3288254144281382E-6</v>
      </c>
      <c r="AK33" s="2">
        <f t="shared" si="9"/>
        <v>2037.3977283015847</v>
      </c>
      <c r="AL33" s="2">
        <v>-4.0342988540942315E-6</v>
      </c>
      <c r="AM33" s="2">
        <f t="shared" si="10"/>
        <v>8.2596439349473595E-11</v>
      </c>
      <c r="AN33" s="2">
        <f t="shared" si="11"/>
        <v>-1.3429476554907193E-11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170.55</v>
      </c>
      <c r="L34" s="6" t="s">
        <v>7</v>
      </c>
      <c r="U34" s="2">
        <v>30</v>
      </c>
      <c r="V34" s="2">
        <f t="shared" si="7"/>
        <v>5.3655298426747322E-2</v>
      </c>
      <c r="W34" s="2">
        <f t="shared" si="0"/>
        <v>6.0281246661020305E-10</v>
      </c>
      <c r="X34" s="2">
        <f t="shared" si="8"/>
        <v>5.3655299358069897E-2</v>
      </c>
      <c r="Y34" s="2">
        <f t="shared" si="1"/>
        <v>-3.3031472002065243E-10</v>
      </c>
      <c r="Z34" s="2">
        <f t="shared" si="3"/>
        <v>5.3655298892408609E-2</v>
      </c>
      <c r="AA34" s="2">
        <f t="shared" si="2"/>
        <v>1.3624887329477531E-10</v>
      </c>
      <c r="AB34" s="2">
        <f t="shared" si="4"/>
        <v>8.2132519383684526E-20</v>
      </c>
      <c r="AC34" s="2">
        <f t="shared" si="5"/>
        <v>-4.5005008435493054E-20</v>
      </c>
      <c r="AD34" s="2">
        <f>X34-V34</f>
        <v>9.3132257461547852E-10</v>
      </c>
      <c r="AF34" s="2">
        <v>30</v>
      </c>
      <c r="AG34" s="2">
        <f t="shared" si="13"/>
        <v>2037.3977283015847</v>
      </c>
      <c r="AH34" s="2">
        <v>-4.0342988540942315E-6</v>
      </c>
      <c r="AI34" s="2">
        <f t="shared" si="14"/>
        <v>2037.3977459967136</v>
      </c>
      <c r="AJ34" s="2">
        <v>3.3288254144281382E-6</v>
      </c>
      <c r="AK34" s="2">
        <f t="shared" si="9"/>
        <v>2037.3977371491492</v>
      </c>
      <c r="AL34" s="2">
        <v>-3.5273660614620894E-7</v>
      </c>
      <c r="AM34" s="2">
        <f t="shared" si="10"/>
        <v>1.423044885972739E-12</v>
      </c>
      <c r="AN34" s="2">
        <f t="shared" si="11"/>
        <v>-1.1741985791386289E-12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241.0287372002241</v>
      </c>
      <c r="H35" s="25" t="s">
        <v>101</v>
      </c>
      <c r="J35" s="15" t="s">
        <v>70</v>
      </c>
      <c r="K35" s="6">
        <f>ROUND(SUM(K23:K26),2)</f>
        <v>97.58</v>
      </c>
      <c r="L35" s="6" t="s">
        <v>7</v>
      </c>
      <c r="AF35" s="2">
        <v>31</v>
      </c>
      <c r="AG35" s="2">
        <f t="shared" si="13"/>
        <v>2037.3977371491492</v>
      </c>
      <c r="AH35" s="2">
        <v>-3.5273660614620894E-7</v>
      </c>
      <c r="AI35" s="2">
        <f t="shared" si="14"/>
        <v>2037.3977459967136</v>
      </c>
      <c r="AJ35" s="2">
        <v>3.3288254144281382E-6</v>
      </c>
      <c r="AK35" s="2">
        <f t="shared" si="9"/>
        <v>2037.3977415729314</v>
      </c>
      <c r="AL35" s="2">
        <v>1.4880442904541269E-6</v>
      </c>
      <c r="AM35" s="2">
        <f t="shared" si="10"/>
        <v>-5.248876928100323E-13</v>
      </c>
      <c r="AN35" s="2">
        <f t="shared" si="11"/>
        <v>4.9534396518583838E-12</v>
      </c>
      <c r="AO35" s="2">
        <f t="shared" si="12"/>
        <v>8.8475644588470459E-6</v>
      </c>
    </row>
    <row r="36" spans="2:41" x14ac:dyDescent="0.2">
      <c r="B36" s="6" t="s">
        <v>3</v>
      </c>
      <c r="C36" s="17">
        <v>400</v>
      </c>
      <c r="D36" s="6" t="s">
        <v>4</v>
      </c>
      <c r="J36" s="10" t="s">
        <v>59</v>
      </c>
      <c r="K36" s="10">
        <f>SUM(K31:K35)</f>
        <v>2037.3899999999999</v>
      </c>
      <c r="L36" s="6" t="s">
        <v>7</v>
      </c>
      <c r="AF36" s="2">
        <v>32</v>
      </c>
      <c r="AG36" s="2">
        <f t="shared" si="13"/>
        <v>2037.3977371491492</v>
      </c>
      <c r="AH36" s="2">
        <v>-3.5273660614620894E-7</v>
      </c>
      <c r="AI36" s="2">
        <f t="shared" si="14"/>
        <v>2037.3977415729314</v>
      </c>
      <c r="AJ36" s="2">
        <v>1.4880442904541269E-6</v>
      </c>
      <c r="AK36" s="2">
        <f t="shared" si="9"/>
        <v>2037.3977393610403</v>
      </c>
      <c r="AL36" s="2">
        <v>5.6765338740660809E-7</v>
      </c>
      <c r="AM36" s="2">
        <f t="shared" si="10"/>
        <v>-2.0023212934120608E-13</v>
      </c>
      <c r="AN36" s="2">
        <f t="shared" si="11"/>
        <v>8.4469338208734775E-13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2037.3977371491492</v>
      </c>
      <c r="AH37" s="2">
        <v>-3.5273660614620894E-7</v>
      </c>
      <c r="AI37" s="2">
        <f t="shared" si="14"/>
        <v>2037.3977393610403</v>
      </c>
      <c r="AJ37" s="2">
        <v>5.6765338740660809E-7</v>
      </c>
      <c r="AK37" s="2">
        <f t="shared" si="9"/>
        <v>2037.3977382550947</v>
      </c>
      <c r="AL37" s="2">
        <v>1.074574811354978E-7</v>
      </c>
      <c r="AM37" s="2">
        <f t="shared" si="10"/>
        <v>-3.7904187200755765E-14</v>
      </c>
      <c r="AN37" s="2">
        <f t="shared" si="11"/>
        <v>6.0998603168747014E-14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2037.3977371491492</v>
      </c>
      <c r="AH38" s="2">
        <v>-3.5273660614620894E-7</v>
      </c>
      <c r="AI38" s="2">
        <f t="shared" si="14"/>
        <v>2037.3977382550947</v>
      </c>
      <c r="AJ38" s="2">
        <v>1.074574811354978E-7</v>
      </c>
      <c r="AK38" s="2">
        <f t="shared" si="9"/>
        <v>2037.397737702122</v>
      </c>
      <c r="AL38" s="2">
        <v>-1.2263922144484241E-7</v>
      </c>
      <c r="AM38" s="2">
        <f t="shared" si="10"/>
        <v>4.3259342752867077E-14</v>
      </c>
      <c r="AN38" s="2">
        <f t="shared" si="11"/>
        <v>-1.317850182488129E-14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29.45</v>
      </c>
      <c r="L39" s="6" t="s">
        <v>58</v>
      </c>
      <c r="AF39" s="2">
        <v>35</v>
      </c>
      <c r="AG39" s="2">
        <f t="shared" si="13"/>
        <v>2037.397737702122</v>
      </c>
      <c r="AH39" s="2">
        <v>-1.2263922144484241E-7</v>
      </c>
      <c r="AI39" s="2">
        <f t="shared" si="14"/>
        <v>2037.3977382550947</v>
      </c>
      <c r="AJ39" s="2">
        <v>1.074574811354978E-7</v>
      </c>
      <c r="AK39" s="2">
        <f t="shared" si="9"/>
        <v>2037.3977379786083</v>
      </c>
      <c r="AL39" s="2">
        <v>-7.5906427809968591E-9</v>
      </c>
      <c r="AM39" s="2">
        <f t="shared" si="10"/>
        <v>9.309105209273682E-16</v>
      </c>
      <c r="AN39" s="2">
        <f t="shared" si="11"/>
        <v>-8.1567135344527255E-16</v>
      </c>
      <c r="AO39" s="2">
        <f t="shared" si="12"/>
        <v>5.5297277867794037E-7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35.619999999999997</v>
      </c>
      <c r="L40" s="6" t="s">
        <v>58</v>
      </c>
      <c r="AF40" s="2">
        <v>36</v>
      </c>
      <c r="AG40" s="2">
        <f t="shared" si="13"/>
        <v>2037.3977379786083</v>
      </c>
      <c r="AH40" s="2">
        <v>-7.5906427809968591E-9</v>
      </c>
      <c r="AI40" s="2">
        <f t="shared" si="14"/>
        <v>2037.3977382550947</v>
      </c>
      <c r="AJ40" s="2">
        <v>1.074574811354978E-7</v>
      </c>
      <c r="AK40" s="2">
        <f t="shared" si="9"/>
        <v>2037.3977381168515</v>
      </c>
      <c r="AL40" s="2">
        <v>4.9934214985114522E-8</v>
      </c>
      <c r="AM40" s="2">
        <f t="shared" si="10"/>
        <v>-3.7903278850150473E-16</v>
      </c>
      <c r="AN40" s="2">
        <f t="shared" si="11"/>
        <v>5.3658049647788354E-15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21.77</v>
      </c>
      <c r="L41" s="6" t="s">
        <v>58</v>
      </c>
      <c r="AF41" s="2">
        <v>37</v>
      </c>
      <c r="AG41" s="2">
        <f t="shared" si="13"/>
        <v>2037.3977379786083</v>
      </c>
      <c r="AH41" s="2">
        <v>-7.5906427809968591E-9</v>
      </c>
      <c r="AI41" s="2">
        <f t="shared" si="14"/>
        <v>2037.3977381168515</v>
      </c>
      <c r="AJ41" s="2">
        <v>4.9934214985114522E-8</v>
      </c>
      <c r="AK41" s="2">
        <f t="shared" si="9"/>
        <v>2037.3977380477299</v>
      </c>
      <c r="AL41" s="2">
        <v>2.1171899788896553E-8</v>
      </c>
      <c r="AM41" s="2">
        <f t="shared" si="10"/>
        <v>-1.6070832829257655E-16</v>
      </c>
      <c r="AN41" s="2">
        <f t="shared" si="11"/>
        <v>1.0572021957020613E-15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8.3699999999999992</v>
      </c>
      <c r="L42" s="6" t="s">
        <v>58</v>
      </c>
      <c r="AF42" s="2">
        <v>38</v>
      </c>
      <c r="AG42" s="2">
        <f t="shared" si="13"/>
        <v>2037.3977379786083</v>
      </c>
      <c r="AH42" s="2">
        <v>-7.5906427809968591E-9</v>
      </c>
      <c r="AI42" s="2">
        <f t="shared" si="14"/>
        <v>2037.3977380477299</v>
      </c>
      <c r="AJ42" s="2">
        <v>2.1171899788896553E-8</v>
      </c>
      <c r="AK42" s="2">
        <f t="shared" si="9"/>
        <v>2037.3977380131691</v>
      </c>
      <c r="AL42" s="2">
        <v>6.7905148171121255E-9</v>
      </c>
      <c r="AM42" s="2">
        <f t="shared" si="10"/>
        <v>-5.1544372275764362E-17</v>
      </c>
      <c r="AN42" s="2">
        <f t="shared" si="11"/>
        <v>1.4376809922291513E-16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4.79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2037.3977379786083</v>
      </c>
      <c r="AH43" s="2">
        <v>-7.5906427809968591E-9</v>
      </c>
      <c r="AI43" s="2">
        <f t="shared" si="14"/>
        <v>2037.3977380131691</v>
      </c>
      <c r="AJ43" s="2">
        <v>6.7905148171121255E-9</v>
      </c>
      <c r="AK43" s="2">
        <f t="shared" si="9"/>
        <v>2037.3977379958887</v>
      </c>
      <c r="AL43" s="2">
        <v>-4.0017766878008842E-10</v>
      </c>
      <c r="AM43" s="2">
        <f t="shared" si="10"/>
        <v>3.0376057326417303E-18</v>
      </c>
      <c r="AN43" s="2">
        <f t="shared" si="11"/>
        <v>-2.7174123893285789E-18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2037.3977379958887</v>
      </c>
      <c r="AH44" s="2">
        <v>-4.0017766878008842E-10</v>
      </c>
      <c r="AI44" s="2">
        <f t="shared" si="14"/>
        <v>2037.3977380131691</v>
      </c>
      <c r="AJ44" s="2">
        <v>6.7905148171121255E-9</v>
      </c>
      <c r="AK44" s="5">
        <f>(AG44+AI44)/2</f>
        <v>2037.3977380045289</v>
      </c>
      <c r="AL44" s="2">
        <v>3.1955096346791834E-9</v>
      </c>
      <c r="AM44" s="2">
        <f t="shared" si="10"/>
        <v>-1.2787715961702276E-18</v>
      </c>
      <c r="AN44" s="2">
        <f t="shared" si="11"/>
        <v>2.169915552251355E-17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2030.2213260740223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29.45</v>
      </c>
      <c r="L47" s="6" t="s">
        <v>58</v>
      </c>
      <c r="N47" s="6" t="s">
        <v>154</v>
      </c>
      <c r="O47" s="6">
        <f>0.377*O46^0.6945</f>
        <v>74.718859006713842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35.619999999999997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34.93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J38:L38"/>
    <mergeCell ref="B40:D40"/>
    <mergeCell ref="B46:D46"/>
    <mergeCell ref="J46:L46"/>
    <mergeCell ref="B52:D52"/>
  </mergeCells>
  <conditionalFormatting sqref="K28">
    <cfRule type="containsText" dxfId="17" priority="1" operator="containsText" text="FALSE">
      <formula>NOT(ISERROR(SEARCH("FALSE",K28)))</formula>
    </cfRule>
    <cfRule type="containsText" dxfId="16" priority="2" operator="containsText" text="TRUE">
      <formula>NOT(ISERROR(SEARCH("TRUE",K28)))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NOT(ISERROR(SEARCH("YES",K28)))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D9C9-9102-7F46-A73E-D173F3ABDDC4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343.21196254837105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5.9018571865794574E-2</v>
      </c>
      <c r="X4" s="3">
        <v>1</v>
      </c>
      <c r="Y4" s="2">
        <f t="shared" ref="Y4:Y34" si="1" xml:space="preserve"> $O$20 * TAN($O$17/180*PI()) + $O$21 / (2 * SQRT($O$20^2 + X4^2)) - X4</f>
        <v>-0.94445640687933863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-0.4429917975543089</v>
      </c>
      <c r="AB4" s="2">
        <f>W4*AA4</f>
        <v>-2.6144743239916501E-2</v>
      </c>
      <c r="AC4" s="2">
        <f>Y4*AA4</f>
        <v>0.41838644139516196</v>
      </c>
      <c r="AD4" s="2">
        <f>X4-V4</f>
        <v>1</v>
      </c>
      <c r="AF4" s="2">
        <v>0</v>
      </c>
      <c r="AG4" s="2"/>
      <c r="AH4" s="2">
        <f>K27</f>
        <v>2.0214659020894032E-3</v>
      </c>
      <c r="AI4" s="2"/>
      <c r="AJ4" s="2">
        <f>K27</f>
        <v>2.0214659020894032E-3</v>
      </c>
      <c r="AK4" s="2"/>
      <c r="AL4" s="2">
        <f>K27</f>
        <v>2.0214659020894032E-3</v>
      </c>
      <c r="AM4" s="2"/>
      <c r="AN4" s="2"/>
      <c r="AO4" s="2"/>
    </row>
    <row r="5" spans="2:41" x14ac:dyDescent="0.2">
      <c r="B5" s="10" t="s">
        <v>37</v>
      </c>
      <c r="C5" s="10">
        <v>1727.4178814132199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85.802990637092762</v>
      </c>
      <c r="L5" s="6" t="s">
        <v>101</v>
      </c>
      <c r="N5" s="6" t="s">
        <v>114</v>
      </c>
      <c r="O5" s="6">
        <f xml:space="preserve"> $C$18 * 0.85 * ($C$5/$C$18 *2.20462/1000)^(2/3) * 0.3048^2</f>
        <v>0.30569590238871819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5.9018571865794574E-2</v>
      </c>
      <c r="X5" s="2">
        <f>IF(AC4&gt;0, Z4, X4)</f>
        <v>0.5</v>
      </c>
      <c r="Y5" s="2">
        <f t="shared" si="1"/>
        <v>-0.4429917975543089</v>
      </c>
      <c r="Z5" s="2">
        <f t="shared" ref="Z5:Z34" si="3" xml:space="preserve"> (V5 + X5)/2</f>
        <v>0.25</v>
      </c>
      <c r="AA5" s="2">
        <f t="shared" si="2"/>
        <v>-0.19176892058400144</v>
      </c>
      <c r="AB5" s="2">
        <f t="shared" ref="AB5:AB34" si="4">W5*AA5</f>
        <v>-1.131792782111274E-2</v>
      </c>
      <c r="AC5" s="2">
        <f t="shared" ref="AC5:AC34" si="5">Y5*AA5</f>
        <v>8.4952058844556311E-2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-802.86449535694692</v>
      </c>
      <c r="AI5" s="3">
        <v>10000</v>
      </c>
      <c r="AJ5" s="2">
        <f t="dataTable" ref="AJ5:AJ44" dt2D="0" dtr="0" r1="C5" ca="1"/>
        <v>3716.2301000914213</v>
      </c>
      <c r="AK5" s="2">
        <f>(AG5+AI5)/2</f>
        <v>5250</v>
      </c>
      <c r="AL5" s="2">
        <f t="dataTable" ref="AL5:AL44" dt2D="0" dtr="0" r1="C5" ca="1"/>
        <v>1921.4803353975417</v>
      </c>
      <c r="AM5" s="2">
        <f>AH5*AL5</f>
        <v>-1542688.3398172443</v>
      </c>
      <c r="AN5" s="2">
        <f>AJ5*AL5</f>
        <v>7140663.0591381043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5.9018571865794574E-2</v>
      </c>
      <c r="X6" s="2">
        <f t="shared" ref="X6:X34" si="8">IF(AC5&gt;0, Z5, X5)</f>
        <v>0.25</v>
      </c>
      <c r="Y6" s="2">
        <f t="shared" si="1"/>
        <v>-0.19176892058400144</v>
      </c>
      <c r="Z6" s="2">
        <f t="shared" si="3"/>
        <v>0.125</v>
      </c>
      <c r="AA6" s="2">
        <f t="shared" si="2"/>
        <v>-6.621315908535394E-2</v>
      </c>
      <c r="AB6" s="2">
        <f t="shared" si="4"/>
        <v>-3.9078060879402503E-3</v>
      </c>
      <c r="AC6" s="2">
        <f t="shared" si="5"/>
        <v>1.2697626046255094E-2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-802.86449535694692</v>
      </c>
      <c r="AI6" s="2">
        <f>IF(AN5&gt;0, AK5, AI5)</f>
        <v>5250</v>
      </c>
      <c r="AJ6" s="2">
        <v>1921.4803353975417</v>
      </c>
      <c r="AK6" s="2">
        <f t="shared" ref="AK6:AK43" si="9">(AG6+AI6)/2</f>
        <v>2875</v>
      </c>
      <c r="AL6" s="2">
        <v>688.15768199162608</v>
      </c>
      <c r="AM6" s="2">
        <f t="shared" ref="AM6:AM44" si="10">AH6*AL6</f>
        <v>-552497.37007821328</v>
      </c>
      <c r="AN6" s="2">
        <f t="shared" ref="AN6:AN44" si="11">AJ6*AL6</f>
        <v>1322281.4535996646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443.95751755308402</v>
      </c>
      <c r="D7" s="6" t="s">
        <v>125</v>
      </c>
      <c r="F7" t="s">
        <v>121</v>
      </c>
      <c r="G7" s="8">
        <f>$C$6*2*PI()/60*$C$9</f>
        <v>140.96856795129204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0.93597252572381429</v>
      </c>
      <c r="P7" s="6" t="s">
        <v>115</v>
      </c>
      <c r="U7" s="2">
        <v>3</v>
      </c>
      <c r="V7" s="2">
        <f t="shared" si="7"/>
        <v>0</v>
      </c>
      <c r="W7" s="2">
        <f t="shared" si="0"/>
        <v>5.9018571865794574E-2</v>
      </c>
      <c r="X7" s="2">
        <f t="shared" si="8"/>
        <v>0.125</v>
      </c>
      <c r="Y7" s="2">
        <f t="shared" si="1"/>
        <v>-6.621315908535394E-2</v>
      </c>
      <c r="Z7" s="2">
        <f t="shared" si="3"/>
        <v>6.25E-2</v>
      </c>
      <c r="AA7" s="2">
        <f t="shared" si="2"/>
        <v>-3.5421077966805506E-3</v>
      </c>
      <c r="AB7" s="2">
        <f t="shared" si="4"/>
        <v>-2.0905014355478236E-4</v>
      </c>
      <c r="AC7" s="2">
        <f t="shared" si="5"/>
        <v>2.3453414703908181E-4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-802.86449535694692</v>
      </c>
      <c r="AI7" s="2">
        <f t="shared" ref="AI7:AI44" si="14">IF(AN6&gt;0, AK6, AI6)</f>
        <v>2875</v>
      </c>
      <c r="AJ7" s="2">
        <v>688.15768199162608</v>
      </c>
      <c r="AK7" s="2">
        <f t="shared" si="9"/>
        <v>1687.5</v>
      </c>
      <c r="AL7" s="2">
        <v>-26.310496657770727</v>
      </c>
      <c r="AM7" s="2">
        <f t="shared" si="10"/>
        <v>21123.763621731734</v>
      </c>
      <c r="AN7" s="2">
        <f t="shared" si="11"/>
        <v>-18105.770392059931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0.42216656039580869</v>
      </c>
      <c r="H8" s="6" t="s">
        <v>122</v>
      </c>
      <c r="J8" s="6" t="s">
        <v>96</v>
      </c>
      <c r="K8" s="6">
        <f xml:space="preserve"> $C$15 * (G12*G6 + G22*G15 + G31*G27 +G35*G34)/3600</f>
        <v>184.00540068921231</v>
      </c>
      <c r="L8" s="6" t="s">
        <v>102</v>
      </c>
      <c r="N8" s="6" t="s">
        <v>38</v>
      </c>
      <c r="O8" s="6">
        <f xml:space="preserve"> O4 *O7</f>
        <v>2122.2838063897839</v>
      </c>
      <c r="P8" s="6" t="s">
        <v>20</v>
      </c>
      <c r="U8" s="2">
        <v>4</v>
      </c>
      <c r="V8" s="2">
        <f t="shared" si="7"/>
        <v>0</v>
      </c>
      <c r="W8" s="2">
        <f t="shared" si="0"/>
        <v>5.9018571865794574E-2</v>
      </c>
      <c r="X8" s="2">
        <f t="shared" si="8"/>
        <v>6.25E-2</v>
      </c>
      <c r="Y8" s="2">
        <f t="shared" si="1"/>
        <v>-3.5421077966805506E-3</v>
      </c>
      <c r="Z8" s="2">
        <f t="shared" si="3"/>
        <v>3.125E-2</v>
      </c>
      <c r="AA8" s="2">
        <f t="shared" si="2"/>
        <v>2.7753218782958319E-2</v>
      </c>
      <c r="AB8" s="2">
        <f t="shared" si="4"/>
        <v>1.6379553372491455E-3</v>
      </c>
      <c r="AC8" s="2">
        <f t="shared" si="5"/>
        <v>-9.8304892634097768E-5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-26.310496657770727</v>
      </c>
      <c r="AI8" s="2">
        <f t="shared" si="14"/>
        <v>2875</v>
      </c>
      <c r="AJ8" s="2">
        <v>688.15768199162608</v>
      </c>
      <c r="AK8" s="2">
        <f t="shared" si="9"/>
        <v>2281.25</v>
      </c>
      <c r="AL8" s="2">
        <v>343.17278179847358</v>
      </c>
      <c r="AM8" s="2">
        <f t="shared" si="10"/>
        <v>-9029.046328546623</v>
      </c>
      <c r="AN8" s="2">
        <f t="shared" si="11"/>
        <v>236156.98604505567</v>
      </c>
      <c r="AO8" s="2">
        <f t="shared" si="12"/>
        <v>1187.5</v>
      </c>
    </row>
    <row r="9" spans="2:41" x14ac:dyDescent="0.2">
      <c r="B9" s="6" t="s">
        <v>95</v>
      </c>
      <c r="C9" s="17">
        <v>3.36537666150508</v>
      </c>
      <c r="D9" s="6" t="s">
        <v>8</v>
      </c>
      <c r="F9" t="s">
        <v>19</v>
      </c>
      <c r="G9" s="6">
        <f xml:space="preserve"> $C$5 * $C$44 / $C$18</f>
        <v>4232.8177875668916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2122.2838063897839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2.7753218782958319E-2</v>
      </c>
      <c r="X9" s="2">
        <f t="shared" si="8"/>
        <v>6.25E-2</v>
      </c>
      <c r="Y9" s="2">
        <f t="shared" si="1"/>
        <v>-3.5421077966805506E-3</v>
      </c>
      <c r="Z9" s="2">
        <f t="shared" si="3"/>
        <v>4.6875E-2</v>
      </c>
      <c r="AA9" s="2">
        <f t="shared" si="2"/>
        <v>1.2109200485296505E-2</v>
      </c>
      <c r="AB9" s="2">
        <f t="shared" si="4"/>
        <v>3.3606929035513895E-4</v>
      </c>
      <c r="AC9" s="2">
        <f t="shared" si="5"/>
        <v>-4.2892093450536658E-5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-26.310496657770727</v>
      </c>
      <c r="AI9" s="2">
        <f t="shared" si="14"/>
        <v>2281.25</v>
      </c>
      <c r="AJ9" s="2">
        <v>343.17278179847358</v>
      </c>
      <c r="AK9" s="2">
        <f t="shared" si="9"/>
        <v>1984.375</v>
      </c>
      <c r="AL9" s="2">
        <v>166.10606178075591</v>
      </c>
      <c r="AM9" s="2">
        <f t="shared" si="10"/>
        <v>-4370.332983318036</v>
      </c>
      <c r="AN9" s="2">
        <f t="shared" si="11"/>
        <v>57003.079294891118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50.451956324730943</v>
      </c>
      <c r="H10" s="6" t="s">
        <v>101</v>
      </c>
      <c r="N10" s="6" t="s">
        <v>113</v>
      </c>
      <c r="O10" s="6">
        <f>O7/(0.3048^2)/($C$5*2.20462/1000)^(2/3)</f>
        <v>4.1312271322149909</v>
      </c>
      <c r="U10" s="2">
        <v>6</v>
      </c>
      <c r="V10" s="2">
        <f t="shared" si="7"/>
        <v>4.6875E-2</v>
      </c>
      <c r="W10" s="2">
        <f t="shared" si="0"/>
        <v>1.2109200485296505E-2</v>
      </c>
      <c r="X10" s="2">
        <f t="shared" si="8"/>
        <v>6.25E-2</v>
      </c>
      <c r="Y10" s="2">
        <f t="shared" si="1"/>
        <v>-3.5421077966805506E-3</v>
      </c>
      <c r="Z10" s="2">
        <f t="shared" si="3"/>
        <v>5.46875E-2</v>
      </c>
      <c r="AA10" s="2">
        <f t="shared" si="2"/>
        <v>4.2844403045010013E-3</v>
      </c>
      <c r="AB10" s="2">
        <f t="shared" si="4"/>
        <v>5.188114661448743E-5</v>
      </c>
      <c r="AC10" s="2">
        <f t="shared" si="5"/>
        <v>-1.517594940698539E-5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-26.310496657770727</v>
      </c>
      <c r="AI10" s="2">
        <f t="shared" si="14"/>
        <v>1984.375</v>
      </c>
      <c r="AJ10" s="2">
        <v>166.10606178075591</v>
      </c>
      <c r="AK10" s="2">
        <f t="shared" si="9"/>
        <v>1835.9375</v>
      </c>
      <c r="AL10" s="2">
        <v>71.421144707137501</v>
      </c>
      <c r="AM10" s="2">
        <f t="shared" si="10"/>
        <v>-1879.1257891113007</v>
      </c>
      <c r="AN10" s="2">
        <f t="shared" si="11"/>
        <v>11863.48507517609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8.5597170419656283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5.46875E-2</v>
      </c>
      <c r="W11" s="2">
        <f t="shared" si="0"/>
        <v>4.2844403045010013E-3</v>
      </c>
      <c r="X11" s="2">
        <f t="shared" si="8"/>
        <v>6.25E-2</v>
      </c>
      <c r="Y11" s="2">
        <f t="shared" si="1"/>
        <v>-3.5421077966805506E-3</v>
      </c>
      <c r="Z11" s="2">
        <f t="shared" si="3"/>
        <v>5.859375E-2</v>
      </c>
      <c r="AA11" s="2">
        <f t="shared" si="2"/>
        <v>3.7138731705396721E-4</v>
      </c>
      <c r="AB11" s="2">
        <f t="shared" si="4"/>
        <v>1.5911867897665093E-6</v>
      </c>
      <c r="AC11" s="2">
        <f t="shared" si="5"/>
        <v>-1.3154939113251289E-6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-26.310496657770727</v>
      </c>
      <c r="AI11" s="2">
        <f t="shared" si="14"/>
        <v>1835.9375</v>
      </c>
      <c r="AJ11" s="2">
        <v>71.421144707137501</v>
      </c>
      <c r="AK11" s="2">
        <f t="shared" si="9"/>
        <v>1761.71875</v>
      </c>
      <c r="AL11" s="2">
        <v>22.594754797376481</v>
      </c>
      <c r="AM11" s="2">
        <f t="shared" si="10"/>
        <v>-594.47922057952303</v>
      </c>
      <c r="AN11" s="2">
        <f t="shared" si="11"/>
        <v>1613.743252005715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201.80782529892377</v>
      </c>
      <c r="H12" s="25" t="s">
        <v>101</v>
      </c>
      <c r="J12" s="10" t="s">
        <v>79</v>
      </c>
      <c r="K12" s="6">
        <f>C5</f>
        <v>1727.4178814132199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5.859375E-2</v>
      </c>
      <c r="W12" s="2">
        <f t="shared" si="0"/>
        <v>3.7138731705396721E-4</v>
      </c>
      <c r="X12" s="2">
        <f t="shared" si="8"/>
        <v>6.25E-2</v>
      </c>
      <c r="Y12" s="2">
        <f t="shared" si="1"/>
        <v>-3.5421077966805506E-3</v>
      </c>
      <c r="Z12" s="2">
        <f t="shared" si="3"/>
        <v>6.0546875E-2</v>
      </c>
      <c r="AA12" s="2">
        <f t="shared" si="2"/>
        <v>-1.585305293262021E-3</v>
      </c>
      <c r="AB12" s="2">
        <f t="shared" si="4"/>
        <v>-5.8876227957603465E-7</v>
      </c>
      <c r="AC12" s="2">
        <f t="shared" si="5"/>
        <v>5.6153222393823508E-6</v>
      </c>
      <c r="AD12" s="2">
        <f t="shared" si="6"/>
        <v>3.90625E-3</v>
      </c>
      <c r="AF12" s="2">
        <v>8</v>
      </c>
      <c r="AG12" s="2">
        <f t="shared" si="13"/>
        <v>1687.5</v>
      </c>
      <c r="AH12" s="2">
        <v>-26.310496657770727</v>
      </c>
      <c r="AI12" s="2">
        <f t="shared" si="14"/>
        <v>1761.71875</v>
      </c>
      <c r="AJ12" s="2">
        <v>22.594754797376481</v>
      </c>
      <c r="AK12" s="2">
        <f t="shared" si="9"/>
        <v>1724.609375</v>
      </c>
      <c r="AL12" s="2">
        <v>-1.8485557029607662</v>
      </c>
      <c r="AM12" s="2">
        <f t="shared" si="10"/>
        <v>48.636418644452256</v>
      </c>
      <c r="AN12" s="2">
        <f t="shared" si="11"/>
        <v>-41.767662837690423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491.99304997115593</v>
      </c>
      <c r="L13" s="6" t="s">
        <v>7</v>
      </c>
      <c r="N13" s="6" t="s">
        <v>74</v>
      </c>
      <c r="O13" s="6">
        <f xml:space="preserve"> SQRT( ($C$5*$C$50)^2 + O9^2)</f>
        <v>17062.156765341457</v>
      </c>
      <c r="P13" s="6" t="s">
        <v>20</v>
      </c>
      <c r="U13" s="2">
        <v>9</v>
      </c>
      <c r="V13" s="2">
        <f t="shared" si="7"/>
        <v>5.859375E-2</v>
      </c>
      <c r="W13" s="2">
        <f t="shared" si="0"/>
        <v>3.7138731705396721E-4</v>
      </c>
      <c r="X13" s="2">
        <f t="shared" si="8"/>
        <v>6.0546875E-2</v>
      </c>
      <c r="Y13" s="2">
        <f t="shared" si="1"/>
        <v>-1.585305293262021E-3</v>
      </c>
      <c r="Z13" s="2">
        <f t="shared" si="3"/>
        <v>5.95703125E-2</v>
      </c>
      <c r="AA13" s="2">
        <f t="shared" si="2"/>
        <v>-6.0694521086876452E-4</v>
      </c>
      <c r="AB13" s="2">
        <f t="shared" si="4"/>
        <v>-2.2541175346330482E-7</v>
      </c>
      <c r="AC13" s="2">
        <f t="shared" si="5"/>
        <v>9.6219345551028584E-7</v>
      </c>
      <c r="AD13" s="2">
        <f t="shared" si="6"/>
        <v>1.953125E-3</v>
      </c>
      <c r="AF13" s="2">
        <v>9</v>
      </c>
      <c r="AG13" s="2">
        <f t="shared" si="13"/>
        <v>1724.609375</v>
      </c>
      <c r="AH13" s="2">
        <v>-1.8485557029607662</v>
      </c>
      <c r="AI13" s="2">
        <f t="shared" si="14"/>
        <v>1761.71875</v>
      </c>
      <c r="AJ13" s="2">
        <v>22.594754797376481</v>
      </c>
      <c r="AK13" s="2">
        <f t="shared" si="9"/>
        <v>1743.1640625</v>
      </c>
      <c r="AL13" s="2">
        <v>10.375497760394182</v>
      </c>
      <c r="AM13" s="2">
        <f t="shared" si="10"/>
        <v>-19.179685556033323</v>
      </c>
      <c r="AN13" s="2">
        <f t="shared" si="11"/>
        <v>234.43182779683539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 xml:space="preserve"> $C$54 * $C$18 * (0.0095 * MAX(G9,O18,G28) - 1.9275)</f>
        <v>123.50439141659507</v>
      </c>
      <c r="L14" s="6" t="s">
        <v>7</v>
      </c>
      <c r="N14" s="6" t="s">
        <v>75</v>
      </c>
      <c r="O14" s="6">
        <f>$C$5*$C$50/O13</f>
        <v>0.99223397610633035</v>
      </c>
      <c r="U14" s="2">
        <v>10</v>
      </c>
      <c r="V14" s="2">
        <f t="shared" si="7"/>
        <v>5.859375E-2</v>
      </c>
      <c r="W14" s="2">
        <f t="shared" si="0"/>
        <v>3.7138731705396721E-4</v>
      </c>
      <c r="X14" s="2">
        <f t="shared" si="8"/>
        <v>5.95703125E-2</v>
      </c>
      <c r="Y14" s="2">
        <f t="shared" si="1"/>
        <v>-6.0694521086876452E-4</v>
      </c>
      <c r="Z14" s="2">
        <f t="shared" si="3"/>
        <v>5.908203125E-2</v>
      </c>
      <c r="AA14" s="2">
        <f t="shared" si="2"/>
        <v>-1.1777549758407169E-4</v>
      </c>
      <c r="AB14" s="2">
        <f t="shared" si="4"/>
        <v>-4.3740326062444379E-8</v>
      </c>
      <c r="AC14" s="2">
        <f t="shared" si="5"/>
        <v>7.1483274216338058E-8</v>
      </c>
      <c r="AD14" s="2">
        <f t="shared" si="6"/>
        <v>9.765625E-4</v>
      </c>
      <c r="AF14" s="2">
        <v>10</v>
      </c>
      <c r="AG14" s="2">
        <f t="shared" si="13"/>
        <v>1724.609375</v>
      </c>
      <c r="AH14" s="2">
        <v>-1.8485557029607662</v>
      </c>
      <c r="AI14" s="2">
        <f t="shared" si="14"/>
        <v>1743.1640625</v>
      </c>
      <c r="AJ14" s="2">
        <v>10.375497760394182</v>
      </c>
      <c r="AK14" s="2">
        <f t="shared" si="9"/>
        <v>1733.88671875</v>
      </c>
      <c r="AL14" s="2">
        <v>4.2640625048682068</v>
      </c>
      <c r="AM14" s="2">
        <f t="shared" si="10"/>
        <v>-7.882357061155294</v>
      </c>
      <c r="AN14" s="2">
        <f t="shared" si="11"/>
        <v>44.241770969440886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179.232858300495</v>
      </c>
      <c r="L15" s="6" t="s">
        <v>7</v>
      </c>
      <c r="U15" s="2">
        <v>11</v>
      </c>
      <c r="V15" s="2">
        <f t="shared" si="7"/>
        <v>5.859375E-2</v>
      </c>
      <c r="W15" s="2">
        <f t="shared" si="0"/>
        <v>3.7138731705396721E-4</v>
      </c>
      <c r="X15" s="2">
        <f t="shared" si="8"/>
        <v>5.908203125E-2</v>
      </c>
      <c r="Y15" s="2">
        <f t="shared" si="1"/>
        <v>-1.1777549758407169E-4</v>
      </c>
      <c r="Z15" s="2">
        <f t="shared" si="3"/>
        <v>5.8837890625E-2</v>
      </c>
      <c r="AA15" s="2">
        <f t="shared" si="2"/>
        <v>1.2680677268880891E-4</v>
      </c>
      <c r="AB15" s="2">
        <f t="shared" si="4"/>
        <v>4.7094427093169024E-8</v>
      </c>
      <c r="AC15" s="2">
        <f t="shared" si="5"/>
        <v>-1.4934730750454741E-8</v>
      </c>
      <c r="AD15" s="2">
        <f t="shared" si="6"/>
        <v>4.8828125E-4</v>
      </c>
      <c r="AF15" s="2">
        <v>11</v>
      </c>
      <c r="AG15" s="2">
        <f t="shared" si="13"/>
        <v>1724.609375</v>
      </c>
      <c r="AH15" s="2">
        <v>-1.8485557029607662</v>
      </c>
      <c r="AI15" s="2">
        <f t="shared" si="14"/>
        <v>1733.88671875</v>
      </c>
      <c r="AJ15" s="2">
        <v>4.2640625048682068</v>
      </c>
      <c r="AK15" s="2">
        <f t="shared" si="9"/>
        <v>1729.248046875</v>
      </c>
      <c r="AL15" s="2">
        <v>1.2078958664187667</v>
      </c>
      <c r="AM15" s="2">
        <f t="shared" si="10"/>
        <v>-2.2328627924511468</v>
      </c>
      <c r="AN15" s="2">
        <f t="shared" si="11"/>
        <v>5.1505434737815587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156.46013870167215</v>
      </c>
      <c r="H16" s="6" t="s">
        <v>10</v>
      </c>
      <c r="J16" s="13" t="s">
        <v>53</v>
      </c>
      <c r="K16" s="6">
        <f xml:space="preserve"> $C$54 * 0.2138 * K4</f>
        <v>58.702974074273385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5.8837890625E-2</v>
      </c>
      <c r="W16" s="2">
        <f t="shared" si="0"/>
        <v>1.2680677268880891E-4</v>
      </c>
      <c r="X16" s="2">
        <f t="shared" si="8"/>
        <v>5.908203125E-2</v>
      </c>
      <c r="Y16" s="2">
        <f t="shared" si="1"/>
        <v>-1.1777549758407169E-4</v>
      </c>
      <c r="Z16" s="2">
        <f t="shared" si="3"/>
        <v>5.89599609375E-2</v>
      </c>
      <c r="AA16" s="2">
        <f t="shared" si="2"/>
        <v>4.5158532131217566E-6</v>
      </c>
      <c r="AB16" s="2">
        <f t="shared" si="4"/>
        <v>5.7264077189235796E-10</v>
      </c>
      <c r="AC16" s="2">
        <f t="shared" si="5"/>
        <v>-5.3185685919204382E-10</v>
      </c>
      <c r="AD16" s="2">
        <f t="shared" si="6"/>
        <v>2.44140625E-4</v>
      </c>
      <c r="AF16" s="2">
        <v>12</v>
      </c>
      <c r="AG16" s="2">
        <f t="shared" si="13"/>
        <v>1724.609375</v>
      </c>
      <c r="AH16" s="2">
        <v>-1.8485557029607662</v>
      </c>
      <c r="AI16" s="2">
        <f t="shared" si="14"/>
        <v>1729.248046875</v>
      </c>
      <c r="AJ16" s="2">
        <v>1.2078958664187667</v>
      </c>
      <c r="AK16" s="2">
        <f t="shared" si="9"/>
        <v>1726.9287109375</v>
      </c>
      <c r="AL16" s="2">
        <v>-0.32029299190571692</v>
      </c>
      <c r="AM16" s="2">
        <f t="shared" si="10"/>
        <v>0.59207943680567954</v>
      </c>
      <c r="AN16" s="2">
        <f t="shared" si="11"/>
        <v>-0.38688058096581496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0.47024319177073948</v>
      </c>
      <c r="H17" s="6" t="s">
        <v>122</v>
      </c>
      <c r="J17" s="13" t="s">
        <v>77</v>
      </c>
      <c r="K17" s="6">
        <f xml:space="preserve"> $C$54 * 0.1149 * K4</f>
        <v>31.548043597446267</v>
      </c>
      <c r="L17" s="6" t="s">
        <v>7</v>
      </c>
      <c r="N17" s="6" t="s">
        <v>25</v>
      </c>
      <c r="O17" s="6">
        <f xml:space="preserve"> ACOS(O14)/PI()*180</f>
        <v>7.1452668743523278</v>
      </c>
      <c r="P17" s="6" t="s">
        <v>40</v>
      </c>
      <c r="U17" s="2">
        <v>13</v>
      </c>
      <c r="V17" s="2">
        <f t="shared" si="7"/>
        <v>5.89599609375E-2</v>
      </c>
      <c r="W17" s="2">
        <f t="shared" si="0"/>
        <v>4.5158532131217566E-6</v>
      </c>
      <c r="X17" s="2">
        <f t="shared" si="8"/>
        <v>5.908203125E-2</v>
      </c>
      <c r="Y17" s="2">
        <f t="shared" si="1"/>
        <v>-1.1777549758407169E-4</v>
      </c>
      <c r="Z17" s="2">
        <f t="shared" si="3"/>
        <v>5.902099609375E-2</v>
      </c>
      <c r="AA17" s="2">
        <f t="shared" si="2"/>
        <v>-5.6629768280011539E-5</v>
      </c>
      <c r="AB17" s="2">
        <f t="shared" si="4"/>
        <v>-2.5573172104563065E-10</v>
      </c>
      <c r="AC17" s="2">
        <f t="shared" si="5"/>
        <v>6.6695991372490381E-9</v>
      </c>
      <c r="AD17" s="2">
        <f t="shared" si="6"/>
        <v>1.220703125E-4</v>
      </c>
      <c r="AF17" s="2">
        <v>13</v>
      </c>
      <c r="AG17" s="2">
        <f t="shared" si="13"/>
        <v>1726.9287109375</v>
      </c>
      <c r="AH17" s="2">
        <v>-0.32029299190571692</v>
      </c>
      <c r="AI17" s="2">
        <f t="shared" si="14"/>
        <v>1729.248046875</v>
      </c>
      <c r="AJ17" s="2">
        <v>1.2078958664187667</v>
      </c>
      <c r="AK17" s="2">
        <f t="shared" si="9"/>
        <v>1728.08837890625</v>
      </c>
      <c r="AL17" s="2">
        <v>0.44381008548111822</v>
      </c>
      <c r="AM17" s="2">
        <f t="shared" si="10"/>
        <v>-0.14214926011667933</v>
      </c>
      <c r="AN17" s="2">
        <f t="shared" si="11"/>
        <v>0.53607636772760214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4265.5391913353642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127.29146572065679</v>
      </c>
      <c r="L18" s="6" t="s">
        <v>7</v>
      </c>
      <c r="N18" s="6" t="s">
        <v>19</v>
      </c>
      <c r="O18" s="6">
        <f xml:space="preserve"> O13 / $C$18</f>
        <v>4265.5391913353642</v>
      </c>
      <c r="P18" s="6" t="s">
        <v>20</v>
      </c>
      <c r="U18" s="2">
        <v>14</v>
      </c>
      <c r="V18" s="2">
        <f t="shared" si="7"/>
        <v>5.89599609375E-2</v>
      </c>
      <c r="W18" s="2">
        <f t="shared" si="0"/>
        <v>4.5158532131217566E-6</v>
      </c>
      <c r="X18" s="2">
        <f t="shared" si="8"/>
        <v>5.902099609375E-2</v>
      </c>
      <c r="Y18" s="2">
        <f t="shared" si="1"/>
        <v>-5.6629768280011539E-5</v>
      </c>
      <c r="Z18" s="2">
        <f t="shared" si="3"/>
        <v>5.8990478515625E-2</v>
      </c>
      <c r="AA18" s="2">
        <f t="shared" si="2"/>
        <v>-2.6056944055864728E-5</v>
      </c>
      <c r="AB18" s="2">
        <f t="shared" si="4"/>
        <v>-1.176693345388106E-10</v>
      </c>
      <c r="AC18" s="2">
        <f t="shared" si="5"/>
        <v>1.4755987039688435E-9</v>
      </c>
      <c r="AD18" s="2">
        <f t="shared" si="6"/>
        <v>6.103515625E-5</v>
      </c>
      <c r="AF18" s="2">
        <v>14</v>
      </c>
      <c r="AG18" s="2">
        <f t="shared" si="13"/>
        <v>1726.9287109375</v>
      </c>
      <c r="AH18" s="2">
        <v>-0.32029299190571692</v>
      </c>
      <c r="AI18" s="2">
        <f t="shared" si="14"/>
        <v>1728.08837890625</v>
      </c>
      <c r="AJ18" s="2">
        <v>0.44381008548111822</v>
      </c>
      <c r="AK18" s="2">
        <f t="shared" si="9"/>
        <v>1727.508544921875</v>
      </c>
      <c r="AL18" s="2">
        <v>6.1759834933354796E-2</v>
      </c>
      <c r="AM18" s="2">
        <f t="shared" si="10"/>
        <v>-1.9781242310407419E-2</v>
      </c>
      <c r="AN18" s="2">
        <f t="shared" si="11"/>
        <v>2.7409637621071944E-2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57.201993758061846</v>
      </c>
      <c r="H19" s="6" t="s">
        <v>101</v>
      </c>
      <c r="J19" s="14" t="s">
        <v>61</v>
      </c>
      <c r="K19" s="6">
        <f xml:space="preserve"> $C$55 * C31 * $C$5</f>
        <v>19.347080271828066</v>
      </c>
      <c r="L19" s="6" t="s">
        <v>7</v>
      </c>
      <c r="N19" s="6" t="s">
        <v>26</v>
      </c>
      <c r="O19" s="6">
        <f>$C$7*2*PI()/60</f>
        <v>46.491122521691018</v>
      </c>
      <c r="P19" s="6" t="s">
        <v>27</v>
      </c>
      <c r="U19" s="2">
        <v>15</v>
      </c>
      <c r="V19" s="2">
        <f t="shared" si="7"/>
        <v>5.89599609375E-2</v>
      </c>
      <c r="W19" s="2">
        <f t="shared" si="0"/>
        <v>4.5158532131217566E-6</v>
      </c>
      <c r="X19" s="2">
        <f t="shared" si="8"/>
        <v>5.8990478515625E-2</v>
      </c>
      <c r="Y19" s="2">
        <f t="shared" si="1"/>
        <v>-2.6056944055864728E-5</v>
      </c>
      <c r="Z19" s="2">
        <f t="shared" si="3"/>
        <v>5.89752197265625E-2</v>
      </c>
      <c r="AA19" s="2">
        <f t="shared" si="2"/>
        <v>-1.077054205182032E-5</v>
      </c>
      <c r="AB19" s="2">
        <f t="shared" si="4"/>
        <v>-4.8638186931775791E-11</v>
      </c>
      <c r="AC19" s="2">
        <f t="shared" si="5"/>
        <v>2.8064741169562058E-10</v>
      </c>
      <c r="AD19" s="2">
        <f t="shared" si="6"/>
        <v>3.0517578125E-5</v>
      </c>
      <c r="AF19" s="2">
        <v>15</v>
      </c>
      <c r="AG19" s="2">
        <f t="shared" si="13"/>
        <v>1726.9287109375</v>
      </c>
      <c r="AH19" s="2">
        <v>-0.32029299190571692</v>
      </c>
      <c r="AI19" s="2">
        <f t="shared" si="14"/>
        <v>1727.508544921875</v>
      </c>
      <c r="AJ19" s="2">
        <v>6.1759834933354796E-2</v>
      </c>
      <c r="AK19" s="2">
        <f t="shared" si="9"/>
        <v>1727.2186279296875</v>
      </c>
      <c r="AL19" s="2">
        <v>-0.12926710200645175</v>
      </c>
      <c r="AM19" s="2">
        <f t="shared" si="10"/>
        <v>4.1403346856627936E-2</v>
      </c>
      <c r="AN19" s="2">
        <f t="shared" si="11"/>
        <v>-7.9835148822315974E-3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7.6087297553556645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0.42525362724272597</v>
      </c>
      <c r="U20" s="2">
        <v>16</v>
      </c>
      <c r="V20" s="2">
        <f t="shared" si="7"/>
        <v>5.89599609375E-2</v>
      </c>
      <c r="W20" s="2">
        <f t="shared" si="0"/>
        <v>4.5158532131217566E-6</v>
      </c>
      <c r="X20" s="2">
        <f t="shared" si="8"/>
        <v>5.89752197265625E-2</v>
      </c>
      <c r="Y20" s="2">
        <f t="shared" si="1"/>
        <v>-1.077054205182032E-5</v>
      </c>
      <c r="Z20" s="2">
        <f t="shared" si="3"/>
        <v>5.896759033203125E-2</v>
      </c>
      <c r="AA20" s="2">
        <f t="shared" si="2"/>
        <v>-3.1273435769432756E-6</v>
      </c>
      <c r="AB20" s="2">
        <f t="shared" si="4"/>
        <v>-1.4122624540474978E-11</v>
      </c>
      <c r="AC20" s="2">
        <f t="shared" si="5"/>
        <v>3.3683185505957724E-11</v>
      </c>
      <c r="AD20" s="2">
        <f t="shared" si="6"/>
        <v>1.52587890625E-5</v>
      </c>
      <c r="AF20" s="2">
        <v>16</v>
      </c>
      <c r="AG20" s="2">
        <f t="shared" si="13"/>
        <v>1727.2186279296875</v>
      </c>
      <c r="AH20" s="2">
        <v>-0.12926710200645175</v>
      </c>
      <c r="AI20" s="2">
        <f t="shared" si="14"/>
        <v>1727.508544921875</v>
      </c>
      <c r="AJ20" s="2">
        <v>6.1759834933354796E-2</v>
      </c>
      <c r="AK20" s="2">
        <f t="shared" si="9"/>
        <v>1727.3635864257812</v>
      </c>
      <c r="AL20" s="2">
        <v>-3.3752080550357277E-2</v>
      </c>
      <c r="AM20" s="2">
        <f t="shared" si="10"/>
        <v>4.3630336394330105E-3</v>
      </c>
      <c r="AN20" s="2">
        <f t="shared" si="11"/>
        <v>-2.0845229234473604E-3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7.9080947047260722E-2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4.8557264952811549E-3</v>
      </c>
      <c r="U21" s="2">
        <v>17</v>
      </c>
      <c r="V21" s="2">
        <f t="shared" si="7"/>
        <v>5.89599609375E-2</v>
      </c>
      <c r="W21" s="2">
        <f t="shared" si="0"/>
        <v>4.5158532131217566E-6</v>
      </c>
      <c r="X21" s="2">
        <f t="shared" si="8"/>
        <v>5.896759033203125E-2</v>
      </c>
      <c r="Y21" s="2">
        <f t="shared" si="1"/>
        <v>-3.1273435769432756E-6</v>
      </c>
      <c r="Z21" s="2">
        <f t="shared" si="3"/>
        <v>5.8963775634765625E-2</v>
      </c>
      <c r="AA21" s="2">
        <f t="shared" si="2"/>
        <v>6.9425502869507882E-7</v>
      </c>
      <c r="AB21" s="2">
        <f t="shared" si="4"/>
        <v>3.1351538020586092E-12</v>
      </c>
      <c r="AC21" s="2">
        <f t="shared" si="5"/>
        <v>-2.1711740047501241E-12</v>
      </c>
      <c r="AD21" s="2">
        <f t="shared" si="6"/>
        <v>7.62939453125E-6</v>
      </c>
      <c r="AF21" s="2">
        <v>17</v>
      </c>
      <c r="AG21" s="2">
        <f t="shared" si="13"/>
        <v>1727.3635864257812</v>
      </c>
      <c r="AH21" s="2">
        <v>-3.3752080550357277E-2</v>
      </c>
      <c r="AI21" s="2">
        <f t="shared" si="14"/>
        <v>1727.508544921875</v>
      </c>
      <c r="AJ21" s="2">
        <v>6.1759834933354796E-2</v>
      </c>
      <c r="AK21" s="2">
        <f t="shared" si="9"/>
        <v>1727.4360656738281</v>
      </c>
      <c r="AL21" s="2">
        <v>1.4003423794747505E-2</v>
      </c>
      <c r="AM21" s="2">
        <f t="shared" si="10"/>
        <v>-4.7264468790110753E-4</v>
      </c>
      <c r="AN21" s="2">
        <f t="shared" si="11"/>
        <v>8.6484914206541878E-4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228.80797503224738</v>
      </c>
      <c r="H22" s="25" t="s">
        <v>101</v>
      </c>
      <c r="J22" s="14" t="s">
        <v>112</v>
      </c>
      <c r="K22" s="6">
        <f>$C$55*(0.14*$G$12*1000/745.7)*0.453592</f>
        <v>13.748561741202652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5.8963775634765625E-2</v>
      </c>
      <c r="W22" s="2">
        <f t="shared" si="0"/>
        <v>6.9425502869507882E-7</v>
      </c>
      <c r="X22" s="2">
        <f t="shared" si="8"/>
        <v>5.896759033203125E-2</v>
      </c>
      <c r="Y22" s="2">
        <f t="shared" si="1"/>
        <v>-3.1273435769432756E-6</v>
      </c>
      <c r="Z22" s="2">
        <f t="shared" si="3"/>
        <v>5.8965682983398438E-2</v>
      </c>
      <c r="AA22" s="2">
        <f t="shared" si="2"/>
        <v>-1.2165442214717714E-6</v>
      </c>
      <c r="AB22" s="2">
        <f t="shared" si="4"/>
        <v>-8.4459194338671701E-13</v>
      </c>
      <c r="AC22" s="2">
        <f t="shared" si="5"/>
        <v>3.8045517570872025E-12</v>
      </c>
      <c r="AD22" s="2">
        <f t="shared" si="6"/>
        <v>3.814697265625E-6</v>
      </c>
      <c r="AF22" s="2">
        <v>18</v>
      </c>
      <c r="AG22" s="2">
        <f t="shared" si="13"/>
        <v>1727.3635864257812</v>
      </c>
      <c r="AH22" s="2">
        <v>-3.3752080550357277E-2</v>
      </c>
      <c r="AI22" s="2">
        <f t="shared" si="14"/>
        <v>1727.4360656738281</v>
      </c>
      <c r="AJ22" s="2">
        <v>1.4003423794747505E-2</v>
      </c>
      <c r="AK22" s="2">
        <f t="shared" si="9"/>
        <v>1727.3998260498047</v>
      </c>
      <c r="AL22" s="2">
        <v>-9.8744417266516393E-3</v>
      </c>
      <c r="AM22" s="2">
        <f t="shared" si="10"/>
        <v>3.3328295254775515E-4</v>
      </c>
      <c r="AN22" s="2">
        <f t="shared" si="11"/>
        <v>-1.3827599223484121E-4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37.035839377499435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17283.756094116186</v>
      </c>
      <c r="P23" s="6" t="s">
        <v>18</v>
      </c>
      <c r="U23" s="2">
        <v>19</v>
      </c>
      <c r="V23" s="2">
        <f t="shared" si="7"/>
        <v>5.8963775634765625E-2</v>
      </c>
      <c r="W23" s="2">
        <f t="shared" si="0"/>
        <v>6.9425502869507882E-7</v>
      </c>
      <c r="X23" s="2">
        <f t="shared" si="8"/>
        <v>5.8965682983398438E-2</v>
      </c>
      <c r="Y23" s="2">
        <f t="shared" si="1"/>
        <v>-1.2165442214717714E-6</v>
      </c>
      <c r="Z23" s="2">
        <f t="shared" si="3"/>
        <v>5.8964729309082031E-2</v>
      </c>
      <c r="AA23" s="2">
        <f t="shared" si="2"/>
        <v>-2.6114458322873402E-7</v>
      </c>
      <c r="AB23" s="2">
        <f t="shared" si="4"/>
        <v>-1.8130094012302913E-13</v>
      </c>
      <c r="AC23" s="2">
        <f t="shared" si="5"/>
        <v>3.1769393369557047E-13</v>
      </c>
      <c r="AD23" s="2">
        <f t="shared" si="6"/>
        <v>1.9073486328125E-6</v>
      </c>
      <c r="AF23" s="2">
        <v>19</v>
      </c>
      <c r="AG23" s="2">
        <f t="shared" si="13"/>
        <v>1727.3998260498047</v>
      </c>
      <c r="AH23" s="2">
        <v>-9.8744417266516393E-3</v>
      </c>
      <c r="AI23" s="2">
        <f t="shared" si="14"/>
        <v>1727.4360656738281</v>
      </c>
      <c r="AJ23" s="2">
        <v>1.4003423794747505E-2</v>
      </c>
      <c r="AK23" s="2">
        <f t="shared" si="9"/>
        <v>1727.4179458618164</v>
      </c>
      <c r="AL23" s="2">
        <v>2.0678296598362067E-3</v>
      </c>
      <c r="AM23" s="2">
        <f t="shared" si="10"/>
        <v>-2.0418663476694503E-5</v>
      </c>
      <c r="AN23" s="2">
        <f t="shared" si="11"/>
        <v>2.8956695062034975E-5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 xml:space="preserve"> $C$56 * (11.5 * ($C$5*2.20462/1000)^0.4 * 0.453592)</f>
        <v>7.1243570237581242</v>
      </c>
      <c r="L24" s="6" t="s">
        <v>7</v>
      </c>
      <c r="N24" s="6" t="s">
        <v>31</v>
      </c>
      <c r="O24" s="18">
        <f>Z34</f>
        <v>5.8964469004422426E-2</v>
      </c>
      <c r="U24" s="2">
        <v>20</v>
      </c>
      <c r="V24" s="2">
        <f t="shared" si="7"/>
        <v>5.8963775634765625E-2</v>
      </c>
      <c r="W24" s="2">
        <f t="shared" si="0"/>
        <v>6.9425502869507882E-7</v>
      </c>
      <c r="X24" s="2">
        <f t="shared" si="8"/>
        <v>5.8964729309082031E-2</v>
      </c>
      <c r="Y24" s="2">
        <f t="shared" si="1"/>
        <v>-2.6114458322873402E-7</v>
      </c>
      <c r="Z24" s="2">
        <f t="shared" si="3"/>
        <v>5.8964252471923828E-2</v>
      </c>
      <c r="AA24" s="2">
        <f t="shared" si="2"/>
        <v>2.1655522602914701E-7</v>
      </c>
      <c r="AB24" s="2">
        <f t="shared" si="4"/>
        <v>1.5034455466093475E-13</v>
      </c>
      <c r="AC24" s="2">
        <f t="shared" si="5"/>
        <v>-5.655222424738589E-14</v>
      </c>
      <c r="AD24" s="2">
        <f t="shared" si="6"/>
        <v>9.5367431640625E-7</v>
      </c>
      <c r="AF24" s="2">
        <v>20</v>
      </c>
      <c r="AG24" s="2">
        <f t="shared" si="13"/>
        <v>1727.3998260498047</v>
      </c>
      <c r="AH24" s="2">
        <v>-9.8744417266516393E-3</v>
      </c>
      <c r="AI24" s="2">
        <f t="shared" si="14"/>
        <v>1727.4179458618164</v>
      </c>
      <c r="AJ24" s="2">
        <v>2.0678296598362067E-3</v>
      </c>
      <c r="AK24" s="2">
        <f t="shared" si="9"/>
        <v>1727.4088859558105</v>
      </c>
      <c r="AL24" s="2">
        <v>-3.9033131265568954E-3</v>
      </c>
      <c r="AM24" s="2">
        <f t="shared" si="10"/>
        <v>3.8543038009060478E-5</v>
      </c>
      <c r="AN24" s="2">
        <f t="shared" si="11"/>
        <v>-8.071386654722345E-6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11.055474441044609</v>
      </c>
      <c r="L25" s="6" t="s">
        <v>7</v>
      </c>
      <c r="N25" s="6" t="s">
        <v>32</v>
      </c>
      <c r="O25" s="6">
        <f xml:space="preserve"> O19 * $C$9 * O24 - $C$8 * SIN(O17/180*PI())</f>
        <v>0.8847992102191764</v>
      </c>
      <c r="P25" s="6" t="s">
        <v>10</v>
      </c>
      <c r="U25" s="2">
        <v>21</v>
      </c>
      <c r="V25" s="2">
        <f t="shared" si="7"/>
        <v>5.8964252471923828E-2</v>
      </c>
      <c r="W25" s="2">
        <f t="shared" si="0"/>
        <v>2.1655522602914701E-7</v>
      </c>
      <c r="X25" s="2">
        <f t="shared" si="8"/>
        <v>5.8964729309082031E-2</v>
      </c>
      <c r="Y25" s="2">
        <f t="shared" si="1"/>
        <v>-2.6114458322873402E-7</v>
      </c>
      <c r="Z25" s="2">
        <f t="shared" si="3"/>
        <v>5.896449089050293E-2</v>
      </c>
      <c r="AA25" s="2">
        <f t="shared" si="2"/>
        <v>-2.2294677777534577E-8</v>
      </c>
      <c r="AB25" s="2">
        <f t="shared" si="4"/>
        <v>-4.8280289853610016E-15</v>
      </c>
      <c r="AC25" s="2">
        <f t="shared" si="5"/>
        <v>5.822134336433185E-15</v>
      </c>
      <c r="AD25" s="2">
        <f t="shared" si="6"/>
        <v>4.76837158203125E-7</v>
      </c>
      <c r="AF25" s="2">
        <v>21</v>
      </c>
      <c r="AG25" s="2">
        <f t="shared" si="13"/>
        <v>1727.4088859558105</v>
      </c>
      <c r="AH25" s="2">
        <v>-3.9033131265568954E-3</v>
      </c>
      <c r="AI25" s="2">
        <f t="shared" si="14"/>
        <v>1727.4179458618164</v>
      </c>
      <c r="AJ25" s="2">
        <v>2.0678296598362067E-3</v>
      </c>
      <c r="AK25" s="2">
        <f t="shared" si="9"/>
        <v>1727.4134159088135</v>
      </c>
      <c r="AL25" s="2">
        <v>-9.1774350676132599E-4</v>
      </c>
      <c r="AM25" s="2">
        <f t="shared" si="10"/>
        <v>3.5822402767538404E-6</v>
      </c>
      <c r="AN25" s="2">
        <f t="shared" si="11"/>
        <v>-1.8977372434031601E-6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26.831764011362353</v>
      </c>
      <c r="L26" s="6" t="s">
        <v>7</v>
      </c>
      <c r="N26" s="6" t="s">
        <v>33</v>
      </c>
      <c r="O26" s="6">
        <f xml:space="preserve"> 1/$C$21 - O23 * SQRT( (2*$C$47*PI()*$C$9^2) / O18^3 )</f>
        <v>0.80774178739829261</v>
      </c>
      <c r="U26" s="2">
        <v>22</v>
      </c>
      <c r="V26" s="2">
        <f t="shared" si="7"/>
        <v>5.8964252471923828E-2</v>
      </c>
      <c r="W26" s="2">
        <f t="shared" si="0"/>
        <v>2.1655522602914701E-7</v>
      </c>
      <c r="X26" s="2">
        <f t="shared" si="8"/>
        <v>5.896449089050293E-2</v>
      </c>
      <c r="Y26" s="2">
        <f t="shared" si="1"/>
        <v>-2.2294677777534577E-8</v>
      </c>
      <c r="Z26" s="2">
        <f t="shared" si="3"/>
        <v>5.8964371681213379E-2</v>
      </c>
      <c r="AA26" s="2">
        <f t="shared" si="2"/>
        <v>9.7130274330503585E-8</v>
      </c>
      <c r="AB26" s="2">
        <f t="shared" si="4"/>
        <v>2.1034068511915261E-14</v>
      </c>
      <c r="AC26" s="2">
        <f t="shared" si="5"/>
        <v>-2.1654881686421155E-15</v>
      </c>
      <c r="AD26" s="2">
        <f t="shared" si="6"/>
        <v>2.384185791015625E-7</v>
      </c>
      <c r="AF26" s="2">
        <v>22</v>
      </c>
      <c r="AG26" s="2">
        <f t="shared" si="13"/>
        <v>1727.4134159088135</v>
      </c>
      <c r="AH26" s="2">
        <v>-9.1774350676132599E-4</v>
      </c>
      <c r="AI26" s="2">
        <f t="shared" si="14"/>
        <v>1727.4179458618164</v>
      </c>
      <c r="AJ26" s="2">
        <v>2.0678296598362067E-3</v>
      </c>
      <c r="AK26" s="2">
        <f t="shared" si="9"/>
        <v>1727.4156808853149</v>
      </c>
      <c r="AL26" s="2">
        <v>5.750426330450864E-4</v>
      </c>
      <c r="AM26" s="2">
        <f t="shared" si="10"/>
        <v>-5.2774164258806397E-7</v>
      </c>
      <c r="AN26" s="2">
        <f t="shared" si="11"/>
        <v>1.1890902122809376E-6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2.0214659020894032E-3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5.8964371681213379E-2</v>
      </c>
      <c r="W27" s="2">
        <f t="shared" si="0"/>
        <v>9.7130274330503585E-8</v>
      </c>
      <c r="X27" s="2">
        <f t="shared" si="8"/>
        <v>5.896449089050293E-2</v>
      </c>
      <c r="Y27" s="2">
        <f t="shared" si="1"/>
        <v>-2.2294677777534577E-8</v>
      </c>
      <c r="Z27" s="2">
        <f t="shared" si="3"/>
        <v>5.8964431285858154E-2</v>
      </c>
      <c r="AA27" s="2">
        <f t="shared" si="2"/>
        <v>3.7417798325056761E-8</v>
      </c>
      <c r="AB27" s="2">
        <f t="shared" si="4"/>
        <v>3.6344010161562207E-15</v>
      </c>
      <c r="AC27" s="2">
        <f t="shared" si="5"/>
        <v>-8.342177568019135E-16</v>
      </c>
      <c r="AD27" s="2">
        <f t="shared" si="6"/>
        <v>1.1920928955078125E-7</v>
      </c>
      <c r="AF27" s="2">
        <v>23</v>
      </c>
      <c r="AG27" s="2">
        <f t="shared" si="13"/>
        <v>1727.4134159088135</v>
      </c>
      <c r="AH27" s="2">
        <v>-9.1774350676132599E-4</v>
      </c>
      <c r="AI27" s="2">
        <f t="shared" si="14"/>
        <v>1727.4156808853149</v>
      </c>
      <c r="AJ27" s="2">
        <v>5.750426330450864E-4</v>
      </c>
      <c r="AK27" s="2">
        <f t="shared" si="9"/>
        <v>1727.4145483970642</v>
      </c>
      <c r="AL27" s="2">
        <v>-1.7135054758909973E-4</v>
      </c>
      <c r="AM27" s="2">
        <f t="shared" si="10"/>
        <v>1.5725585242989387E-7</v>
      </c>
      <c r="AN27" s="2">
        <f t="shared" si="11"/>
        <v>-9.8533870059353298E-8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4232.8177875668916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1.1500011578321618</v>
      </c>
      <c r="U28" s="2">
        <v>24</v>
      </c>
      <c r="V28" s="2">
        <f t="shared" si="7"/>
        <v>5.8964431285858154E-2</v>
      </c>
      <c r="W28" s="2">
        <f t="shared" si="0"/>
        <v>3.7417798325056761E-8</v>
      </c>
      <c r="X28" s="2">
        <f t="shared" si="8"/>
        <v>5.896449089050293E-2</v>
      </c>
      <c r="Y28" s="2">
        <f t="shared" si="1"/>
        <v>-2.2294677777534577E-8</v>
      </c>
      <c r="Z28" s="2">
        <f t="shared" si="3"/>
        <v>5.8964461088180542E-2</v>
      </c>
      <c r="AA28" s="2">
        <f t="shared" si="2"/>
        <v>7.5615602876388799E-9</v>
      </c>
      <c r="AB28" s="2">
        <f t="shared" si="4"/>
        <v>2.8293693786562981E-16</v>
      </c>
      <c r="AC28" s="2">
        <f t="shared" si="5"/>
        <v>-1.6858255010831051E-16</v>
      </c>
      <c r="AD28" s="2">
        <f t="shared" si="6"/>
        <v>5.9604644775390625E-8</v>
      </c>
      <c r="AF28" s="2">
        <v>24</v>
      </c>
      <c r="AG28" s="2">
        <f t="shared" si="13"/>
        <v>1727.4145483970642</v>
      </c>
      <c r="AH28" s="2">
        <v>-1.7135054758909973E-4</v>
      </c>
      <c r="AI28" s="2">
        <f t="shared" si="14"/>
        <v>1727.4156808853149</v>
      </c>
      <c r="AJ28" s="2">
        <v>5.750426330450864E-4</v>
      </c>
      <c r="AK28" s="2">
        <f t="shared" si="9"/>
        <v>1727.4151146411896</v>
      </c>
      <c r="AL28" s="2">
        <v>1.9847905718961556E-4</v>
      </c>
      <c r="AM28" s="2">
        <f t="shared" si="10"/>
        <v>-3.4009495134408868E-8</v>
      </c>
      <c r="AN28" s="2">
        <f t="shared" si="11"/>
        <v>1.1413391965062282E-7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42.686811700200664</v>
      </c>
      <c r="H29" t="s">
        <v>18</v>
      </c>
      <c r="U29" s="2">
        <v>25</v>
      </c>
      <c r="V29" s="2">
        <f t="shared" si="7"/>
        <v>5.8964461088180542E-2</v>
      </c>
      <c r="W29" s="2">
        <f t="shared" si="0"/>
        <v>7.5615602876388799E-9</v>
      </c>
      <c r="X29" s="2">
        <f t="shared" si="8"/>
        <v>5.896449089050293E-2</v>
      </c>
      <c r="Y29" s="2">
        <f t="shared" si="1"/>
        <v>-2.2294677777534577E-8</v>
      </c>
      <c r="Z29" s="2">
        <f t="shared" si="3"/>
        <v>5.8964475989341736E-2</v>
      </c>
      <c r="AA29" s="2">
        <f t="shared" si="2"/>
        <v>-7.3665587449478487E-9</v>
      </c>
      <c r="AB29" s="2">
        <f t="shared" si="4"/>
        <v>-5.5702678062356564E-17</v>
      </c>
      <c r="AC29" s="2">
        <f t="shared" si="5"/>
        <v>1.642350535478918E-16</v>
      </c>
      <c r="AD29" s="2">
        <f t="shared" si="6"/>
        <v>2.9802322387695312E-8</v>
      </c>
      <c r="AF29" s="2">
        <v>25</v>
      </c>
      <c r="AG29" s="2">
        <f t="shared" si="13"/>
        <v>1727.4145483970642</v>
      </c>
      <c r="AH29" s="2">
        <v>-1.7135054758909973E-4</v>
      </c>
      <c r="AI29" s="2">
        <f t="shared" si="14"/>
        <v>1727.4151146411896</v>
      </c>
      <c r="AJ29" s="2">
        <v>1.9847905718961556E-4</v>
      </c>
      <c r="AK29" s="2">
        <f t="shared" si="9"/>
        <v>1727.4148315191269</v>
      </c>
      <c r="AL29" s="2">
        <v>1.3564248547481839E-5</v>
      </c>
      <c r="AM29" s="2">
        <f t="shared" si="10"/>
        <v>-2.3242414162456637E-9</v>
      </c>
      <c r="AN29" s="2">
        <f t="shared" si="11"/>
        <v>2.6922192631898074E-9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10.116812503738126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5.8964461088180542E-2</v>
      </c>
      <c r="W30" s="2">
        <f t="shared" si="0"/>
        <v>7.5615602876388799E-9</v>
      </c>
      <c r="X30" s="2">
        <f t="shared" si="8"/>
        <v>5.8964475989341736E-2</v>
      </c>
      <c r="Y30" s="2">
        <f t="shared" si="1"/>
        <v>-7.3665587449478487E-9</v>
      </c>
      <c r="Z30" s="2">
        <f t="shared" si="3"/>
        <v>5.8964468538761139E-2</v>
      </c>
      <c r="AA30" s="2">
        <f t="shared" si="2"/>
        <v>9.7500771345515602E-11</v>
      </c>
      <c r="AB30" s="2">
        <f t="shared" si="4"/>
        <v>7.3725796062040961E-19</v>
      </c>
      <c r="AC30" s="2">
        <f t="shared" si="5"/>
        <v>-7.1824515979446858E-19</v>
      </c>
      <c r="AD30" s="2">
        <f t="shared" si="6"/>
        <v>1.4901161193847656E-8</v>
      </c>
      <c r="AF30" s="2">
        <v>26</v>
      </c>
      <c r="AG30" s="2">
        <f t="shared" si="13"/>
        <v>1727.4145483970642</v>
      </c>
      <c r="AH30" s="2">
        <v>-1.7135054758909973E-4</v>
      </c>
      <c r="AI30" s="2">
        <f t="shared" si="14"/>
        <v>1727.4148315191269</v>
      </c>
      <c r="AJ30" s="2">
        <v>1.3564248547481839E-5</v>
      </c>
      <c r="AK30" s="2">
        <f t="shared" si="9"/>
        <v>1727.4146899580956</v>
      </c>
      <c r="AL30" s="2">
        <v>-7.8893151339798351E-5</v>
      </c>
      <c r="AM30" s="2">
        <f t="shared" si="10"/>
        <v>1.3518384683104165E-8</v>
      </c>
      <c r="AN30" s="2">
        <f t="shared" si="11"/>
        <v>-1.0701263134671247E-9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170.74724680080266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5.8964468538761139E-2</v>
      </c>
      <c r="W31" s="2">
        <f t="shared" si="0"/>
        <v>9.7500771345515602E-11</v>
      </c>
      <c r="X31" s="2">
        <f t="shared" si="8"/>
        <v>5.8964475989341736E-2</v>
      </c>
      <c r="Y31" s="2">
        <f t="shared" si="1"/>
        <v>-7.3665587449478487E-9</v>
      </c>
      <c r="Z31" s="2">
        <f t="shared" si="3"/>
        <v>5.8964472264051437E-2</v>
      </c>
      <c r="AA31" s="2">
        <f t="shared" si="2"/>
        <v>-3.6345289833317196E-9</v>
      </c>
      <c r="AB31" s="2">
        <f t="shared" si="4"/>
        <v>-3.5436937935247528E-19</v>
      </c>
      <c r="AC31" s="2">
        <f t="shared" si="5"/>
        <v>2.6773971265928693E-17</v>
      </c>
      <c r="AD31" s="2">
        <f t="shared" si="6"/>
        <v>7.4505805969238281E-9</v>
      </c>
      <c r="AF31" s="2">
        <v>27</v>
      </c>
      <c r="AG31" s="2">
        <f t="shared" si="13"/>
        <v>1727.4146899580956</v>
      </c>
      <c r="AH31" s="2">
        <v>-7.8893151339798351E-5</v>
      </c>
      <c r="AI31" s="2">
        <f t="shared" si="14"/>
        <v>1727.4148315191269</v>
      </c>
      <c r="AJ31" s="2">
        <v>1.3564248547481839E-5</v>
      </c>
      <c r="AK31" s="2">
        <f t="shared" si="9"/>
        <v>1727.4147607386112</v>
      </c>
      <c r="AL31" s="2">
        <v>-2.9297494847924099E-5</v>
      </c>
      <c r="AM31" s="2">
        <f t="shared" si="10"/>
        <v>2.3113716949142386E-9</v>
      </c>
      <c r="AN31" s="2">
        <f t="shared" si="11"/>
        <v>-3.9739850193581111E-10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491.99</v>
      </c>
      <c r="L32" s="6" t="s">
        <v>7</v>
      </c>
      <c r="U32" s="2">
        <v>28</v>
      </c>
      <c r="V32" s="2">
        <f t="shared" si="7"/>
        <v>5.8964468538761139E-2</v>
      </c>
      <c r="W32" s="2">
        <f t="shared" si="0"/>
        <v>9.7500771345515602E-11</v>
      </c>
      <c r="X32" s="2">
        <f t="shared" si="8"/>
        <v>5.8964472264051437E-2</v>
      </c>
      <c r="Y32" s="2">
        <f t="shared" si="1"/>
        <v>-3.6345289833317196E-9</v>
      </c>
      <c r="Z32" s="2">
        <f t="shared" si="3"/>
        <v>5.8964470401406288E-2</v>
      </c>
      <c r="AA32" s="2">
        <f t="shared" si="2"/>
        <v>-1.768514105993102E-9</v>
      </c>
      <c r="AB32" s="2">
        <f t="shared" si="4"/>
        <v>-1.7243148946975238E-19</v>
      </c>
      <c r="AC32" s="2">
        <f t="shared" si="5"/>
        <v>6.4277157756629138E-18</v>
      </c>
      <c r="AD32" s="2">
        <f t="shared" si="6"/>
        <v>3.7252902984619141E-9</v>
      </c>
      <c r="AF32" s="2">
        <v>28</v>
      </c>
      <c r="AG32" s="2">
        <f t="shared" si="13"/>
        <v>1727.4147607386112</v>
      </c>
      <c r="AH32" s="2">
        <v>-2.9297494847924099E-5</v>
      </c>
      <c r="AI32" s="2">
        <f t="shared" si="14"/>
        <v>1727.4148315191269</v>
      </c>
      <c r="AJ32" s="2">
        <v>1.3564248547481839E-5</v>
      </c>
      <c r="AK32" s="2">
        <f t="shared" si="9"/>
        <v>1727.4147961288691</v>
      </c>
      <c r="AL32" s="2">
        <v>-1.1233580153202638E-5</v>
      </c>
      <c r="AM32" s="2">
        <f t="shared" si="10"/>
        <v>3.291157566621967E-10</v>
      </c>
      <c r="AN32" s="2">
        <f t="shared" si="11"/>
        <v>-1.5237507327609969E-10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392.99</v>
      </c>
      <c r="L33" s="6" t="s">
        <v>7</v>
      </c>
      <c r="U33" s="2">
        <v>29</v>
      </c>
      <c r="V33" s="2">
        <f t="shared" si="7"/>
        <v>5.8964468538761139E-2</v>
      </c>
      <c r="W33" s="2">
        <f t="shared" si="0"/>
        <v>9.7500771345515602E-11</v>
      </c>
      <c r="X33" s="2">
        <f t="shared" si="8"/>
        <v>5.8964470401406288E-2</v>
      </c>
      <c r="Y33" s="2">
        <f t="shared" si="1"/>
        <v>-1.768514105993102E-9</v>
      </c>
      <c r="Z33" s="2">
        <f t="shared" si="3"/>
        <v>5.8964469470083714E-2</v>
      </c>
      <c r="AA33" s="2">
        <f t="shared" si="2"/>
        <v>-8.3550666385434624E-10</v>
      </c>
      <c r="AB33" s="2">
        <f t="shared" si="4"/>
        <v>-8.1462544190117179E-20</v>
      </c>
      <c r="AC33" s="2">
        <f t="shared" si="5"/>
        <v>1.4776053206776483E-18</v>
      </c>
      <c r="AD33" s="2">
        <f t="shared" si="6"/>
        <v>1.862645149230957E-9</v>
      </c>
      <c r="AF33" s="2">
        <v>29</v>
      </c>
      <c r="AG33" s="2">
        <f t="shared" si="13"/>
        <v>1727.4147961288691</v>
      </c>
      <c r="AH33" s="2">
        <v>-1.1233580153202638E-5</v>
      </c>
      <c r="AI33" s="2">
        <f t="shared" si="14"/>
        <v>1727.4148315191269</v>
      </c>
      <c r="AJ33" s="2">
        <v>1.3564248547481839E-5</v>
      </c>
      <c r="AK33" s="2">
        <f t="shared" si="9"/>
        <v>1727.414813823998</v>
      </c>
      <c r="AL33" s="2">
        <v>4.5322910864342703E-6</v>
      </c>
      <c r="AM33" s="2">
        <f t="shared" si="10"/>
        <v>-5.091385519710524E-11</v>
      </c>
      <c r="AN33" s="2">
        <f t="shared" si="11"/>
        <v>6.1477122785930935E-11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160.38999999999999</v>
      </c>
      <c r="L34" s="6" t="s">
        <v>7</v>
      </c>
      <c r="U34" s="2">
        <v>30</v>
      </c>
      <c r="V34" s="2">
        <f t="shared" si="7"/>
        <v>5.8964468538761139E-2</v>
      </c>
      <c r="W34" s="2">
        <f t="shared" si="0"/>
        <v>9.7500771345515602E-11</v>
      </c>
      <c r="X34" s="2">
        <f t="shared" si="8"/>
        <v>5.8964469470083714E-2</v>
      </c>
      <c r="Y34" s="2">
        <f t="shared" si="1"/>
        <v>-8.3550666385434624E-10</v>
      </c>
      <c r="Z34" s="2">
        <f t="shared" si="3"/>
        <v>5.8964469004422426E-2</v>
      </c>
      <c r="AA34" s="2">
        <f t="shared" si="2"/>
        <v>-3.6900294625441532E-10</v>
      </c>
      <c r="AB34" s="2">
        <f t="shared" si="4"/>
        <v>-3.5978071888573331E-20</v>
      </c>
      <c r="AC34" s="2">
        <f t="shared" si="5"/>
        <v>3.0830442057745117E-19</v>
      </c>
      <c r="AD34" s="2">
        <f>X34-V34</f>
        <v>9.3132257461547852E-10</v>
      </c>
      <c r="AF34" s="2">
        <v>30</v>
      </c>
      <c r="AG34" s="2">
        <f t="shared" si="13"/>
        <v>1727.4147961288691</v>
      </c>
      <c r="AH34" s="2">
        <v>-1.1233580153202638E-5</v>
      </c>
      <c r="AI34" s="2">
        <f t="shared" si="14"/>
        <v>1727.414813823998</v>
      </c>
      <c r="AJ34" s="2">
        <v>4.5322910864342703E-6</v>
      </c>
      <c r="AK34" s="2">
        <f t="shared" si="9"/>
        <v>1727.4148049764335</v>
      </c>
      <c r="AL34" s="2">
        <v>1.6312696970999241E-8</v>
      </c>
      <c r="AM34" s="2">
        <f t="shared" si="10"/>
        <v>-1.8324998893862586E-13</v>
      </c>
      <c r="AN34" s="2">
        <f t="shared" si="11"/>
        <v>7.3933891077363179E-14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228.80797503224738</v>
      </c>
      <c r="H35" s="25" t="s">
        <v>101</v>
      </c>
      <c r="J35" s="15" t="s">
        <v>70</v>
      </c>
      <c r="K35" s="6">
        <f>ROUND(SUM(K23:K26),2)</f>
        <v>82.05</v>
      </c>
      <c r="L35" s="6" t="s">
        <v>7</v>
      </c>
      <c r="AF35" s="2">
        <v>31</v>
      </c>
      <c r="AG35" s="2">
        <f t="shared" si="13"/>
        <v>1727.4147961288691</v>
      </c>
      <c r="AH35" s="2">
        <v>-1.1233580153202638E-5</v>
      </c>
      <c r="AI35" s="2">
        <f t="shared" si="14"/>
        <v>1727.4148049764335</v>
      </c>
      <c r="AJ35" s="2">
        <v>1.6312696970999241E-8</v>
      </c>
      <c r="AK35" s="2">
        <f t="shared" si="9"/>
        <v>1727.4148005526513</v>
      </c>
      <c r="AL35" s="2">
        <v>-8.9755910721578402E-6</v>
      </c>
      <c r="AM35" s="2">
        <f t="shared" si="10"/>
        <v>1.008280217314551E-10</v>
      </c>
      <c r="AN35" s="2">
        <f t="shared" si="11"/>
        <v>-1.4641609729571703E-13</v>
      </c>
      <c r="AO35" s="2">
        <f t="shared" si="12"/>
        <v>8.8475644588470459E-6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1727.4199999999998</v>
      </c>
      <c r="L36" s="6" t="s">
        <v>7</v>
      </c>
      <c r="AF36" s="2">
        <v>32</v>
      </c>
      <c r="AG36" s="2">
        <f t="shared" si="13"/>
        <v>1727.4148005526513</v>
      </c>
      <c r="AH36" s="2">
        <v>-8.9755910721578402E-6</v>
      </c>
      <c r="AI36" s="2">
        <f t="shared" si="14"/>
        <v>1727.4148049764335</v>
      </c>
      <c r="AJ36" s="2">
        <v>1.6312696970999241E-8</v>
      </c>
      <c r="AK36" s="2">
        <f t="shared" si="9"/>
        <v>1727.4148027645424</v>
      </c>
      <c r="AL36" s="2">
        <v>-1.1126828667329391E-6</v>
      </c>
      <c r="AM36" s="2">
        <f t="shared" si="10"/>
        <v>9.9869864047911605E-12</v>
      </c>
      <c r="AN36" s="2">
        <f t="shared" si="11"/>
        <v>-1.8150858429837168E-14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1727.4148027645424</v>
      </c>
      <c r="AH37" s="2">
        <v>-1.1126828667329391E-6</v>
      </c>
      <c r="AI37" s="2">
        <f t="shared" si="14"/>
        <v>1727.4148049764335</v>
      </c>
      <c r="AJ37" s="2">
        <v>1.6312696970999241E-8</v>
      </c>
      <c r="AK37" s="2">
        <f t="shared" si="9"/>
        <v>1727.414803870488</v>
      </c>
      <c r="AL37" s="2">
        <v>-5.4818451644678134E-7</v>
      </c>
      <c r="AM37" s="2">
        <f t="shared" si="10"/>
        <v>6.0995551925861469E-13</v>
      </c>
      <c r="AN37" s="2">
        <f t="shared" si="11"/>
        <v>-8.9423679009900936E-15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1727.414803870488</v>
      </c>
      <c r="AH38" s="2">
        <v>-5.4818451644678134E-7</v>
      </c>
      <c r="AI38" s="2">
        <f t="shared" si="14"/>
        <v>1727.4148049764335</v>
      </c>
      <c r="AJ38" s="2">
        <v>1.6312696970999241E-8</v>
      </c>
      <c r="AK38" s="2">
        <f t="shared" si="9"/>
        <v>1727.4148044234607</v>
      </c>
      <c r="AL38" s="2">
        <v>-2.6593693291943055E-7</v>
      </c>
      <c r="AM38" s="2">
        <f t="shared" si="10"/>
        <v>1.4578250897777816E-13</v>
      </c>
      <c r="AN38" s="2">
        <f t="shared" si="11"/>
        <v>-4.338148600111623E-15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34.729999999999997</v>
      </c>
      <c r="L39" s="6" t="s">
        <v>58</v>
      </c>
      <c r="AF39" s="2">
        <v>35</v>
      </c>
      <c r="AG39" s="2">
        <f t="shared" si="13"/>
        <v>1727.4148044234607</v>
      </c>
      <c r="AH39" s="2">
        <v>-2.6593693291943055E-7</v>
      </c>
      <c r="AI39" s="2">
        <f t="shared" si="14"/>
        <v>1727.4148049764335</v>
      </c>
      <c r="AJ39" s="2">
        <v>1.6312696970999241E-8</v>
      </c>
      <c r="AK39" s="2">
        <f t="shared" si="9"/>
        <v>1727.4148046999471</v>
      </c>
      <c r="AL39" s="2">
        <v>-1.2481245903472882E-7</v>
      </c>
      <c r="AM39" s="2">
        <f t="shared" si="10"/>
        <v>3.3192242545827851E-14</v>
      </c>
      <c r="AN39" s="2">
        <f t="shared" si="11"/>
        <v>-2.0360278224387876E-15</v>
      </c>
      <c r="AO39" s="2">
        <f t="shared" si="12"/>
        <v>5.5297277867794037E-7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28.48</v>
      </c>
      <c r="L40" s="6" t="s">
        <v>58</v>
      </c>
      <c r="AF40" s="2">
        <v>36</v>
      </c>
      <c r="AG40" s="2">
        <f t="shared" si="13"/>
        <v>1727.4148046999471</v>
      </c>
      <c r="AH40" s="2">
        <v>-1.2481245903472882E-7</v>
      </c>
      <c r="AI40" s="2">
        <f t="shared" si="14"/>
        <v>1727.4148049764335</v>
      </c>
      <c r="AJ40" s="2">
        <v>1.6312696970999241E-8</v>
      </c>
      <c r="AK40" s="2">
        <f t="shared" si="9"/>
        <v>1727.4148048381903</v>
      </c>
      <c r="AL40" s="2">
        <v>-5.424999471870251E-8</v>
      </c>
      <c r="AM40" s="2">
        <f t="shared" si="10"/>
        <v>6.7710752434623117E-15</v>
      </c>
      <c r="AN40" s="2">
        <f t="shared" si="11"/>
        <v>-8.8496372452450325E-16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22.75</v>
      </c>
      <c r="L41" s="6" t="s">
        <v>58</v>
      </c>
      <c r="AF41" s="2">
        <v>37</v>
      </c>
      <c r="AG41" s="2">
        <f t="shared" si="13"/>
        <v>1727.4148048381903</v>
      </c>
      <c r="AH41" s="2">
        <v>-5.424999471870251E-8</v>
      </c>
      <c r="AI41" s="2">
        <f t="shared" si="14"/>
        <v>1727.4148049764335</v>
      </c>
      <c r="AJ41" s="2">
        <v>1.6312696970999241E-8</v>
      </c>
      <c r="AK41" s="2">
        <f t="shared" si="9"/>
        <v>1727.4148049073119</v>
      </c>
      <c r="AL41" s="2">
        <v>-1.8968648873851635E-8</v>
      </c>
      <c r="AM41" s="2">
        <f t="shared" si="10"/>
        <v>1.0290491012273735E-15</v>
      </c>
      <c r="AN41" s="2">
        <f t="shared" si="11"/>
        <v>-3.0942982102842772E-16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9.2799999999999994</v>
      </c>
      <c r="L42" s="6" t="s">
        <v>58</v>
      </c>
      <c r="AF42" s="2">
        <v>38</v>
      </c>
      <c r="AG42" s="2">
        <f t="shared" si="13"/>
        <v>1727.4148049073119</v>
      </c>
      <c r="AH42" s="2">
        <v>-1.8968648873851635E-8</v>
      </c>
      <c r="AI42" s="2">
        <f t="shared" si="14"/>
        <v>1727.4148049764335</v>
      </c>
      <c r="AJ42" s="2">
        <v>1.6312696970999241E-8</v>
      </c>
      <c r="AK42" s="2">
        <f t="shared" si="9"/>
        <v>1727.4148049418727</v>
      </c>
      <c r="AL42" s="2">
        <v>-1.3285443856148049E-9</v>
      </c>
      <c r="AM42" s="2">
        <f t="shared" si="10"/>
        <v>2.5200691964054181E-17</v>
      </c>
      <c r="AN42" s="2">
        <f t="shared" si="11"/>
        <v>-2.1672141975056676E-17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4.75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1727.4148049418727</v>
      </c>
      <c r="AH43" s="2">
        <v>-1.3285443856148049E-9</v>
      </c>
      <c r="AI43" s="2">
        <f t="shared" si="14"/>
        <v>1727.4148049764335</v>
      </c>
      <c r="AJ43" s="2">
        <v>1.6312696970999241E-8</v>
      </c>
      <c r="AK43" s="2">
        <f t="shared" si="9"/>
        <v>1727.4148049591531</v>
      </c>
      <c r="AL43" s="2">
        <v>7.4919626058544964E-9</v>
      </c>
      <c r="AM43" s="2">
        <f t="shared" si="10"/>
        <v>-9.9534048572440548E-18</v>
      </c>
      <c r="AN43" s="2">
        <f t="shared" si="11"/>
        <v>1.2221411570736222E-16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1727.4148049418727</v>
      </c>
      <c r="AH44" s="2">
        <v>-1.3285443856148049E-9</v>
      </c>
      <c r="AI44" s="2">
        <f t="shared" si="14"/>
        <v>1727.4148049591531</v>
      </c>
      <c r="AJ44" s="2">
        <v>7.4919626058544964E-9</v>
      </c>
      <c r="AK44" s="5">
        <f>(AG44+AI44)/2</f>
        <v>1727.4148049505129</v>
      </c>
      <c r="AL44" s="2">
        <v>3.0818227969575673E-9</v>
      </c>
      <c r="AM44" s="2">
        <f t="shared" si="10"/>
        <v>-4.094338374357691E-18</v>
      </c>
      <c r="AN44" s="2">
        <f t="shared" si="11"/>
        <v>2.3088901152676009E-17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1605.9356475474685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34.729999999999997</v>
      </c>
      <c r="L47" s="6" t="s">
        <v>58</v>
      </c>
      <c r="N47" s="6" t="s">
        <v>154</v>
      </c>
      <c r="O47" s="6">
        <f>0.377*O46^0.6945</f>
        <v>63.492078178011653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28.48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36.78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J38:L38"/>
    <mergeCell ref="B40:D40"/>
    <mergeCell ref="B46:D46"/>
    <mergeCell ref="J46:L46"/>
    <mergeCell ref="B52:D52"/>
  </mergeCells>
  <conditionalFormatting sqref="K28">
    <cfRule type="containsText" dxfId="11" priority="1" operator="containsText" text="FALSE">
      <formula>NOT(ISERROR(SEARCH("FALSE",K28)))</formula>
    </cfRule>
    <cfRule type="containsText" dxfId="10" priority="2" operator="containsText" text="TRUE">
      <formula>NOT(ISERROR(SEARCH("TRUE",K28)))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NOT(ISERROR(SEARCH("YES",K28)))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E13C-7DF3-FF47-B161-8DD1A1B4D967}">
  <dimension ref="B1:AO56"/>
  <sheetViews>
    <sheetView workbookViewId="0">
      <selection activeCell="E5" sqref="E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334.49089330247523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6.2523035724310214E-2</v>
      </c>
      <c r="X4" s="3">
        <v>1</v>
      </c>
      <c r="Y4" s="2">
        <f t="shared" ref="Y4:Y34" si="1" xml:space="preserve"> $O$20 * TAN($O$17/180*PI()) + $O$21 / (2 * SQRT($O$20^2 + X4^2)) - X4</f>
        <v>-0.94065148321011149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-0.43931468683604297</v>
      </c>
      <c r="AB4" s="2">
        <f>W4*AA4</f>
        <v>-2.746728785926407E-2</v>
      </c>
      <c r="AC4" s="2">
        <f>Y4*AA4</f>
        <v>0.41324201176830944</v>
      </c>
      <c r="AD4" s="2">
        <f>X4-V4</f>
        <v>1</v>
      </c>
      <c r="AF4" s="2">
        <v>0</v>
      </c>
      <c r="AG4" s="2"/>
      <c r="AH4" s="2">
        <f>K27</f>
        <v>6.3198733982972044E-5</v>
      </c>
      <c r="AI4" s="2"/>
      <c r="AJ4" s="2">
        <f>K27</f>
        <v>6.3198733982972044E-5</v>
      </c>
      <c r="AK4" s="2"/>
      <c r="AL4" s="2">
        <f>K27</f>
        <v>6.3198733982972044E-5</v>
      </c>
      <c r="AM4" s="2"/>
      <c r="AN4" s="2"/>
      <c r="AO4" s="2"/>
    </row>
    <row r="5" spans="2:41" x14ac:dyDescent="0.2">
      <c r="B5" s="10" t="s">
        <v>37</v>
      </c>
      <c r="C5" s="10">
        <v>1573.1468135395501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83.622723325618807</v>
      </c>
      <c r="L5" s="6" t="s">
        <v>101</v>
      </c>
      <c r="N5" s="6" t="s">
        <v>114</v>
      </c>
      <c r="O5" s="6">
        <f xml:space="preserve"> $C$18 * 0.85 * ($C$5/$C$18 *2.20462/1000)^(2/3) * 0.3048^2</f>
        <v>0.28721305739451169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6.2523035724310214E-2</v>
      </c>
      <c r="X5" s="2">
        <f>IF(AC4&gt;0, Z4, X4)</f>
        <v>0.5</v>
      </c>
      <c r="Y5" s="2">
        <f t="shared" si="1"/>
        <v>-0.43931468683604297</v>
      </c>
      <c r="Z5" s="2">
        <f t="shared" ref="Z5:Z34" si="3" xml:space="preserve"> (V5 + X5)/2</f>
        <v>0.25</v>
      </c>
      <c r="AA5" s="2">
        <f t="shared" si="2"/>
        <v>-0.18819730284050787</v>
      </c>
      <c r="AB5" s="2">
        <f t="shared" ref="AB5:AB34" si="4">W5*AA5</f>
        <v>-1.1766666688715902E-2</v>
      </c>
      <c r="AC5" s="2">
        <f t="shared" ref="AC5:AC34" si="5">Y5*AA5</f>
        <v>8.2677839160765654E-2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-724.08008066496245</v>
      </c>
      <c r="AI5" s="3">
        <v>10000</v>
      </c>
      <c r="AJ5" s="2">
        <f t="dataTable" ref="AJ5:AJ44" dt2D="0" dtr="0" r1="C5" ca="1"/>
        <v>4243.5183082345793</v>
      </c>
      <c r="AK5" s="2">
        <f>(AG5+AI5)/2</f>
        <v>5250</v>
      </c>
      <c r="AL5" s="2">
        <f t="dataTable" ref="AL5:AL44" dt2D="0" dtr="0" r1="C5" ca="1"/>
        <v>2151.1453545312352</v>
      </c>
      <c r="AM5" s="2">
        <f>AH5*AL5</f>
        <v>-1557601.5018310361</v>
      </c>
      <c r="AN5" s="2">
        <f>AJ5*AL5</f>
        <v>9128424.6956270617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6.2523035724310214E-2</v>
      </c>
      <c r="X6" s="2">
        <f t="shared" ref="X6:X34" si="8">IF(AC5&gt;0, Z5, X5)</f>
        <v>0.25</v>
      </c>
      <c r="Y6" s="2">
        <f t="shared" si="1"/>
        <v>-0.18819730284050787</v>
      </c>
      <c r="Z6" s="2">
        <f t="shared" si="3"/>
        <v>0.125</v>
      </c>
      <c r="AA6" s="2">
        <f t="shared" si="2"/>
        <v>-6.268900564574735E-2</v>
      </c>
      <c r="AB6" s="2">
        <f t="shared" si="4"/>
        <v>-3.9195069395105463E-3</v>
      </c>
      <c r="AC6" s="2">
        <f t="shared" si="5"/>
        <v>1.1797901780283022E-2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-724.08008066496245</v>
      </c>
      <c r="AI6" s="2">
        <f>IF(AN5&gt;0, AK5, AI5)</f>
        <v>5250</v>
      </c>
      <c r="AJ6" s="2">
        <v>2151.1453545312352</v>
      </c>
      <c r="AK6" s="2">
        <f t="shared" ref="AK6:AK43" si="9">(AG6+AI6)/2</f>
        <v>2875</v>
      </c>
      <c r="AL6" s="2">
        <v>824.76236332693747</v>
      </c>
      <c r="AM6" s="2">
        <f t="shared" ref="AM6:AM44" si="10">AH6*AL6</f>
        <v>-597193.99856719398</v>
      </c>
      <c r="AN6" s="2">
        <f t="shared" ref="AN6:AN44" si="11">AJ6*AL6</f>
        <v>1774183.7264629444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443.95751755308402</v>
      </c>
      <c r="D7" s="6" t="s">
        <v>125</v>
      </c>
      <c r="F7" t="s">
        <v>121</v>
      </c>
      <c r="G7" s="8">
        <f>$C$6*2*PI()/60*$C$9</f>
        <v>140.96856795129204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0.91748968072960779</v>
      </c>
      <c r="P7" s="6" t="s">
        <v>115</v>
      </c>
      <c r="U7" s="2">
        <v>3</v>
      </c>
      <c r="V7" s="2">
        <f t="shared" si="7"/>
        <v>0</v>
      </c>
      <c r="W7" s="2">
        <f t="shared" si="0"/>
        <v>6.2523035724310214E-2</v>
      </c>
      <c r="X7" s="2">
        <f t="shared" si="8"/>
        <v>0.125</v>
      </c>
      <c r="Y7" s="2">
        <f t="shared" si="1"/>
        <v>-6.268900564574735E-2</v>
      </c>
      <c r="Z7" s="2">
        <f t="shared" si="3"/>
        <v>6.25E-2</v>
      </c>
      <c r="AA7" s="2">
        <f t="shared" si="2"/>
        <v>-3.2494161781547459E-5</v>
      </c>
      <c r="AB7" s="2">
        <f t="shared" si="4"/>
        <v>-2.0316336378992073E-6</v>
      </c>
      <c r="AC7" s="2">
        <f t="shared" si="5"/>
        <v>2.0370266913772563E-6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-724.08008066496245</v>
      </c>
      <c r="AI7" s="2">
        <f t="shared" ref="AI7:AI44" si="14">IF(AN6&gt;0, AK6, AI6)</f>
        <v>2875</v>
      </c>
      <c r="AJ7" s="2">
        <v>824.76236332693747</v>
      </c>
      <c r="AK7" s="2">
        <f t="shared" si="9"/>
        <v>1687.5</v>
      </c>
      <c r="AL7" s="2">
        <v>78.164887337177106</v>
      </c>
      <c r="AM7" s="2">
        <f t="shared" si="10"/>
        <v>-56597.637928270902</v>
      </c>
      <c r="AN7" s="2">
        <f t="shared" si="11"/>
        <v>64467.457209394001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0.42216656039580869</v>
      </c>
      <c r="H8" s="6" t="s">
        <v>122</v>
      </c>
      <c r="J8" s="6" t="s">
        <v>96</v>
      </c>
      <c r="K8" s="6">
        <f xml:space="preserve"> $C$15 * (G12*G6 + G22*G15 + G31*G27 +G35*G34)/3600</f>
        <v>177.66562245737754</v>
      </c>
      <c r="L8" s="6" t="s">
        <v>102</v>
      </c>
      <c r="N8" s="6" t="s">
        <v>38</v>
      </c>
      <c r="O8" s="6">
        <f xml:space="preserve"> O4 *O7</f>
        <v>2080.3746247106715</v>
      </c>
      <c r="P8" s="6" t="s">
        <v>20</v>
      </c>
      <c r="U8" s="2">
        <v>4</v>
      </c>
      <c r="V8" s="2">
        <f t="shared" si="7"/>
        <v>0</v>
      </c>
      <c r="W8" s="2">
        <f t="shared" si="0"/>
        <v>6.2523035724310214E-2</v>
      </c>
      <c r="X8" s="2">
        <f t="shared" si="8"/>
        <v>6.25E-2</v>
      </c>
      <c r="Y8" s="2">
        <f t="shared" si="1"/>
        <v>-3.2494161781547459E-5</v>
      </c>
      <c r="Z8" s="2">
        <f t="shared" si="3"/>
        <v>3.125E-2</v>
      </c>
      <c r="AA8" s="2">
        <f t="shared" si="2"/>
        <v>3.1258985221913685E-2</v>
      </c>
      <c r="AB8" s="2">
        <f t="shared" si="4"/>
        <v>1.9544066497353945E-3</v>
      </c>
      <c r="AC8" s="2">
        <f t="shared" si="5"/>
        <v>-1.0157345229278644E-6</v>
      </c>
      <c r="AD8" s="2">
        <f t="shared" si="6"/>
        <v>6.25E-2</v>
      </c>
      <c r="AF8" s="2">
        <v>4</v>
      </c>
      <c r="AG8" s="2">
        <f t="shared" si="13"/>
        <v>500</v>
      </c>
      <c r="AH8" s="2">
        <v>-724.08008066496245</v>
      </c>
      <c r="AI8" s="2">
        <f t="shared" si="14"/>
        <v>1687.5</v>
      </c>
      <c r="AJ8" s="2">
        <v>78.164887337177106</v>
      </c>
      <c r="AK8" s="2">
        <f t="shared" si="9"/>
        <v>1093.75</v>
      </c>
      <c r="AL8" s="2">
        <v>-327.71637661777015</v>
      </c>
      <c r="AM8" s="2">
        <f t="shared" si="10"/>
        <v>237292.90041662424</v>
      </c>
      <c r="AN8" s="2">
        <f t="shared" si="11"/>
        <v>-25615.913656875906</v>
      </c>
      <c r="AO8" s="2">
        <f t="shared" si="12"/>
        <v>1187.5</v>
      </c>
    </row>
    <row r="9" spans="2:41" x14ac:dyDescent="0.2">
      <c r="B9" s="6" t="s">
        <v>95</v>
      </c>
      <c r="C9" s="17">
        <v>3.36537666150508</v>
      </c>
      <c r="D9" s="6" t="s">
        <v>8</v>
      </c>
      <c r="F9" t="s">
        <v>19</v>
      </c>
      <c r="G9" s="6">
        <f xml:space="preserve"> $C$5 * $C$44 / $C$18</f>
        <v>3854.7961593153759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2080.3746247106715</v>
      </c>
      <c r="P9" s="6" t="s">
        <v>20</v>
      </c>
      <c r="U9" s="2">
        <v>5</v>
      </c>
      <c r="V9" s="2">
        <f t="shared" si="7"/>
        <v>3.125E-2</v>
      </c>
      <c r="W9" s="2">
        <f t="shared" si="0"/>
        <v>3.1258985221913685E-2</v>
      </c>
      <c r="X9" s="2">
        <f t="shared" si="8"/>
        <v>6.25E-2</v>
      </c>
      <c r="Y9" s="2">
        <f t="shared" si="1"/>
        <v>-3.2494161781547459E-5</v>
      </c>
      <c r="Z9" s="2">
        <f t="shared" si="3"/>
        <v>4.6875E-2</v>
      </c>
      <c r="AA9" s="2">
        <f t="shared" si="2"/>
        <v>1.5616580851999171E-2</v>
      </c>
      <c r="AB9" s="2">
        <f t="shared" si="4"/>
        <v>4.8815847006946229E-4</v>
      </c>
      <c r="AC9" s="2">
        <f t="shared" si="5"/>
        <v>-5.0744770467947727E-7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-327.71637661777015</v>
      </c>
      <c r="AI9" s="2">
        <f t="shared" si="14"/>
        <v>1687.5</v>
      </c>
      <c r="AJ9" s="2">
        <v>78.164887337177106</v>
      </c>
      <c r="AK9" s="2">
        <f t="shared" si="9"/>
        <v>1390.625</v>
      </c>
      <c r="AL9" s="2">
        <v>-124.86594547549942</v>
      </c>
      <c r="AM9" s="2">
        <f t="shared" si="10"/>
        <v>40920.615214182719</v>
      </c>
      <c r="AN9" s="2">
        <f t="shared" si="11"/>
        <v>-9760.1325603425121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44.195419062052082</v>
      </c>
      <c r="H10" s="6" t="s">
        <v>101</v>
      </c>
      <c r="N10" s="6" t="s">
        <v>113</v>
      </c>
      <c r="O10" s="6">
        <f>O7/(0.3048^2)/($C$5*2.20462/1000)^(2/3)</f>
        <v>4.3102513616074223</v>
      </c>
      <c r="U10" s="2">
        <v>6</v>
      </c>
      <c r="V10" s="2">
        <f t="shared" si="7"/>
        <v>4.6875E-2</v>
      </c>
      <c r="W10" s="2">
        <f t="shared" si="0"/>
        <v>1.5616580851999171E-2</v>
      </c>
      <c r="X10" s="2">
        <f t="shared" si="8"/>
        <v>6.25E-2</v>
      </c>
      <c r="Y10" s="2">
        <f t="shared" si="1"/>
        <v>-3.2494161781547459E-5</v>
      </c>
      <c r="Z10" s="2">
        <f t="shared" si="3"/>
        <v>5.46875E-2</v>
      </c>
      <c r="AA10" s="2">
        <f t="shared" si="2"/>
        <v>7.7928613176776254E-3</v>
      </c>
      <c r="AB10" s="2">
        <f t="shared" si="4"/>
        <v>1.2169784883592943E-4</v>
      </c>
      <c r="AC10" s="2">
        <f t="shared" si="5"/>
        <v>-2.532224963977799E-7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-124.86594547549942</v>
      </c>
      <c r="AI10" s="2">
        <f t="shared" si="14"/>
        <v>1687.5</v>
      </c>
      <c r="AJ10" s="2">
        <v>78.164887337177106</v>
      </c>
      <c r="AK10" s="2">
        <f t="shared" si="9"/>
        <v>1539.0625</v>
      </c>
      <c r="AL10" s="2">
        <v>-23.311350401872232</v>
      </c>
      <c r="AM10" s="2">
        <f t="shared" si="10"/>
        <v>2910.7938082404394</v>
      </c>
      <c r="AN10" s="2">
        <f t="shared" si="11"/>
        <v>-1822.1290778398013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8.8988114997325347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5.46875E-2</v>
      </c>
      <c r="W11" s="2">
        <f t="shared" si="0"/>
        <v>7.7928613176776254E-3</v>
      </c>
      <c r="X11" s="2">
        <f t="shared" si="8"/>
        <v>6.25E-2</v>
      </c>
      <c r="Y11" s="2">
        <f t="shared" si="1"/>
        <v>-3.2494161781547459E-5</v>
      </c>
      <c r="Z11" s="2">
        <f t="shared" si="3"/>
        <v>5.859375E-2</v>
      </c>
      <c r="AA11" s="2">
        <f t="shared" si="2"/>
        <v>3.8803858450037615E-3</v>
      </c>
      <c r="AB11" s="2">
        <f t="shared" si="4"/>
        <v>3.0239308749193617E-5</v>
      </c>
      <c r="AC11" s="2">
        <f t="shared" si="5"/>
        <v>-1.2608988542237898E-7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-23.311350401872232</v>
      </c>
      <c r="AI11" s="2">
        <f t="shared" si="14"/>
        <v>1687.5</v>
      </c>
      <c r="AJ11" s="2">
        <v>78.164887337177106</v>
      </c>
      <c r="AK11" s="2">
        <f t="shared" si="9"/>
        <v>1613.28125</v>
      </c>
      <c r="AL11" s="2">
        <v>27.44239212615048</v>
      </c>
      <c r="AM11" s="2">
        <f t="shared" si="10"/>
        <v>-639.7192187182734</v>
      </c>
      <c r="AN11" s="2">
        <f t="shared" si="11"/>
        <v>2145.0314888031885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176.78167624820833</v>
      </c>
      <c r="H12" s="25" t="s">
        <v>101</v>
      </c>
      <c r="J12" s="10" t="s">
        <v>79</v>
      </c>
      <c r="K12" s="6">
        <f>C5</f>
        <v>1573.1468135395501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5.859375E-2</v>
      </c>
      <c r="W12" s="2">
        <f t="shared" si="0"/>
        <v>3.8803858450037615E-3</v>
      </c>
      <c r="X12" s="2">
        <f t="shared" si="8"/>
        <v>6.25E-2</v>
      </c>
      <c r="Y12" s="2">
        <f t="shared" si="1"/>
        <v>-3.2494161781547459E-5</v>
      </c>
      <c r="Z12" s="2">
        <f t="shared" si="3"/>
        <v>6.0546875E-2</v>
      </c>
      <c r="AA12" s="2">
        <f t="shared" si="2"/>
        <v>1.9239961155620572E-3</v>
      </c>
      <c r="AB12" s="2">
        <f t="shared" si="4"/>
        <v>7.4658472926692278E-6</v>
      </c>
      <c r="AC12" s="2">
        <f t="shared" si="5"/>
        <v>-6.2518641046142371E-8</v>
      </c>
      <c r="AD12" s="2">
        <f t="shared" si="6"/>
        <v>3.90625E-3</v>
      </c>
      <c r="AF12" s="2">
        <v>8</v>
      </c>
      <c r="AG12" s="2">
        <f t="shared" si="13"/>
        <v>1539.0625</v>
      </c>
      <c r="AH12" s="2">
        <v>-23.311350401872232</v>
      </c>
      <c r="AI12" s="2">
        <f t="shared" si="14"/>
        <v>1613.28125</v>
      </c>
      <c r="AJ12" s="2">
        <v>27.44239212615048</v>
      </c>
      <c r="AK12" s="2">
        <f t="shared" si="9"/>
        <v>1576.171875</v>
      </c>
      <c r="AL12" s="2">
        <v>2.0687619048696888</v>
      </c>
      <c r="AM12" s="2">
        <f t="shared" si="10"/>
        <v>-48.225633662461988</v>
      </c>
      <c r="AN12" s="2">
        <f t="shared" si="11"/>
        <v>56.771775409076014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373.24710600289399</v>
      </c>
      <c r="L13" s="6" t="s">
        <v>7</v>
      </c>
      <c r="N13" s="6" t="s">
        <v>74</v>
      </c>
      <c r="O13" s="6">
        <f xml:space="preserve"> SQRT( ($C$5*$C$50)^2 + O9^2)</f>
        <v>15557.433370844805</v>
      </c>
      <c r="P13" s="6" t="s">
        <v>20</v>
      </c>
      <c r="U13" s="2">
        <v>9</v>
      </c>
      <c r="V13" s="2">
        <f t="shared" si="7"/>
        <v>6.0546875E-2</v>
      </c>
      <c r="W13" s="2">
        <f t="shared" si="0"/>
        <v>1.9239961155620572E-3</v>
      </c>
      <c r="X13" s="2">
        <f t="shared" si="8"/>
        <v>6.25E-2</v>
      </c>
      <c r="Y13" s="2">
        <f t="shared" si="1"/>
        <v>-3.2494161781547459E-5</v>
      </c>
      <c r="Z13" s="2">
        <f t="shared" si="3"/>
        <v>6.15234375E-2</v>
      </c>
      <c r="AA13" s="2">
        <f t="shared" si="2"/>
        <v>9.4576350788988517E-4</v>
      </c>
      <c r="AB13" s="2">
        <f t="shared" si="4"/>
        <v>1.8196453154204842E-6</v>
      </c>
      <c r="AC13" s="2">
        <f t="shared" si="5"/>
        <v>-3.0731792432457767E-8</v>
      </c>
      <c r="AD13" s="2">
        <f t="shared" si="6"/>
        <v>1.953125E-3</v>
      </c>
      <c r="AF13" s="2">
        <v>9</v>
      </c>
      <c r="AG13" s="2">
        <f t="shared" si="13"/>
        <v>1539.0625</v>
      </c>
      <c r="AH13" s="2">
        <v>-23.311350401872232</v>
      </c>
      <c r="AI13" s="2">
        <f t="shared" si="14"/>
        <v>1576.171875</v>
      </c>
      <c r="AJ13" s="2">
        <v>2.0687619048696888</v>
      </c>
      <c r="AK13" s="2">
        <f t="shared" si="9"/>
        <v>1557.6171875</v>
      </c>
      <c r="AL13" s="2">
        <v>-10.620574914744338</v>
      </c>
      <c r="AM13" s="2">
        <f t="shared" si="10"/>
        <v>247.57994330693958</v>
      </c>
      <c r="AN13" s="2">
        <f t="shared" si="11"/>
        <v>-21.971440791437729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 xml:space="preserve"> $C$54 * $C$18 * (0.0095 * MAX(G9,O18,G28) - 1.9275)</f>
        <v>112.06849361842052</v>
      </c>
      <c r="L14" s="6" t="s">
        <v>7</v>
      </c>
      <c r="N14" s="6" t="s">
        <v>75</v>
      </c>
      <c r="O14" s="6">
        <f>$C$5*$C$50/O13</f>
        <v>0.99101885260230338</v>
      </c>
      <c r="U14" s="2">
        <v>10</v>
      </c>
      <c r="V14" s="2">
        <f t="shared" si="7"/>
        <v>6.15234375E-2</v>
      </c>
      <c r="W14" s="2">
        <f t="shared" si="0"/>
        <v>9.4576350788988517E-4</v>
      </c>
      <c r="X14" s="2">
        <f t="shared" si="8"/>
        <v>6.25E-2</v>
      </c>
      <c r="Y14" s="2">
        <f t="shared" si="1"/>
        <v>-3.2494161781547459E-5</v>
      </c>
      <c r="Z14" s="2">
        <f t="shared" si="3"/>
        <v>6.201171875E-2</v>
      </c>
      <c r="AA14" s="2">
        <f t="shared" si="2"/>
        <v>4.5663780106339896E-4</v>
      </c>
      <c r="AB14" s="2">
        <f t="shared" si="4"/>
        <v>4.3187136856884372E-7</v>
      </c>
      <c r="AC14" s="2">
        <f t="shared" si="5"/>
        <v>-1.483806258332417E-8</v>
      </c>
      <c r="AD14" s="2">
        <f t="shared" si="6"/>
        <v>9.765625E-4</v>
      </c>
      <c r="AF14" s="2">
        <v>10</v>
      </c>
      <c r="AG14" s="2">
        <f t="shared" si="13"/>
        <v>1557.6171875</v>
      </c>
      <c r="AH14" s="2">
        <v>-10.620574914744338</v>
      </c>
      <c r="AI14" s="2">
        <f t="shared" si="14"/>
        <v>1576.171875</v>
      </c>
      <c r="AJ14" s="2">
        <v>2.0687619048696888</v>
      </c>
      <c r="AK14" s="2">
        <f t="shared" si="9"/>
        <v>1566.89453125</v>
      </c>
      <c r="AL14" s="2">
        <v>-4.2757149423465535</v>
      </c>
      <c r="AM14" s="2">
        <f t="shared" si="10"/>
        <v>45.41055085928334</v>
      </c>
      <c r="AN14" s="2">
        <f t="shared" si="11"/>
        <v>-8.8454361888086481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170.20403465329534</v>
      </c>
      <c r="L15" s="6" t="s">
        <v>7</v>
      </c>
      <c r="U15" s="2">
        <v>11</v>
      </c>
      <c r="V15" s="2">
        <f t="shared" si="7"/>
        <v>6.201171875E-2</v>
      </c>
      <c r="W15" s="2">
        <f t="shared" si="0"/>
        <v>4.5663780106339896E-4</v>
      </c>
      <c r="X15" s="2">
        <f t="shared" si="8"/>
        <v>6.25E-2</v>
      </c>
      <c r="Y15" s="2">
        <f t="shared" si="1"/>
        <v>-3.2494161781547459E-5</v>
      </c>
      <c r="Z15" s="2">
        <f t="shared" si="3"/>
        <v>6.2255859375E-2</v>
      </c>
      <c r="AA15" s="2">
        <f t="shared" si="2"/>
        <v>2.1207260104725428E-4</v>
      </c>
      <c r="AB15" s="2">
        <f t="shared" si="4"/>
        <v>9.6840366208013679E-8</v>
      </c>
      <c r="AC15" s="2">
        <f t="shared" si="5"/>
        <v>-6.8911214078630516E-9</v>
      </c>
      <c r="AD15" s="2">
        <f t="shared" si="6"/>
        <v>4.8828125E-4</v>
      </c>
      <c r="AF15" s="2">
        <v>11</v>
      </c>
      <c r="AG15" s="2">
        <f t="shared" si="13"/>
        <v>1566.89453125</v>
      </c>
      <c r="AH15" s="2">
        <v>-4.2757149423465535</v>
      </c>
      <c r="AI15" s="2">
        <f t="shared" si="14"/>
        <v>1576.171875</v>
      </c>
      <c r="AJ15" s="2">
        <v>2.0687619048696888</v>
      </c>
      <c r="AK15" s="2">
        <f t="shared" si="9"/>
        <v>1571.533203125</v>
      </c>
      <c r="AL15" s="2">
        <v>-1.103427519154593</v>
      </c>
      <c r="AM15" s="2">
        <f t="shared" si="10"/>
        <v>4.717941531445681</v>
      </c>
      <c r="AN15" s="2">
        <f t="shared" si="11"/>
        <v>-2.2827288164118911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156.46013870167215</v>
      </c>
      <c r="H16" s="6" t="s">
        <v>10</v>
      </c>
      <c r="J16" s="13" t="s">
        <v>53</v>
      </c>
      <c r="K16" s="6">
        <f xml:space="preserve"> $C$54 * 0.2138 * K4</f>
        <v>57.211322390455365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6.2255859375E-2</v>
      </c>
      <c r="W16" s="2">
        <f t="shared" si="0"/>
        <v>2.1207260104725428E-4</v>
      </c>
      <c r="X16" s="2">
        <f t="shared" si="8"/>
        <v>6.25E-2</v>
      </c>
      <c r="Y16" s="2">
        <f t="shared" si="1"/>
        <v>-3.2494161781547459E-5</v>
      </c>
      <c r="Z16" s="2">
        <f t="shared" si="3"/>
        <v>6.23779296875E-2</v>
      </c>
      <c r="AA16" s="2">
        <f t="shared" si="2"/>
        <v>8.9789414909724474E-5</v>
      </c>
      <c r="AB16" s="2">
        <f t="shared" si="4"/>
        <v>1.9041874766416384E-8</v>
      </c>
      <c r="AC16" s="2">
        <f t="shared" si="5"/>
        <v>-2.9176317743470767E-9</v>
      </c>
      <c r="AD16" s="2">
        <f t="shared" si="6"/>
        <v>2.44140625E-4</v>
      </c>
      <c r="AF16" s="2">
        <v>12</v>
      </c>
      <c r="AG16" s="2">
        <f t="shared" si="13"/>
        <v>1571.533203125</v>
      </c>
      <c r="AH16" s="2">
        <v>-1.103427519154593</v>
      </c>
      <c r="AI16" s="2">
        <f t="shared" si="14"/>
        <v>1576.171875</v>
      </c>
      <c r="AJ16" s="2">
        <v>2.0687619048696888</v>
      </c>
      <c r="AK16" s="2">
        <f t="shared" si="9"/>
        <v>1573.8525390625</v>
      </c>
      <c r="AL16" s="2">
        <v>0.48268168821823565</v>
      </c>
      <c r="AM16" s="2">
        <f t="shared" si="10"/>
        <v>-0.53260425777199849</v>
      </c>
      <c r="AN16" s="2">
        <f t="shared" si="11"/>
        <v>0.99855348876407446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0.47024319177073948</v>
      </c>
      <c r="H17" s="6" t="s">
        <v>122</v>
      </c>
      <c r="J17" s="13" t="s">
        <v>77</v>
      </c>
      <c r="K17" s="6">
        <f xml:space="preserve"> $C$54 * 0.1149 * K4</f>
        <v>30.746402912363525</v>
      </c>
      <c r="L17" s="6" t="s">
        <v>7</v>
      </c>
      <c r="N17" s="6" t="s">
        <v>25</v>
      </c>
      <c r="O17" s="6">
        <f xml:space="preserve"> ACOS(O14)/PI()*180</f>
        <v>7.6847389183276089</v>
      </c>
      <c r="P17" s="6" t="s">
        <v>40</v>
      </c>
      <c r="U17" s="2">
        <v>13</v>
      </c>
      <c r="V17" s="2">
        <f t="shared" si="7"/>
        <v>6.23779296875E-2</v>
      </c>
      <c r="W17" s="2">
        <f t="shared" si="0"/>
        <v>8.9789414909724474E-5</v>
      </c>
      <c r="X17" s="2">
        <f t="shared" si="8"/>
        <v>6.25E-2</v>
      </c>
      <c r="Y17" s="2">
        <f t="shared" si="1"/>
        <v>-3.2494161781547459E-5</v>
      </c>
      <c r="Z17" s="2">
        <f t="shared" si="3"/>
        <v>6.243896484375E-2</v>
      </c>
      <c r="AA17" s="2">
        <f t="shared" si="2"/>
        <v>2.8647675373957848E-5</v>
      </c>
      <c r="AB17" s="2">
        <f t="shared" si="4"/>
        <v>2.5722580103513975E-9</v>
      </c>
      <c r="AC17" s="2">
        <f t="shared" si="5"/>
        <v>-9.3088219826663938E-10</v>
      </c>
      <c r="AD17" s="2">
        <f t="shared" si="6"/>
        <v>1.220703125E-4</v>
      </c>
      <c r="AF17" s="2">
        <v>13</v>
      </c>
      <c r="AG17" s="2">
        <f t="shared" si="13"/>
        <v>1571.533203125</v>
      </c>
      <c r="AH17" s="2">
        <v>-1.103427519154593</v>
      </c>
      <c r="AI17" s="2">
        <f t="shared" si="14"/>
        <v>1573.8525390625</v>
      </c>
      <c r="AJ17" s="2">
        <v>0.48268168821823565</v>
      </c>
      <c r="AK17" s="2">
        <f t="shared" si="9"/>
        <v>1572.69287109375</v>
      </c>
      <c r="AL17" s="2">
        <v>-0.3103689418767317</v>
      </c>
      <c r="AM17" s="2">
        <f t="shared" si="10"/>
        <v>0.34246963155767812</v>
      </c>
      <c r="AN17" s="2">
        <f t="shared" si="11"/>
        <v>-0.14980940483556832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3889.3583427112012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125.58819909984784</v>
      </c>
      <c r="L18" s="6" t="s">
        <v>7</v>
      </c>
      <c r="N18" s="6" t="s">
        <v>19</v>
      </c>
      <c r="O18" s="6">
        <f xml:space="preserve"> O13 / $C$18</f>
        <v>3889.3583427112012</v>
      </c>
      <c r="P18" s="6" t="s">
        <v>20</v>
      </c>
      <c r="U18" s="2">
        <v>14</v>
      </c>
      <c r="V18" s="2">
        <f t="shared" si="7"/>
        <v>6.243896484375E-2</v>
      </c>
      <c r="W18" s="2">
        <f t="shared" si="0"/>
        <v>2.8647675373957848E-5</v>
      </c>
      <c r="X18" s="2">
        <f t="shared" si="8"/>
        <v>6.25E-2</v>
      </c>
      <c r="Y18" s="2">
        <f t="shared" si="1"/>
        <v>-3.2494161781547459E-5</v>
      </c>
      <c r="Z18" s="2">
        <f t="shared" si="3"/>
        <v>6.2469482421875E-2</v>
      </c>
      <c r="AA18" s="2">
        <f t="shared" si="2"/>
        <v>-1.9232310024958066E-6</v>
      </c>
      <c r="AB18" s="2">
        <f t="shared" si="4"/>
        <v>-5.5096097428631382E-11</v>
      </c>
      <c r="AC18" s="2">
        <f t="shared" si="5"/>
        <v>6.2493779338386444E-11</v>
      </c>
      <c r="AD18" s="2">
        <f t="shared" si="6"/>
        <v>6.103515625E-5</v>
      </c>
      <c r="AF18" s="2">
        <v>14</v>
      </c>
      <c r="AG18" s="2">
        <f t="shared" si="13"/>
        <v>1572.69287109375</v>
      </c>
      <c r="AH18" s="2">
        <v>-0.3103689418767317</v>
      </c>
      <c r="AI18" s="2">
        <f t="shared" si="14"/>
        <v>1573.8525390625</v>
      </c>
      <c r="AJ18" s="2">
        <v>0.48268168821823565</v>
      </c>
      <c r="AK18" s="2">
        <f t="shared" si="9"/>
        <v>1573.272705078125</v>
      </c>
      <c r="AL18" s="2">
        <v>8.6154248652974275E-2</v>
      </c>
      <c r="AM18" s="2">
        <f t="shared" si="10"/>
        <v>-2.6739602992608462E-2</v>
      </c>
      <c r="AN18" s="2">
        <f t="shared" si="11"/>
        <v>4.1585078186991274E-2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55.748482217079207</v>
      </c>
      <c r="H19" s="6" t="s">
        <v>101</v>
      </c>
      <c r="J19" s="14" t="s">
        <v>61</v>
      </c>
      <c r="K19" s="6">
        <f xml:space="preserve"> $C$55 * C31 * $C$5</f>
        <v>17.619244311642962</v>
      </c>
      <c r="L19" s="6" t="s">
        <v>7</v>
      </c>
      <c r="N19" s="6" t="s">
        <v>26</v>
      </c>
      <c r="O19" s="6">
        <f>$C$7*2*PI()/60</f>
        <v>46.491122521691018</v>
      </c>
      <c r="P19" s="6" t="s">
        <v>27</v>
      </c>
      <c r="U19" s="2">
        <v>15</v>
      </c>
      <c r="V19" s="2">
        <f t="shared" si="7"/>
        <v>6.243896484375E-2</v>
      </c>
      <c r="W19" s="2">
        <f t="shared" si="0"/>
        <v>2.8647675373957848E-5</v>
      </c>
      <c r="X19" s="2">
        <f t="shared" si="8"/>
        <v>6.2469482421875E-2</v>
      </c>
      <c r="Y19" s="2">
        <f t="shared" si="1"/>
        <v>-1.9232310024958066E-6</v>
      </c>
      <c r="Z19" s="2">
        <f t="shared" si="3"/>
        <v>6.24542236328125E-2</v>
      </c>
      <c r="AA19" s="2">
        <f t="shared" si="2"/>
        <v>1.336222523620062E-5</v>
      </c>
      <c r="AB19" s="2">
        <f t="shared" si="4"/>
        <v>3.8279669084038257E-10</v>
      </c>
      <c r="AC19" s="2">
        <f t="shared" si="5"/>
        <v>-2.5698645836592883E-11</v>
      </c>
      <c r="AD19" s="2">
        <f t="shared" si="6"/>
        <v>3.0517578125E-5</v>
      </c>
      <c r="AF19" s="2">
        <v>15</v>
      </c>
      <c r="AG19" s="2">
        <f t="shared" si="13"/>
        <v>1572.69287109375</v>
      </c>
      <c r="AH19" s="2">
        <v>-0.3103689418767317</v>
      </c>
      <c r="AI19" s="2">
        <f t="shared" si="14"/>
        <v>1573.272705078125</v>
      </c>
      <c r="AJ19" s="2">
        <v>8.6154248652974275E-2</v>
      </c>
      <c r="AK19" s="2">
        <f t="shared" si="9"/>
        <v>1572.9827880859375</v>
      </c>
      <c r="AL19" s="2">
        <v>-0.11210725119917697</v>
      </c>
      <c r="AM19" s="2">
        <f t="shared" si="10"/>
        <v>3.4794608931397519E-2</v>
      </c>
      <c r="AN19" s="2">
        <f t="shared" si="11"/>
        <v>-9.6585159956153414E-3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7.1185952307086815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0.42473284717463844</v>
      </c>
      <c r="U20" s="2">
        <v>16</v>
      </c>
      <c r="V20" s="2">
        <f t="shared" si="7"/>
        <v>6.24542236328125E-2</v>
      </c>
      <c r="W20" s="2">
        <f t="shared" si="0"/>
        <v>1.336222523620062E-5</v>
      </c>
      <c r="X20" s="2">
        <f t="shared" si="8"/>
        <v>6.2469482421875E-2</v>
      </c>
      <c r="Y20" s="2">
        <f t="shared" si="1"/>
        <v>-1.9232310024958066E-6</v>
      </c>
      <c r="Z20" s="2">
        <f t="shared" si="3"/>
        <v>6.246185302734375E-2</v>
      </c>
      <c r="AA20" s="2">
        <f t="shared" si="2"/>
        <v>5.7194978794472551E-6</v>
      </c>
      <c r="AB20" s="2">
        <f t="shared" si="4"/>
        <v>7.6425218903146043E-11</v>
      </c>
      <c r="AC20" s="2">
        <f t="shared" si="5"/>
        <v>-1.0999915640461984E-11</v>
      </c>
      <c r="AD20" s="2">
        <f t="shared" si="6"/>
        <v>1.52587890625E-5</v>
      </c>
      <c r="AF20" s="2">
        <v>16</v>
      </c>
      <c r="AG20" s="2">
        <f t="shared" si="13"/>
        <v>1572.9827880859375</v>
      </c>
      <c r="AH20" s="2">
        <v>-0.11210725119917697</v>
      </c>
      <c r="AI20" s="2">
        <f t="shared" si="14"/>
        <v>1573.272705078125</v>
      </c>
      <c r="AJ20" s="2">
        <v>8.6154248652974275E-2</v>
      </c>
      <c r="AK20" s="2">
        <f t="shared" si="9"/>
        <v>1573.1277465820312</v>
      </c>
      <c r="AL20" s="2">
        <v>-1.2978368610447433E-2</v>
      </c>
      <c r="AM20" s="2">
        <f t="shared" si="10"/>
        <v>1.4549692299669437E-3</v>
      </c>
      <c r="AN20" s="2">
        <f t="shared" si="11"/>
        <v>-1.1181415963744444E-3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7.2106743684958965E-2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4.4274966205229641E-3</v>
      </c>
      <c r="U21" s="2">
        <v>17</v>
      </c>
      <c r="V21" s="2">
        <f t="shared" si="7"/>
        <v>6.246185302734375E-2</v>
      </c>
      <c r="W21" s="2">
        <f t="shared" si="0"/>
        <v>5.7194978794472551E-6</v>
      </c>
      <c r="X21" s="2">
        <f t="shared" si="8"/>
        <v>6.2469482421875E-2</v>
      </c>
      <c r="Y21" s="2">
        <f t="shared" si="1"/>
        <v>-1.9232310024958066E-6</v>
      </c>
      <c r="Z21" s="2">
        <f t="shared" si="3"/>
        <v>6.2465667724609375E-2</v>
      </c>
      <c r="AA21" s="2">
        <f t="shared" si="2"/>
        <v>1.8981336291218343E-6</v>
      </c>
      <c r="AB21" s="2">
        <f t="shared" si="4"/>
        <v>1.0856371266669853E-11</v>
      </c>
      <c r="AC21" s="2">
        <f t="shared" si="5"/>
        <v>-3.650549442406989E-12</v>
      </c>
      <c r="AD21" s="2">
        <f t="shared" si="6"/>
        <v>7.62939453125E-6</v>
      </c>
      <c r="AF21" s="2">
        <v>17</v>
      </c>
      <c r="AG21" s="2">
        <f t="shared" si="13"/>
        <v>1573.1277465820312</v>
      </c>
      <c r="AH21" s="2">
        <v>-1.2978368610447433E-2</v>
      </c>
      <c r="AI21" s="2">
        <f t="shared" si="14"/>
        <v>1573.272705078125</v>
      </c>
      <c r="AJ21" s="2">
        <v>8.6154248652974275E-2</v>
      </c>
      <c r="AK21" s="2">
        <f t="shared" si="9"/>
        <v>1573.2002258300781</v>
      </c>
      <c r="AL21" s="2">
        <v>3.6587473189683806E-2</v>
      </c>
      <c r="AM21" s="2">
        <f t="shared" si="10"/>
        <v>-4.7484571358057934E-4</v>
      </c>
      <c r="AN21" s="2">
        <f t="shared" si="11"/>
        <v>3.1521662627680483E-3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222.99392886831683</v>
      </c>
      <c r="H22" s="25" t="s">
        <v>101</v>
      </c>
      <c r="J22" s="14" t="s">
        <v>112</v>
      </c>
      <c r="K22" s="6">
        <f>$C$55*(0.14*$G$12*1000/745.7)*0.453592</f>
        <v>12.0436052814685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6.2465667724609375E-2</v>
      </c>
      <c r="W22" s="2">
        <f t="shared" si="0"/>
        <v>1.8981336291218343E-6</v>
      </c>
      <c r="X22" s="2">
        <f t="shared" si="8"/>
        <v>6.2469482421875E-2</v>
      </c>
      <c r="Y22" s="2">
        <f t="shared" si="1"/>
        <v>-1.9232310024958066E-6</v>
      </c>
      <c r="Z22" s="2">
        <f t="shared" si="3"/>
        <v>6.2467575073242188E-2</v>
      </c>
      <c r="AA22" s="2">
        <f t="shared" si="2"/>
        <v>-1.254863902372394E-8</v>
      </c>
      <c r="AB22" s="2">
        <f t="shared" si="4"/>
        <v>-2.3818993730640993E-14</v>
      </c>
      <c r="AC22" s="2">
        <f t="shared" si="5"/>
        <v>2.4133931609554591E-14</v>
      </c>
      <c r="AD22" s="2">
        <f t="shared" si="6"/>
        <v>3.814697265625E-6</v>
      </c>
      <c r="AF22" s="2">
        <v>18</v>
      </c>
      <c r="AG22" s="2">
        <f t="shared" si="13"/>
        <v>1573.1277465820312</v>
      </c>
      <c r="AH22" s="2">
        <v>-1.2978368610447433E-2</v>
      </c>
      <c r="AI22" s="2">
        <f t="shared" si="14"/>
        <v>1573.2002258300781</v>
      </c>
      <c r="AJ22" s="2">
        <v>3.6587473189683806E-2</v>
      </c>
      <c r="AK22" s="2">
        <f t="shared" si="9"/>
        <v>1573.1639862060547</v>
      </c>
      <c r="AL22" s="2">
        <v>1.1804435581552752E-2</v>
      </c>
      <c r="AM22" s="2">
        <f t="shared" si="10"/>
        <v>-1.5320231621567302E-4</v>
      </c>
      <c r="AN22" s="2">
        <f t="shared" si="11"/>
        <v>4.3189447035941087E-4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33.728267682287957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17264.430843825154</v>
      </c>
      <c r="P23" s="6" t="s">
        <v>18</v>
      </c>
      <c r="U23" s="2">
        <v>19</v>
      </c>
      <c r="V23" s="2">
        <f t="shared" si="7"/>
        <v>6.2465667724609375E-2</v>
      </c>
      <c r="W23" s="2">
        <f t="shared" si="0"/>
        <v>1.8981336291218343E-6</v>
      </c>
      <c r="X23" s="2">
        <f t="shared" si="8"/>
        <v>6.2467575073242188E-2</v>
      </c>
      <c r="Y23" s="2">
        <f t="shared" si="1"/>
        <v>-1.254863902372394E-8</v>
      </c>
      <c r="Z23" s="2">
        <f t="shared" si="3"/>
        <v>6.2466621398925781E-2</v>
      </c>
      <c r="AA23" s="2">
        <f t="shared" si="2"/>
        <v>9.4279250696660544E-7</v>
      </c>
      <c r="AB23" s="2">
        <f t="shared" si="4"/>
        <v>1.7895461627573949E-12</v>
      </c>
      <c r="AC23" s="2">
        <f t="shared" si="5"/>
        <v>-1.1830762844195669E-14</v>
      </c>
      <c r="AD23" s="2">
        <f t="shared" si="6"/>
        <v>1.9073486328125E-6</v>
      </c>
      <c r="AF23" s="2">
        <v>19</v>
      </c>
      <c r="AG23" s="2">
        <f t="shared" si="13"/>
        <v>1573.1277465820312</v>
      </c>
      <c r="AH23" s="2">
        <v>-1.2978368610447433E-2</v>
      </c>
      <c r="AI23" s="2">
        <f t="shared" si="14"/>
        <v>1573.1639862060547</v>
      </c>
      <c r="AJ23" s="2">
        <v>1.1804435581552752E-2</v>
      </c>
      <c r="AK23" s="2">
        <f t="shared" si="9"/>
        <v>1573.145866394043</v>
      </c>
      <c r="AL23" s="2">
        <v>-5.8699569160580722E-4</v>
      </c>
      <c r="AM23" s="2">
        <f t="shared" si="10"/>
        <v>7.6182464584046903E-6</v>
      </c>
      <c r="AN23" s="2">
        <f t="shared" si="11"/>
        <v>-6.9291528282097568E-6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 xml:space="preserve"> $C$56 * (11.5 * ($C$5*2.20462/1000)^0.4 * 0.453592)</f>
        <v>6.8626904951003418</v>
      </c>
      <c r="L24" s="6" t="s">
        <v>7</v>
      </c>
      <c r="N24" s="6" t="s">
        <v>31</v>
      </c>
      <c r="O24" s="18">
        <f>Z34</f>
        <v>6.246756250038743E-2</v>
      </c>
      <c r="U24" s="2">
        <v>20</v>
      </c>
      <c r="V24" s="2">
        <f t="shared" si="7"/>
        <v>6.2466621398925781E-2</v>
      </c>
      <c r="W24" s="2">
        <f t="shared" si="0"/>
        <v>9.4279250696660544E-7</v>
      </c>
      <c r="X24" s="2">
        <f t="shared" si="8"/>
        <v>6.2467575073242188E-2</v>
      </c>
      <c r="Y24" s="2">
        <f t="shared" si="1"/>
        <v>-1.254863902372394E-8</v>
      </c>
      <c r="Z24" s="2">
        <f t="shared" si="3"/>
        <v>6.2467098236083984E-2</v>
      </c>
      <c r="AA24" s="2">
        <f t="shared" si="2"/>
        <v>4.6512193694475679E-7</v>
      </c>
      <c r="AB24" s="2">
        <f t="shared" si="4"/>
        <v>4.3851347697731063E-13</v>
      </c>
      <c r="AC24" s="2">
        <f t="shared" si="5"/>
        <v>-5.8366472887350406E-15</v>
      </c>
      <c r="AD24" s="2">
        <f t="shared" si="6"/>
        <v>9.5367431640625E-7</v>
      </c>
      <c r="AF24" s="2">
        <v>20</v>
      </c>
      <c r="AG24" s="2">
        <f t="shared" si="13"/>
        <v>1573.145866394043</v>
      </c>
      <c r="AH24" s="2">
        <v>-5.8699569160580722E-4</v>
      </c>
      <c r="AI24" s="2">
        <f t="shared" si="14"/>
        <v>1573.1639862060547</v>
      </c>
      <c r="AJ24" s="2">
        <v>1.1804435581552752E-2</v>
      </c>
      <c r="AK24" s="2">
        <f t="shared" si="9"/>
        <v>1573.1549263000488</v>
      </c>
      <c r="AL24" s="2">
        <v>5.6087126506554341E-3</v>
      </c>
      <c r="AM24" s="2">
        <f t="shared" si="10"/>
        <v>-3.2922901613897266E-6</v>
      </c>
      <c r="AN24" s="2">
        <f t="shared" si="11"/>
        <v>6.6207687180102058E-5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10.068139606653121</v>
      </c>
      <c r="L25" s="6" t="s">
        <v>7</v>
      </c>
      <c r="N25" s="6" t="s">
        <v>32</v>
      </c>
      <c r="O25" s="6">
        <f xml:space="preserve"> O19 * $C$9 * O24 - $C$8 * SIN(O17/180*PI())</f>
        <v>0.80680589136121839</v>
      </c>
      <c r="P25" s="6" t="s">
        <v>10</v>
      </c>
      <c r="U25" s="2">
        <v>21</v>
      </c>
      <c r="V25" s="2">
        <f t="shared" si="7"/>
        <v>6.2467098236083984E-2</v>
      </c>
      <c r="W25" s="2">
        <f t="shared" si="0"/>
        <v>4.6512193694475679E-7</v>
      </c>
      <c r="X25" s="2">
        <f t="shared" si="8"/>
        <v>6.2467575073242188E-2</v>
      </c>
      <c r="Y25" s="2">
        <f t="shared" si="1"/>
        <v>-1.254863902372394E-8</v>
      </c>
      <c r="Z25" s="2">
        <f t="shared" si="3"/>
        <v>6.2467336654663086E-2</v>
      </c>
      <c r="AA25" s="2">
        <f t="shared" si="2"/>
        <v>2.2628664970297807E-7</v>
      </c>
      <c r="AB25" s="2">
        <f t="shared" si="4"/>
        <v>1.0525088481458884E-13</v>
      </c>
      <c r="AC25" s="2">
        <f t="shared" si="5"/>
        <v>-2.8395894830105399E-15</v>
      </c>
      <c r="AD25" s="2">
        <f t="shared" si="6"/>
        <v>4.76837158203125E-7</v>
      </c>
      <c r="AF25" s="2">
        <v>21</v>
      </c>
      <c r="AG25" s="2">
        <f t="shared" si="13"/>
        <v>1573.145866394043</v>
      </c>
      <c r="AH25" s="2">
        <v>-5.8699569160580722E-4</v>
      </c>
      <c r="AI25" s="2">
        <f t="shared" si="14"/>
        <v>1573.1549263000488</v>
      </c>
      <c r="AJ25" s="2">
        <v>5.6087126506554341E-3</v>
      </c>
      <c r="AK25" s="2">
        <f t="shared" si="9"/>
        <v>1573.1503963470459</v>
      </c>
      <c r="AL25" s="2">
        <v>2.510856655931093E-3</v>
      </c>
      <c r="AM25" s="2">
        <f t="shared" si="10"/>
        <v>-1.4738620392713163E-6</v>
      </c>
      <c r="AN25" s="2">
        <f t="shared" si="11"/>
        <v>1.408267349010312E-5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23.759244286386394</v>
      </c>
      <c r="L26" s="6" t="s">
        <v>7</v>
      </c>
      <c r="N26" s="6" t="s">
        <v>33</v>
      </c>
      <c r="O26" s="6">
        <f xml:space="preserve"> 1/$C$21 - O23 * SQRT( (2*$C$47*PI()*$C$9^2) / O18^3 )</f>
        <v>0.73034838015546155</v>
      </c>
      <c r="U26" s="2">
        <v>22</v>
      </c>
      <c r="V26" s="2">
        <f t="shared" si="7"/>
        <v>6.2467336654663086E-2</v>
      </c>
      <c r="W26" s="2">
        <f t="shared" si="0"/>
        <v>2.2628664970297807E-7</v>
      </c>
      <c r="X26" s="2">
        <f t="shared" si="8"/>
        <v>6.2467575073242188E-2</v>
      </c>
      <c r="Y26" s="2">
        <f t="shared" si="1"/>
        <v>-1.254863902372394E-8</v>
      </c>
      <c r="Z26" s="2">
        <f t="shared" si="3"/>
        <v>6.2467455863952637E-2</v>
      </c>
      <c r="AA26" s="2">
        <f t="shared" si="2"/>
        <v>1.068690055269772E-7</v>
      </c>
      <c r="AB26" s="2">
        <f t="shared" si="4"/>
        <v>2.4183029217788717E-14</v>
      </c>
      <c r="AC26" s="2">
        <f t="shared" si="5"/>
        <v>-1.3410605731823955E-15</v>
      </c>
      <c r="AD26" s="2">
        <f t="shared" si="6"/>
        <v>2.384185791015625E-7</v>
      </c>
      <c r="AF26" s="2">
        <v>22</v>
      </c>
      <c r="AG26" s="2">
        <f t="shared" si="13"/>
        <v>1573.145866394043</v>
      </c>
      <c r="AH26" s="2">
        <v>-5.8699569160580722E-4</v>
      </c>
      <c r="AI26" s="2">
        <f t="shared" si="14"/>
        <v>1573.1503963470459</v>
      </c>
      <c r="AJ26" s="2">
        <v>2.510856655931093E-3</v>
      </c>
      <c r="AK26" s="2">
        <f t="shared" si="9"/>
        <v>1573.1481313705444</v>
      </c>
      <c r="AL26" s="2">
        <v>9.6193002639211045E-4</v>
      </c>
      <c r="AM26" s="2">
        <f t="shared" si="10"/>
        <v>-5.6464878111842928E-7</v>
      </c>
      <c r="AN26" s="2">
        <f t="shared" si="11"/>
        <v>2.4152684093066023E-6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6.3198733982972044E-5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6.2467455863952637E-2</v>
      </c>
      <c r="W27" s="2">
        <f t="shared" si="0"/>
        <v>1.068690055269772E-7</v>
      </c>
      <c r="X27" s="2">
        <f t="shared" si="8"/>
        <v>6.2467575073242188E-2</v>
      </c>
      <c r="Y27" s="2">
        <f t="shared" si="1"/>
        <v>-1.254863902372394E-8</v>
      </c>
      <c r="Z27" s="2">
        <f t="shared" si="3"/>
        <v>6.2467515468597412E-2</v>
      </c>
      <c r="AA27" s="2">
        <f t="shared" si="2"/>
        <v>4.7160183293259994E-8</v>
      </c>
      <c r="AB27" s="2">
        <f t="shared" si="4"/>
        <v>5.0399618890206604E-15</v>
      </c>
      <c r="AC27" s="2">
        <f t="shared" si="5"/>
        <v>-5.9179611643977615E-16</v>
      </c>
      <c r="AD27" s="2">
        <f t="shared" si="6"/>
        <v>1.1920928955078125E-7</v>
      </c>
      <c r="AF27" s="2">
        <v>23</v>
      </c>
      <c r="AG27" s="2">
        <f t="shared" si="13"/>
        <v>1573.145866394043</v>
      </c>
      <c r="AH27" s="2">
        <v>-5.8699569160580722E-4</v>
      </c>
      <c r="AI27" s="2">
        <f t="shared" si="14"/>
        <v>1573.1481313705444</v>
      </c>
      <c r="AJ27" s="2">
        <v>9.6193002639211045E-4</v>
      </c>
      <c r="AK27" s="2">
        <f t="shared" si="9"/>
        <v>1573.1469988822937</v>
      </c>
      <c r="AL27" s="2">
        <v>1.8998939174252882E-4</v>
      </c>
      <c r="AM27" s="2">
        <f t="shared" si="10"/>
        <v>-1.1152295440367235E-7</v>
      </c>
      <c r="AN27" s="2">
        <f t="shared" si="11"/>
        <v>1.8275650061311176E-7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3854.7961593153759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1.1500001135812177</v>
      </c>
      <c r="U28" s="2">
        <v>24</v>
      </c>
      <c r="V28" s="2">
        <f t="shared" si="7"/>
        <v>6.2467515468597412E-2</v>
      </c>
      <c r="W28" s="2">
        <f t="shared" si="0"/>
        <v>4.7160183293259994E-8</v>
      </c>
      <c r="X28" s="2">
        <f t="shared" si="8"/>
        <v>6.2467575073242188E-2</v>
      </c>
      <c r="Y28" s="2">
        <f t="shared" si="1"/>
        <v>-1.254863902372394E-8</v>
      </c>
      <c r="Z28" s="2">
        <f t="shared" si="3"/>
        <v>6.24675452709198E-2</v>
      </c>
      <c r="AA28" s="2">
        <f t="shared" si="2"/>
        <v>1.7305772148645815E-8</v>
      </c>
      <c r="AB28" s="2">
        <f t="shared" si="4"/>
        <v>8.1614338656153051E-16</v>
      </c>
      <c r="AC28" s="2">
        <f t="shared" si="5"/>
        <v>-2.1716388772017177E-16</v>
      </c>
      <c r="AD28" s="2">
        <f t="shared" si="6"/>
        <v>5.9604644775390625E-8</v>
      </c>
      <c r="AF28" s="2">
        <v>24</v>
      </c>
      <c r="AG28" s="2">
        <f t="shared" si="13"/>
        <v>1573.145866394043</v>
      </c>
      <c r="AH28" s="2">
        <v>-5.8699569160580722E-4</v>
      </c>
      <c r="AI28" s="2">
        <f t="shared" si="14"/>
        <v>1573.1469988822937</v>
      </c>
      <c r="AJ28" s="2">
        <v>1.8998939174252882E-4</v>
      </c>
      <c r="AK28" s="2">
        <f t="shared" si="9"/>
        <v>1573.1464326381683</v>
      </c>
      <c r="AL28" s="2">
        <v>-1.9598084179506259E-4</v>
      </c>
      <c r="AM28" s="2">
        <f t="shared" si="10"/>
        <v>1.1503990977098105E-7</v>
      </c>
      <c r="AN28" s="2">
        <f t="shared" si="11"/>
        <v>-3.7234280925832711E-8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37.098084355522154</v>
      </c>
      <c r="H29" t="s">
        <v>18</v>
      </c>
      <c r="U29" s="2">
        <v>25</v>
      </c>
      <c r="V29" s="2">
        <f t="shared" si="7"/>
        <v>6.24675452709198E-2</v>
      </c>
      <c r="W29" s="2">
        <f t="shared" si="0"/>
        <v>1.7305772148645815E-8</v>
      </c>
      <c r="X29" s="2">
        <f t="shared" si="8"/>
        <v>6.2467575073242188E-2</v>
      </c>
      <c r="Y29" s="2">
        <f t="shared" si="1"/>
        <v>-1.254863902372394E-8</v>
      </c>
      <c r="Z29" s="2">
        <f t="shared" si="3"/>
        <v>6.2467560172080994E-2</v>
      </c>
      <c r="AA29" s="2">
        <f t="shared" si="2"/>
        <v>2.3785665659303845E-9</v>
      </c>
      <c r="AB29" s="2">
        <f t="shared" si="4"/>
        <v>4.1162931030378168E-17</v>
      </c>
      <c r="AC29" s="2">
        <f t="shared" si="5"/>
        <v>-2.9847773229759065E-17</v>
      </c>
      <c r="AD29" s="2">
        <f t="shared" si="6"/>
        <v>2.9802322387695312E-8</v>
      </c>
      <c r="AF29" s="2">
        <v>25</v>
      </c>
      <c r="AG29" s="2">
        <f t="shared" si="13"/>
        <v>1573.1464326381683</v>
      </c>
      <c r="AH29" s="2">
        <v>-1.9598084179506259E-4</v>
      </c>
      <c r="AI29" s="2">
        <f t="shared" si="14"/>
        <v>1573.1469988822937</v>
      </c>
      <c r="AJ29" s="2">
        <v>1.8998939174252882E-4</v>
      </c>
      <c r="AK29" s="2">
        <f t="shared" si="9"/>
        <v>1573.146715760231</v>
      </c>
      <c r="AL29" s="2">
        <v>-5.5180697700052406E-6</v>
      </c>
      <c r="AM29" s="2">
        <f t="shared" si="10"/>
        <v>1.0814359586095145E-9</v>
      </c>
      <c r="AN29" s="2">
        <f t="shared" si="11"/>
        <v>-1.0483747191961315E-9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10.601267160209735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6.2467560172080994E-2</v>
      </c>
      <c r="W30" s="2">
        <f t="shared" si="0"/>
        <v>2.3785665659303845E-9</v>
      </c>
      <c r="X30" s="2">
        <f t="shared" si="8"/>
        <v>6.2467575073242188E-2</v>
      </c>
      <c r="Y30" s="2">
        <f t="shared" si="1"/>
        <v>-1.254863902372394E-8</v>
      </c>
      <c r="Z30" s="2">
        <f t="shared" si="3"/>
        <v>6.2467567622661591E-2</v>
      </c>
      <c r="AA30" s="2">
        <f t="shared" si="2"/>
        <v>-5.0850362323662246E-9</v>
      </c>
      <c r="AB30" s="2">
        <f t="shared" si="4"/>
        <v>-1.2095097168850912E-17</v>
      </c>
      <c r="AC30" s="2">
        <f t="shared" si="5"/>
        <v>6.3810284102520966E-17</v>
      </c>
      <c r="AD30" s="2">
        <f t="shared" si="6"/>
        <v>1.4901161193847656E-8</v>
      </c>
      <c r="AF30" s="2">
        <v>26</v>
      </c>
      <c r="AG30" s="2">
        <f t="shared" si="13"/>
        <v>1573.146715760231</v>
      </c>
      <c r="AH30" s="2">
        <v>-5.5180697700052406E-6</v>
      </c>
      <c r="AI30" s="2">
        <f t="shared" si="14"/>
        <v>1573.1469988822937</v>
      </c>
      <c r="AJ30" s="2">
        <v>1.8998939174252882E-4</v>
      </c>
      <c r="AK30" s="2">
        <f t="shared" si="9"/>
        <v>1573.1468573212624</v>
      </c>
      <c r="AL30" s="2">
        <v>9.223565905358555E-5</v>
      </c>
      <c r="AM30" s="2">
        <f t="shared" si="10"/>
        <v>-5.0896280194010056E-10</v>
      </c>
      <c r="AN30" s="2">
        <f t="shared" si="11"/>
        <v>1.752379676056199E-8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148.39233742208862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6.2467560172080994E-2</v>
      </c>
      <c r="W31" s="2">
        <f t="shared" si="0"/>
        <v>2.3785665659303845E-9</v>
      </c>
      <c r="X31" s="2">
        <f t="shared" si="8"/>
        <v>6.2467567622661591E-2</v>
      </c>
      <c r="Y31" s="2">
        <f t="shared" si="1"/>
        <v>-5.0850362323662246E-9</v>
      </c>
      <c r="Z31" s="2">
        <f t="shared" si="3"/>
        <v>6.2467563897371292E-2</v>
      </c>
      <c r="AA31" s="2">
        <f t="shared" si="2"/>
        <v>-1.353234836687367E-9</v>
      </c>
      <c r="AB31" s="2">
        <f t="shared" si="4"/>
        <v>-3.2187591383968352E-18</v>
      </c>
      <c r="AC31" s="2">
        <f t="shared" si="5"/>
        <v>6.8812481754554517E-18</v>
      </c>
      <c r="AD31" s="2">
        <f t="shared" si="6"/>
        <v>7.4505805969238281E-9</v>
      </c>
      <c r="AF31" s="2">
        <v>27</v>
      </c>
      <c r="AG31" s="2">
        <f t="shared" si="13"/>
        <v>1573.146715760231</v>
      </c>
      <c r="AH31" s="2">
        <v>-5.5180697700052406E-6</v>
      </c>
      <c r="AI31" s="2">
        <f t="shared" si="14"/>
        <v>1573.1468573212624</v>
      </c>
      <c r="AJ31" s="2">
        <v>9.223565905358555E-5</v>
      </c>
      <c r="AK31" s="2">
        <f t="shared" si="9"/>
        <v>1573.1467865407467</v>
      </c>
      <c r="AL31" s="2">
        <v>4.3358794300729642E-5</v>
      </c>
      <c r="AM31" s="2">
        <f t="shared" si="10"/>
        <v>-2.3925685209473175E-10</v>
      </c>
      <c r="AN31" s="2">
        <f t="shared" si="11"/>
        <v>3.9992269680966475E-9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373.25</v>
      </c>
      <c r="L32" s="6" t="s">
        <v>7</v>
      </c>
      <c r="U32" s="2">
        <v>28</v>
      </c>
      <c r="V32" s="2">
        <f t="shared" si="7"/>
        <v>6.2467560172080994E-2</v>
      </c>
      <c r="W32" s="2">
        <f t="shared" si="0"/>
        <v>2.3785665659303845E-9</v>
      </c>
      <c r="X32" s="2">
        <f t="shared" si="8"/>
        <v>6.2467563897371292E-2</v>
      </c>
      <c r="Y32" s="2">
        <f t="shared" si="1"/>
        <v>-1.353234836687367E-9</v>
      </c>
      <c r="Z32" s="2">
        <f t="shared" si="3"/>
        <v>6.2467562034726143E-2</v>
      </c>
      <c r="AA32" s="2">
        <f t="shared" si="2"/>
        <v>5.1266586809095571E-10</v>
      </c>
      <c r="AB32" s="2">
        <f t="shared" si="4"/>
        <v>1.219409893334824E-18</v>
      </c>
      <c r="AC32" s="2">
        <f t="shared" si="5"/>
        <v>-6.9375731228125168E-19</v>
      </c>
      <c r="AD32" s="2">
        <f t="shared" si="6"/>
        <v>3.7252902984619141E-9</v>
      </c>
      <c r="AF32" s="2">
        <v>28</v>
      </c>
      <c r="AG32" s="2">
        <f t="shared" si="13"/>
        <v>1573.146715760231</v>
      </c>
      <c r="AH32" s="2">
        <v>-5.5180697700052406E-6</v>
      </c>
      <c r="AI32" s="2">
        <f t="shared" si="14"/>
        <v>1573.1467865407467</v>
      </c>
      <c r="AJ32" s="2">
        <v>4.3358794300729642E-5</v>
      </c>
      <c r="AK32" s="2">
        <f t="shared" si="9"/>
        <v>1573.1467511504889</v>
      </c>
      <c r="AL32" s="2">
        <v>1.8920361981145106E-5</v>
      </c>
      <c r="AM32" s="2">
        <f t="shared" si="10"/>
        <v>-1.0440387748571327E-10</v>
      </c>
      <c r="AN32" s="2">
        <f t="shared" si="11"/>
        <v>8.2036408323581623E-10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370.23</v>
      </c>
      <c r="L33" s="6" t="s">
        <v>7</v>
      </c>
      <c r="U33" s="2">
        <v>29</v>
      </c>
      <c r="V33" s="2">
        <f t="shared" si="7"/>
        <v>6.2467562034726143E-2</v>
      </c>
      <c r="W33" s="2">
        <f t="shared" si="0"/>
        <v>5.1266586809095571E-10</v>
      </c>
      <c r="X33" s="2">
        <f t="shared" si="8"/>
        <v>6.2467563897371292E-2</v>
      </c>
      <c r="Y33" s="2">
        <f t="shared" si="1"/>
        <v>-1.353234836687367E-9</v>
      </c>
      <c r="Z33" s="2">
        <f t="shared" si="3"/>
        <v>6.2467562966048717E-2</v>
      </c>
      <c r="AA33" s="2">
        <f t="shared" si="2"/>
        <v>-4.2028448776765259E-10</v>
      </c>
      <c r="AB33" s="2">
        <f t="shared" si="4"/>
        <v>-2.1546551176656627E-19</v>
      </c>
      <c r="AC33" s="2">
        <f t="shared" si="5"/>
        <v>5.6874361016649305E-19</v>
      </c>
      <c r="AD33" s="2">
        <f t="shared" si="6"/>
        <v>1.862645149230957E-9</v>
      </c>
      <c r="AF33" s="2">
        <v>29</v>
      </c>
      <c r="AG33" s="2">
        <f t="shared" si="13"/>
        <v>1573.146715760231</v>
      </c>
      <c r="AH33" s="2">
        <v>-5.5180697700052406E-6</v>
      </c>
      <c r="AI33" s="2">
        <f t="shared" si="14"/>
        <v>1573.1467511504889</v>
      </c>
      <c r="AJ33" s="2">
        <v>1.8920361981145106E-5</v>
      </c>
      <c r="AK33" s="2">
        <f t="shared" si="9"/>
        <v>1573.1467334553599</v>
      </c>
      <c r="AL33" s="2">
        <v>9.2234837438809336E-6</v>
      </c>
      <c r="AM33" s="2">
        <f t="shared" si="10"/>
        <v>-5.0895826821244139E-11</v>
      </c>
      <c r="AN33" s="2">
        <f t="shared" si="11"/>
        <v>1.7451165116143474E-10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155.25</v>
      </c>
      <c r="L34" s="6" t="s">
        <v>7</v>
      </c>
      <c r="U34" s="2">
        <v>30</v>
      </c>
      <c r="V34" s="2">
        <f t="shared" si="7"/>
        <v>6.2467562034726143E-2</v>
      </c>
      <c r="W34" s="2">
        <f t="shared" si="0"/>
        <v>5.1266586809095571E-10</v>
      </c>
      <c r="X34" s="2">
        <f t="shared" si="8"/>
        <v>6.2467562966048717E-2</v>
      </c>
      <c r="Y34" s="2">
        <f t="shared" si="1"/>
        <v>-4.2028448776765259E-10</v>
      </c>
      <c r="Z34" s="2">
        <f t="shared" si="3"/>
        <v>6.246756250038743E-2</v>
      </c>
      <c r="AA34" s="2">
        <f t="shared" si="2"/>
        <v>4.619069016165156E-11</v>
      </c>
      <c r="AB34" s="2">
        <f t="shared" si="4"/>
        <v>2.3680390269443464E-20</v>
      </c>
      <c r="AC34" s="2">
        <f t="shared" si="5"/>
        <v>-1.9413230554224076E-20</v>
      </c>
      <c r="AD34" s="2">
        <f>X34-V34</f>
        <v>9.3132257461547852E-10</v>
      </c>
      <c r="AF34" s="2">
        <v>30</v>
      </c>
      <c r="AG34" s="2">
        <f t="shared" si="13"/>
        <v>1573.146715760231</v>
      </c>
      <c r="AH34" s="2">
        <v>-5.5180697700052406E-6</v>
      </c>
      <c r="AI34" s="2">
        <f t="shared" si="14"/>
        <v>1573.1467334553599</v>
      </c>
      <c r="AJ34" s="2">
        <v>9.2234837438809336E-6</v>
      </c>
      <c r="AK34" s="2">
        <f t="shared" si="9"/>
        <v>1573.1467246077955</v>
      </c>
      <c r="AL34" s="2">
        <v>4.3750449094659416E-6</v>
      </c>
      <c r="AM34" s="2">
        <f t="shared" si="10"/>
        <v>-2.4141803057339327E-11</v>
      </c>
      <c r="AN34" s="2">
        <f t="shared" si="11"/>
        <v>4.0353155601208143E-11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222.99392886831683</v>
      </c>
      <c r="H35" s="25" t="s">
        <v>101</v>
      </c>
      <c r="J35" s="15" t="s">
        <v>70</v>
      </c>
      <c r="K35" s="6">
        <f>ROUND(SUM(K23:K26),2)</f>
        <v>74.42</v>
      </c>
      <c r="L35" s="6" t="s">
        <v>7</v>
      </c>
      <c r="AF35" s="2">
        <v>31</v>
      </c>
      <c r="AG35" s="2">
        <f t="shared" si="13"/>
        <v>1573.146715760231</v>
      </c>
      <c r="AH35" s="2">
        <v>-5.5180697700052406E-6</v>
      </c>
      <c r="AI35" s="2">
        <f t="shared" si="14"/>
        <v>1573.1467246077955</v>
      </c>
      <c r="AJ35" s="2">
        <v>4.3750449094659416E-6</v>
      </c>
      <c r="AK35" s="2">
        <f t="shared" si="9"/>
        <v>1573.1467201840132</v>
      </c>
      <c r="AL35" s="2">
        <v>-3.0938502959543257E-6</v>
      </c>
      <c r="AM35" s="2">
        <f t="shared" si="10"/>
        <v>1.7072081791027331E-11</v>
      </c>
      <c r="AN35" s="2">
        <f t="shared" si="11"/>
        <v>-1.353573398796467E-11</v>
      </c>
      <c r="AO35" s="2">
        <f t="shared" si="12"/>
        <v>8.8475644588470459E-6</v>
      </c>
    </row>
    <row r="36" spans="2:41" x14ac:dyDescent="0.2">
      <c r="B36" s="6" t="s">
        <v>3</v>
      </c>
      <c r="C36" s="17">
        <v>700</v>
      </c>
      <c r="D36" s="6" t="s">
        <v>4</v>
      </c>
      <c r="J36" s="10" t="s">
        <v>59</v>
      </c>
      <c r="K36" s="10">
        <f>SUM(K31:K35)</f>
        <v>1573.15</v>
      </c>
      <c r="L36" s="6" t="s">
        <v>7</v>
      </c>
      <c r="AF36" s="2">
        <v>32</v>
      </c>
      <c r="AG36" s="2">
        <f t="shared" si="13"/>
        <v>1573.1467201840132</v>
      </c>
      <c r="AH36" s="2">
        <v>-3.0938502959543257E-6</v>
      </c>
      <c r="AI36" s="2">
        <f t="shared" si="14"/>
        <v>1573.1467246077955</v>
      </c>
      <c r="AJ36" s="2">
        <v>4.3750449094659416E-6</v>
      </c>
      <c r="AK36" s="2">
        <f t="shared" si="9"/>
        <v>1573.1467223959044</v>
      </c>
      <c r="AL36" s="2">
        <v>-1.8817403315551928E-6</v>
      </c>
      <c r="AM36" s="2">
        <f t="shared" si="10"/>
        <v>5.8218228816912243E-12</v>
      </c>
      <c r="AN36" s="2">
        <f t="shared" si="11"/>
        <v>-8.2326984585072995E-12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1573.1467223959044</v>
      </c>
      <c r="AH37" s="2">
        <v>-1.8817403315551928E-6</v>
      </c>
      <c r="AI37" s="2">
        <f t="shared" si="14"/>
        <v>1573.1467246077955</v>
      </c>
      <c r="AJ37" s="2">
        <v>4.3750449094659416E-6</v>
      </c>
      <c r="AK37" s="2">
        <f t="shared" si="9"/>
        <v>1573.1467235018499</v>
      </c>
      <c r="AL37" s="2">
        <v>3.768989586205862E-6</v>
      </c>
      <c r="AM37" s="2">
        <f t="shared" si="10"/>
        <v>-7.0922597135750878E-12</v>
      </c>
      <c r="AN37" s="2">
        <f t="shared" si="11"/>
        <v>1.6489498702960102E-11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1573.1467223959044</v>
      </c>
      <c r="AH38" s="2">
        <v>-1.8817403315551928E-6</v>
      </c>
      <c r="AI38" s="2">
        <f t="shared" si="14"/>
        <v>1573.1467235018499</v>
      </c>
      <c r="AJ38" s="2">
        <v>3.768989586205862E-6</v>
      </c>
      <c r="AK38" s="2">
        <f t="shared" si="9"/>
        <v>1573.1467229488771</v>
      </c>
      <c r="AL38" s="2">
        <v>3.4659626635402674E-6</v>
      </c>
      <c r="AM38" s="2">
        <f t="shared" si="10"/>
        <v>-6.522041731648182E-12</v>
      </c>
      <c r="AN38" s="2">
        <f t="shared" si="11"/>
        <v>1.30631771850616E-11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38.14</v>
      </c>
      <c r="L39" s="6" t="s">
        <v>58</v>
      </c>
      <c r="AF39" s="2">
        <v>35</v>
      </c>
      <c r="AG39" s="2">
        <f t="shared" si="13"/>
        <v>1573.1467223959044</v>
      </c>
      <c r="AH39" s="2">
        <v>-1.8817403315551928E-6</v>
      </c>
      <c r="AI39" s="2">
        <f t="shared" si="14"/>
        <v>1573.1467229488771</v>
      </c>
      <c r="AJ39" s="2">
        <v>3.4659626635402674E-6</v>
      </c>
      <c r="AK39" s="2">
        <f t="shared" si="9"/>
        <v>1573.1467226723908</v>
      </c>
      <c r="AL39" s="2">
        <v>3.3144488043035381E-6</v>
      </c>
      <c r="AM39" s="2">
        <f t="shared" si="10"/>
        <v>-6.2369319919328521E-12</v>
      </c>
      <c r="AN39" s="2">
        <f t="shared" si="11"/>
        <v>1.1487755805931745E-11</v>
      </c>
      <c r="AO39" s="2">
        <f t="shared" si="12"/>
        <v>5.5297277867794037E-7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23.73</v>
      </c>
      <c r="L40" s="6" t="s">
        <v>58</v>
      </c>
      <c r="AF40" s="2">
        <v>36</v>
      </c>
      <c r="AG40" s="2">
        <f t="shared" si="13"/>
        <v>1573.1467223959044</v>
      </c>
      <c r="AH40" s="2">
        <v>-1.8817403315551928E-6</v>
      </c>
      <c r="AI40" s="2">
        <f t="shared" si="14"/>
        <v>1573.1467226723908</v>
      </c>
      <c r="AJ40" s="2">
        <v>3.3144488043035381E-6</v>
      </c>
      <c r="AK40" s="2">
        <f t="shared" si="9"/>
        <v>1573.1467225341476</v>
      </c>
      <c r="AL40" s="2">
        <v>-1.8059837429973413E-6</v>
      </c>
      <c r="AM40" s="2">
        <f t="shared" si="10"/>
        <v>3.3983924473311052E-12</v>
      </c>
      <c r="AN40" s="2">
        <f t="shared" si="11"/>
        <v>-5.9858406575691661E-12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23.53</v>
      </c>
      <c r="L41" s="6" t="s">
        <v>58</v>
      </c>
      <c r="AF41" s="2">
        <v>37</v>
      </c>
      <c r="AG41" s="2">
        <f t="shared" si="13"/>
        <v>1573.1467225341476</v>
      </c>
      <c r="AH41" s="2">
        <v>-1.8059837429973413E-6</v>
      </c>
      <c r="AI41" s="2">
        <f t="shared" si="14"/>
        <v>1573.1467226723908</v>
      </c>
      <c r="AJ41" s="2">
        <v>3.3144488043035381E-6</v>
      </c>
      <c r="AK41" s="2">
        <f t="shared" si="9"/>
        <v>1573.1467226032692</v>
      </c>
      <c r="AL41" s="2">
        <v>3.2765705100246123E-6</v>
      </c>
      <c r="AM41" s="2">
        <f t="shared" si="10"/>
        <v>-5.917433073888957E-12</v>
      </c>
      <c r="AN41" s="2">
        <f t="shared" si="11"/>
        <v>1.086002520916731E-11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9.8699999999999992</v>
      </c>
      <c r="L42" s="6" t="s">
        <v>58</v>
      </c>
      <c r="AF42" s="2">
        <v>38</v>
      </c>
      <c r="AG42" s="2">
        <f t="shared" si="13"/>
        <v>1573.1467225341476</v>
      </c>
      <c r="AH42" s="2">
        <v>-1.8059837429973413E-6</v>
      </c>
      <c r="AI42" s="2">
        <f t="shared" si="14"/>
        <v>1573.1467226032692</v>
      </c>
      <c r="AJ42" s="2">
        <v>3.2765705100246123E-6</v>
      </c>
      <c r="AK42" s="2">
        <f t="shared" si="9"/>
        <v>1573.1467225687084</v>
      </c>
      <c r="AL42" s="2">
        <v>3.2576313060417306E-6</v>
      </c>
      <c r="AM42" s="2">
        <f t="shared" si="10"/>
        <v>-5.8832291793905621E-12</v>
      </c>
      <c r="AN42" s="2">
        <f t="shared" si="11"/>
        <v>1.0673858669909297E-11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4.7300000000000004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1573.1467225341476</v>
      </c>
      <c r="AH43" s="2">
        <v>-1.8059837429973413E-6</v>
      </c>
      <c r="AI43" s="2">
        <f t="shared" si="14"/>
        <v>1573.1467225687084</v>
      </c>
      <c r="AJ43" s="2">
        <v>3.2576313060417306E-6</v>
      </c>
      <c r="AK43" s="2">
        <f t="shared" si="9"/>
        <v>1573.146722551428</v>
      </c>
      <c r="AL43" s="2">
        <v>-1.7965141978493193E-6</v>
      </c>
      <c r="AM43" s="2">
        <f t="shared" si="10"/>
        <v>3.2444754353797799E-12</v>
      </c>
      <c r="AN43" s="2">
        <f t="shared" si="11"/>
        <v>-5.85238089266239E-12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100.00000000000001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1573.146722551428</v>
      </c>
      <c r="AH44" s="2">
        <v>-1.7965141978493193E-6</v>
      </c>
      <c r="AI44" s="2">
        <f t="shared" si="14"/>
        <v>1573.1467225687084</v>
      </c>
      <c r="AJ44" s="2">
        <v>3.2576313060417306E-6</v>
      </c>
      <c r="AK44" s="5">
        <f>(AG44+AI44)/2</f>
        <v>1573.1467225600682</v>
      </c>
      <c r="AL44" s="2">
        <v>3.2528962492506253E-6</v>
      </c>
      <c r="AM44" s="2">
        <f t="shared" si="10"/>
        <v>-5.8438742959095465E-12</v>
      </c>
      <c r="AN44" s="2">
        <f t="shared" si="11"/>
        <v>1.0596736656864561E-11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1406.7838811486731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38.14</v>
      </c>
      <c r="L47" s="6" t="s">
        <v>58</v>
      </c>
      <c r="N47" s="6" t="s">
        <v>154</v>
      </c>
      <c r="O47" s="6">
        <f>0.377*O46^0.6945</f>
        <v>57.914227537860036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23.73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38.130000000000003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B1:D1"/>
    <mergeCell ref="B3:D3"/>
    <mergeCell ref="F3:H3"/>
    <mergeCell ref="J3:L3"/>
  </mergeCells>
  <conditionalFormatting sqref="K28">
    <cfRule type="containsText" dxfId="5" priority="1" operator="containsText" text="FALSE">
      <formula>NOT(ISERROR(SEARCH("FALSE",K28)))</formula>
    </cfRule>
    <cfRule type="containsText" dxfId="4" priority="2" operator="containsText" text="TRUE">
      <formula>NOT(ISERROR(SEARCH("TRUE",K28)))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NOT(ISERROR(SEARCH("YES",K28)))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obj_val</vt:lpstr>
      <vt:lpstr>uniform_250</vt:lpstr>
      <vt:lpstr>uniform_400</vt:lpstr>
      <vt:lpstr>uniform_550</vt:lpstr>
      <vt:lpstr>uniform_700</vt:lpstr>
      <vt:lpstr>linear_250</vt:lpstr>
      <vt:lpstr>linear_400</vt:lpstr>
      <vt:lpstr>linear_550</vt:lpstr>
      <vt:lpstr>linear_700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2025-05-18T16:23:01Z</dcterms:modified>
</cp:coreProperties>
</file>