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range_speed_sweep/"/>
    </mc:Choice>
  </mc:AlternateContent>
  <xr:revisionPtr revIDLastSave="0" documentId="13_ncr:1_{90A41DE8-E88D-464F-ACB3-680B5A65A19A}" xr6:coauthVersionLast="47" xr6:coauthVersionMax="47" xr10:uidLastSave="{00000000-0000-0000-0000-000000000000}"/>
  <bookViews>
    <workbookView xWindow="15320" yWindow="740" windowWidth="14920" windowHeight="18900" activeTab="2" xr2:uid="{843CD013-835A-1741-B375-CD508AE79BD2}"/>
  </bookViews>
  <sheets>
    <sheet name="multirotor_fidelity0" sheetId="13" r:id="rId1"/>
    <sheet name="multirotor_fidelity0_best" sheetId="14" r:id="rId2"/>
    <sheet name="lift+cruise_fidelity0" sheetId="12" r:id="rId3"/>
    <sheet name="lift+cruise_fidelity0_best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5" l="1"/>
  <c r="G13" i="15" s="1"/>
  <c r="C8" i="14"/>
  <c r="C56" i="15"/>
  <c r="C55" i="15"/>
  <c r="C51" i="15"/>
  <c r="C50" i="15"/>
  <c r="AN44" i="15"/>
  <c r="AM44" i="15"/>
  <c r="AN43" i="15"/>
  <c r="AM43" i="15"/>
  <c r="AN42" i="15"/>
  <c r="AM42" i="15"/>
  <c r="AN41" i="15"/>
  <c r="AM41" i="15"/>
  <c r="C41" i="15"/>
  <c r="AN40" i="15"/>
  <c r="AM40" i="15"/>
  <c r="AN39" i="15"/>
  <c r="AM39" i="15"/>
  <c r="AN38" i="15"/>
  <c r="AM38" i="15"/>
  <c r="AN37" i="15"/>
  <c r="AM37" i="15"/>
  <c r="AN36" i="15"/>
  <c r="AM36" i="15"/>
  <c r="AN35" i="15"/>
  <c r="AM35" i="15"/>
  <c r="AN34" i="15"/>
  <c r="AM34" i="15"/>
  <c r="AN33" i="15"/>
  <c r="AM33" i="15"/>
  <c r="AN32" i="15"/>
  <c r="AM32" i="15"/>
  <c r="G32" i="15"/>
  <c r="AN31" i="15"/>
  <c r="AM31" i="15"/>
  <c r="AN30" i="15"/>
  <c r="AM30" i="15"/>
  <c r="AN29" i="15"/>
  <c r="AM29" i="15"/>
  <c r="AN28" i="15"/>
  <c r="AM28" i="15"/>
  <c r="AN27" i="15"/>
  <c r="AM27" i="15"/>
  <c r="AN26" i="15"/>
  <c r="AM26" i="15"/>
  <c r="AN25" i="15"/>
  <c r="AM25" i="15"/>
  <c r="G25" i="15"/>
  <c r="AN24" i="15"/>
  <c r="AM24" i="15"/>
  <c r="G24" i="15"/>
  <c r="AN23" i="15"/>
  <c r="AM23" i="15"/>
  <c r="G23" i="15"/>
  <c r="AN22" i="15"/>
  <c r="AM22" i="15"/>
  <c r="AN21" i="15"/>
  <c r="AM21" i="15"/>
  <c r="O21" i="15"/>
  <c r="G14" i="15" s="1"/>
  <c r="G15" i="15" s="1"/>
  <c r="AN20" i="15"/>
  <c r="AM20" i="15"/>
  <c r="AN19" i="15"/>
  <c r="AM19" i="15"/>
  <c r="O19" i="15"/>
  <c r="AN18" i="15"/>
  <c r="AM18" i="15"/>
  <c r="AN17" i="15"/>
  <c r="AM17" i="15"/>
  <c r="AN16" i="15"/>
  <c r="AM16" i="15"/>
  <c r="C16" i="15"/>
  <c r="AN15" i="15"/>
  <c r="AM15" i="15"/>
  <c r="AN14" i="15"/>
  <c r="AM14" i="15"/>
  <c r="AN13" i="15"/>
  <c r="AM13" i="15"/>
  <c r="AN12" i="15"/>
  <c r="AM12" i="15"/>
  <c r="AN11" i="15"/>
  <c r="AM11" i="15"/>
  <c r="O11" i="15"/>
  <c r="C11" i="15"/>
  <c r="C30" i="15" s="1"/>
  <c r="AN10" i="15"/>
  <c r="AM10" i="15"/>
  <c r="AN9" i="15"/>
  <c r="AM9" i="15"/>
  <c r="C9" i="15"/>
  <c r="C23" i="15" s="1"/>
  <c r="AN8" i="15"/>
  <c r="AM8" i="15"/>
  <c r="AN7" i="15"/>
  <c r="AM7" i="15"/>
  <c r="AN6" i="15"/>
  <c r="AM6" i="15"/>
  <c r="AO5" i="15"/>
  <c r="AN5" i="15"/>
  <c r="AM5" i="15"/>
  <c r="AG6" i="15" s="1"/>
  <c r="AK5" i="15"/>
  <c r="G5" i="15"/>
  <c r="AD4" i="15"/>
  <c r="Z4" i="15"/>
  <c r="G4" i="15"/>
  <c r="AN44" i="14"/>
  <c r="AM44" i="14"/>
  <c r="AN43" i="14"/>
  <c r="AM43" i="14"/>
  <c r="AN42" i="14"/>
  <c r="AM42" i="14"/>
  <c r="AN41" i="14"/>
  <c r="AM41" i="14"/>
  <c r="AN40" i="14"/>
  <c r="AM40" i="14"/>
  <c r="AN39" i="14"/>
  <c r="AM39" i="14"/>
  <c r="AN38" i="14"/>
  <c r="AM38" i="14"/>
  <c r="AN37" i="14"/>
  <c r="AM37" i="14"/>
  <c r="AN36" i="14"/>
  <c r="AM36" i="14"/>
  <c r="AN35" i="14"/>
  <c r="AM35" i="14"/>
  <c r="AN34" i="14"/>
  <c r="AM34" i="14"/>
  <c r="G34" i="14"/>
  <c r="AN33" i="14"/>
  <c r="AM33" i="14"/>
  <c r="C33" i="14"/>
  <c r="AN32" i="14"/>
  <c r="AM32" i="14"/>
  <c r="AN31" i="14"/>
  <c r="AM31" i="14"/>
  <c r="C31" i="14"/>
  <c r="AN30" i="14"/>
  <c r="AM30" i="14"/>
  <c r="AN29" i="14"/>
  <c r="AM29" i="14"/>
  <c r="AN28" i="14"/>
  <c r="AM28" i="14"/>
  <c r="AN27" i="14"/>
  <c r="AM27" i="14"/>
  <c r="AN26" i="14"/>
  <c r="AM26" i="14"/>
  <c r="G26" i="14"/>
  <c r="G27" i="14" s="1"/>
  <c r="AN25" i="14"/>
  <c r="AM25" i="14"/>
  <c r="G25" i="14"/>
  <c r="AN24" i="14"/>
  <c r="AM24" i="14"/>
  <c r="AN23" i="14"/>
  <c r="AM23" i="14"/>
  <c r="AN22" i="14"/>
  <c r="AM22" i="14"/>
  <c r="AN21" i="14"/>
  <c r="AM21" i="14"/>
  <c r="K21" i="14"/>
  <c r="AN20" i="14"/>
  <c r="AM20" i="14"/>
  <c r="O20" i="14"/>
  <c r="G16" i="14" s="1"/>
  <c r="G17" i="14" s="1"/>
  <c r="K20" i="14"/>
  <c r="C20" i="14"/>
  <c r="AN19" i="14"/>
  <c r="AM19" i="14"/>
  <c r="AN18" i="14"/>
  <c r="AM18" i="14"/>
  <c r="AN17" i="14"/>
  <c r="AM17" i="14"/>
  <c r="AN16" i="14"/>
  <c r="AM16" i="14"/>
  <c r="AN15" i="14"/>
  <c r="AM15" i="14"/>
  <c r="AN14" i="14"/>
  <c r="AM14" i="14"/>
  <c r="AN13" i="14"/>
  <c r="AM13" i="14"/>
  <c r="C13" i="14"/>
  <c r="AN12" i="14"/>
  <c r="AM12" i="14"/>
  <c r="AN11" i="14"/>
  <c r="AM11" i="14"/>
  <c r="AN10" i="14"/>
  <c r="AM10" i="14"/>
  <c r="C10" i="14"/>
  <c r="AN9" i="14"/>
  <c r="AM9" i="14"/>
  <c r="AN8" i="14"/>
  <c r="AM8" i="14"/>
  <c r="G15" i="14"/>
  <c r="AN7" i="14"/>
  <c r="AM7" i="14"/>
  <c r="G7" i="14"/>
  <c r="AN6" i="14"/>
  <c r="AM6" i="14"/>
  <c r="AO5" i="14"/>
  <c r="AN5" i="14"/>
  <c r="AI6" i="14" s="1"/>
  <c r="AM5" i="14"/>
  <c r="AG6" i="14" s="1"/>
  <c r="AK5" i="14"/>
  <c r="G5" i="14"/>
  <c r="AD4" i="14"/>
  <c r="Z4" i="14"/>
  <c r="O4" i="14"/>
  <c r="O9" i="14" s="1"/>
  <c r="O10" i="14" s="1"/>
  <c r="G4" i="14"/>
  <c r="C7" i="12"/>
  <c r="C8" i="13"/>
  <c r="G32" i="12"/>
  <c r="G34" i="13"/>
  <c r="AK6" i="14" l="1"/>
  <c r="AG7" i="14" s="1"/>
  <c r="O22" i="15"/>
  <c r="G6" i="15"/>
  <c r="AI6" i="15"/>
  <c r="O5" i="15"/>
  <c r="K42" i="15"/>
  <c r="O25" i="15"/>
  <c r="AO6" i="14"/>
  <c r="AI7" i="14"/>
  <c r="AO7" i="14" s="1"/>
  <c r="K31" i="14"/>
  <c r="G6" i="14"/>
  <c r="K9" i="14" s="1"/>
  <c r="G8" i="14"/>
  <c r="G7" i="13"/>
  <c r="G8" i="13" s="1"/>
  <c r="C9" i="12"/>
  <c r="O11" i="12"/>
  <c r="O5" i="12"/>
  <c r="O19" i="12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20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O4" i="13"/>
  <c r="AN6" i="13"/>
  <c r="AM6" i="13"/>
  <c r="G6" i="13"/>
  <c r="AO5" i="13"/>
  <c r="AN5" i="13"/>
  <c r="AI6" i="13" s="1"/>
  <c r="AM5" i="13"/>
  <c r="AK5" i="13"/>
  <c r="G5" i="13"/>
  <c r="AD4" i="13"/>
  <c r="Z4" i="13"/>
  <c r="G4" i="13"/>
  <c r="K11" i="15" l="1"/>
  <c r="AO6" i="15"/>
  <c r="AK6" i="15"/>
  <c r="AG7" i="15" s="1"/>
  <c r="O10" i="15"/>
  <c r="AK7" i="14"/>
  <c r="AG6" i="13"/>
  <c r="AO6" i="13" s="1"/>
  <c r="G27" i="13"/>
  <c r="G15" i="13"/>
  <c r="K9" i="13" s="1"/>
  <c r="K31" i="13"/>
  <c r="AI7" i="15" l="1"/>
  <c r="AK7" i="15" s="1"/>
  <c r="AI8" i="15" s="1"/>
  <c r="AI8" i="14"/>
  <c r="AG8" i="14"/>
  <c r="AK6" i="13"/>
  <c r="AG7" i="13" s="1"/>
  <c r="AI7" i="13"/>
  <c r="AK8" i="14" l="1"/>
  <c r="AO7" i="15"/>
  <c r="AG8" i="15"/>
  <c r="AK8" i="15" s="1"/>
  <c r="AI9" i="14"/>
  <c r="AG9" i="14"/>
  <c r="AO8" i="14"/>
  <c r="AK7" i="13"/>
  <c r="AI8" i="13" s="1"/>
  <c r="AO7" i="13"/>
  <c r="AG8" i="13"/>
  <c r="AO8" i="15" l="1"/>
  <c r="AI9" i="15"/>
  <c r="AG9" i="15"/>
  <c r="AK9" i="14"/>
  <c r="AI10" i="14"/>
  <c r="AG10" i="14"/>
  <c r="AO9" i="14"/>
  <c r="AK8" i="13"/>
  <c r="AI9" i="13" s="1"/>
  <c r="AO8" i="13"/>
  <c r="AK10" i="14" l="1"/>
  <c r="AG11" i="14" s="1"/>
  <c r="AO9" i="15"/>
  <c r="AK9" i="15"/>
  <c r="AI11" i="14"/>
  <c r="AO10" i="14"/>
  <c r="AG9" i="13"/>
  <c r="AK9" i="13" s="1"/>
  <c r="AK11" i="14" l="1"/>
  <c r="AI10" i="15"/>
  <c r="AG10" i="15"/>
  <c r="AI12" i="14"/>
  <c r="AG12" i="14"/>
  <c r="AO11" i="14"/>
  <c r="AO9" i="13"/>
  <c r="AG10" i="13"/>
  <c r="AI10" i="13"/>
  <c r="AO10" i="15" l="1"/>
  <c r="AK10" i="15"/>
  <c r="AK12" i="14"/>
  <c r="AI13" i="14" s="1"/>
  <c r="AO12" i="14"/>
  <c r="AO10" i="13"/>
  <c r="AK10" i="13"/>
  <c r="AG11" i="13" s="1"/>
  <c r="AG11" i="15" l="1"/>
  <c r="AI11" i="15"/>
  <c r="AG13" i="14"/>
  <c r="AK13" i="14" s="1"/>
  <c r="AG14" i="14" s="1"/>
  <c r="AI11" i="13"/>
  <c r="AK11" i="13" s="1"/>
  <c r="AO11" i="15" l="1"/>
  <c r="AK11" i="15"/>
  <c r="AG12" i="15" s="1"/>
  <c r="AI14" i="14"/>
  <c r="AK14" i="14" s="1"/>
  <c r="AO13" i="14"/>
  <c r="AO11" i="13"/>
  <c r="AG12" i="13"/>
  <c r="AI12" i="13"/>
  <c r="AO14" i="14" l="1"/>
  <c r="AI12" i="15"/>
  <c r="AK12" i="15" s="1"/>
  <c r="AI15" i="14"/>
  <c r="AG15" i="14"/>
  <c r="AO12" i="13"/>
  <c r="AK12" i="13"/>
  <c r="AI13" i="13" s="1"/>
  <c r="AO12" i="15" l="1"/>
  <c r="AI13" i="15"/>
  <c r="AG13" i="15"/>
  <c r="AK15" i="14"/>
  <c r="AI16" i="14"/>
  <c r="AG16" i="14"/>
  <c r="AO15" i="14"/>
  <c r="AG13" i="13"/>
  <c r="AK13" i="13" s="1"/>
  <c r="AI14" i="13" s="1"/>
  <c r="AK13" i="15" l="1"/>
  <c r="AG14" i="15" s="1"/>
  <c r="AO13" i="15"/>
  <c r="AK16" i="14"/>
  <c r="AI17" i="14" s="1"/>
  <c r="AO16" i="14"/>
  <c r="AO13" i="13"/>
  <c r="AG14" i="13"/>
  <c r="AO14" i="13" s="1"/>
  <c r="AG17" i="14" l="1"/>
  <c r="AK17" i="14" s="1"/>
  <c r="AI18" i="14" s="1"/>
  <c r="AI14" i="15"/>
  <c r="AO14" i="15" s="1"/>
  <c r="AO17" i="14"/>
  <c r="AK14" i="13"/>
  <c r="AG15" i="13" s="1"/>
  <c r="AG18" i="14" l="1"/>
  <c r="AK18" i="14" s="1"/>
  <c r="AI19" i="14" s="1"/>
  <c r="AK14" i="15"/>
  <c r="AI15" i="15"/>
  <c r="AG15" i="15"/>
  <c r="AI15" i="13"/>
  <c r="AK15" i="13" s="1"/>
  <c r="AO18" i="14" l="1"/>
  <c r="AG19" i="14"/>
  <c r="AK19" i="14" s="1"/>
  <c r="AI20" i="14" s="1"/>
  <c r="AK15" i="15"/>
  <c r="AG16" i="15" s="1"/>
  <c r="AO15" i="15"/>
  <c r="AO15" i="13"/>
  <c r="AG16" i="13"/>
  <c r="AI16" i="13"/>
  <c r="AO19" i="14" l="1"/>
  <c r="AI16" i="15"/>
  <c r="AO16" i="15" s="1"/>
  <c r="AG20" i="14"/>
  <c r="AK20" i="14" s="1"/>
  <c r="AO16" i="13"/>
  <c r="AK16" i="13"/>
  <c r="AK16" i="15" l="1"/>
  <c r="AO20" i="14"/>
  <c r="AG21" i="14"/>
  <c r="AI21" i="14"/>
  <c r="AG17" i="15"/>
  <c r="AI17" i="15"/>
  <c r="AG17" i="13"/>
  <c r="AI17" i="13"/>
  <c r="AO17" i="15" l="1"/>
  <c r="AO21" i="14"/>
  <c r="AK21" i="14"/>
  <c r="AG22" i="14" s="1"/>
  <c r="AK17" i="15"/>
  <c r="AI18" i="15" s="1"/>
  <c r="AK17" i="13"/>
  <c r="AO17" i="13"/>
  <c r="AI22" i="14" l="1"/>
  <c r="AK22" i="14" s="1"/>
  <c r="AG23" i="14" s="1"/>
  <c r="AG18" i="15"/>
  <c r="AK18" i="15" s="1"/>
  <c r="AI19" i="15" s="1"/>
  <c r="AI18" i="13"/>
  <c r="AG18" i="13"/>
  <c r="AI23" i="14" l="1"/>
  <c r="AO18" i="15"/>
  <c r="AG19" i="15"/>
  <c r="AK19" i="15" s="1"/>
  <c r="AI20" i="15" s="1"/>
  <c r="AO22" i="14"/>
  <c r="AK23" i="14"/>
  <c r="AI24" i="14" s="1"/>
  <c r="AO23" i="14"/>
  <c r="AG24" i="14"/>
  <c r="AK18" i="13"/>
  <c r="AG19" i="13" s="1"/>
  <c r="AO18" i="13"/>
  <c r="AK24" i="14" l="1"/>
  <c r="AG25" i="14" s="1"/>
  <c r="AO19" i="15"/>
  <c r="AG20" i="15"/>
  <c r="AO20" i="15" s="1"/>
  <c r="AO24" i="14"/>
  <c r="AI25" i="14"/>
  <c r="AI19" i="13"/>
  <c r="AO19" i="13" s="1"/>
  <c r="AK20" i="15" l="1"/>
  <c r="AI21" i="15" s="1"/>
  <c r="AO25" i="14"/>
  <c r="AG21" i="15"/>
  <c r="AK21" i="15" s="1"/>
  <c r="AG22" i="15" s="1"/>
  <c r="AI22" i="15"/>
  <c r="AK25" i="14"/>
  <c r="AG26" i="14" s="1"/>
  <c r="AI26" i="14"/>
  <c r="AK19" i="13"/>
  <c r="AG20" i="13" s="1"/>
  <c r="AO21" i="15" l="1"/>
  <c r="AO22" i="15"/>
  <c r="AK22" i="15"/>
  <c r="AK26" i="14"/>
  <c r="AO26" i="14"/>
  <c r="AG27" i="14"/>
  <c r="AI27" i="14"/>
  <c r="AI20" i="13"/>
  <c r="AO20" i="13" s="1"/>
  <c r="AG23" i="15" l="1"/>
  <c r="AI23" i="15"/>
  <c r="AO27" i="14"/>
  <c r="AK27" i="14"/>
  <c r="AG28" i="14" s="1"/>
  <c r="AI28" i="14"/>
  <c r="AK20" i="13"/>
  <c r="AG21" i="13" s="1"/>
  <c r="AI21" i="13"/>
  <c r="AO23" i="15" l="1"/>
  <c r="AK28" i="14"/>
  <c r="AK23" i="15"/>
  <c r="AI24" i="15" s="1"/>
  <c r="AO28" i="14"/>
  <c r="AG29" i="14"/>
  <c r="AI29" i="14"/>
  <c r="AO21" i="13"/>
  <c r="AK21" i="13"/>
  <c r="AG24" i="15" l="1"/>
  <c r="AO24" i="15" s="1"/>
  <c r="AO29" i="14"/>
  <c r="AK29" i="14"/>
  <c r="AG30" i="14" s="1"/>
  <c r="AG22" i="13"/>
  <c r="AI22" i="13"/>
  <c r="AI30" i="14" l="1"/>
  <c r="AK30" i="14" s="1"/>
  <c r="AI31" i="14" s="1"/>
  <c r="AK24" i="15"/>
  <c r="AG25" i="15" s="1"/>
  <c r="AO30" i="14"/>
  <c r="AO22" i="13"/>
  <c r="AK22" i="13"/>
  <c r="AI25" i="15" l="1"/>
  <c r="AG31" i="14"/>
  <c r="AO31" i="14" s="1"/>
  <c r="AG23" i="13"/>
  <c r="AI23" i="13"/>
  <c r="AK25" i="15" l="1"/>
  <c r="AO25" i="15"/>
  <c r="AK31" i="14"/>
  <c r="AG32" i="14" s="1"/>
  <c r="AO23" i="13"/>
  <c r="AK23" i="13"/>
  <c r="AI32" i="14" l="1"/>
  <c r="AO32" i="14" s="1"/>
  <c r="AI26" i="15"/>
  <c r="AG26" i="15"/>
  <c r="AO26" i="15" s="1"/>
  <c r="AK32" i="14"/>
  <c r="AG24" i="13"/>
  <c r="AI24" i="13"/>
  <c r="AK26" i="15" l="1"/>
  <c r="AG27" i="15"/>
  <c r="AI27" i="15"/>
  <c r="AG33" i="14"/>
  <c r="AI33" i="14"/>
  <c r="AO24" i="13"/>
  <c r="AK24" i="13"/>
  <c r="AO27" i="15" l="1"/>
  <c r="AK27" i="15"/>
  <c r="AK33" i="14"/>
  <c r="AO33" i="14"/>
  <c r="AI25" i="13"/>
  <c r="AG25" i="13"/>
  <c r="AG28" i="15" l="1"/>
  <c r="AI28" i="15"/>
  <c r="AG34" i="14"/>
  <c r="AI34" i="14"/>
  <c r="AK25" i="13"/>
  <c r="AI26" i="13" s="1"/>
  <c r="AG26" i="13"/>
  <c r="AO25" i="13"/>
  <c r="AK28" i="15" l="1"/>
  <c r="AI29" i="15" s="1"/>
  <c r="AO28" i="15"/>
  <c r="AO34" i="14"/>
  <c r="AK34" i="14"/>
  <c r="AO26" i="13"/>
  <c r="AK26" i="13"/>
  <c r="AG29" i="15" l="1"/>
  <c r="AO29" i="15" s="1"/>
  <c r="AI35" i="14"/>
  <c r="AG35" i="14"/>
  <c r="AK35" i="14" s="1"/>
  <c r="AI27" i="13"/>
  <c r="AG27" i="13"/>
  <c r="AK29" i="15" l="1"/>
  <c r="AG30" i="15"/>
  <c r="AI30" i="15"/>
  <c r="AG36" i="14"/>
  <c r="AI36" i="14"/>
  <c r="AO35" i="14"/>
  <c r="AK27" i="13"/>
  <c r="AI28" i="13" s="1"/>
  <c r="AO27" i="13"/>
  <c r="AO30" i="15" l="1"/>
  <c r="AK30" i="15"/>
  <c r="AI31" i="15" s="1"/>
  <c r="AG31" i="15"/>
  <c r="AO36" i="14"/>
  <c r="AK36" i="14"/>
  <c r="AG28" i="13"/>
  <c r="AO28" i="13" s="1"/>
  <c r="AK31" i="15" l="1"/>
  <c r="AI32" i="15" s="1"/>
  <c r="AO31" i="15"/>
  <c r="AG37" i="14"/>
  <c r="AI37" i="14"/>
  <c r="AK28" i="13"/>
  <c r="AG29" i="13" s="1"/>
  <c r="AG32" i="15" l="1"/>
  <c r="AO32" i="15"/>
  <c r="AK32" i="15"/>
  <c r="AI33" i="15" s="1"/>
  <c r="AG33" i="15"/>
  <c r="AK37" i="14"/>
  <c r="AO37" i="14"/>
  <c r="AI29" i="13"/>
  <c r="AK29" i="13" s="1"/>
  <c r="AK33" i="15" l="1"/>
  <c r="AI34" i="15" s="1"/>
  <c r="AO33" i="15"/>
  <c r="AI38" i="14"/>
  <c r="AG38" i="14"/>
  <c r="AO29" i="13"/>
  <c r="AG30" i="13"/>
  <c r="AI30" i="13"/>
  <c r="AG34" i="15" l="1"/>
  <c r="AK34" i="15" s="1"/>
  <c r="AI35" i="15" s="1"/>
  <c r="AK38" i="14"/>
  <c r="AG39" i="14" s="1"/>
  <c r="AI39" i="14"/>
  <c r="AO38" i="14"/>
  <c r="AK30" i="13"/>
  <c r="AO30" i="13"/>
  <c r="AO34" i="15" l="1"/>
  <c r="AG35" i="15"/>
  <c r="AK35" i="15" s="1"/>
  <c r="AO35" i="15"/>
  <c r="AO39" i="14"/>
  <c r="AK39" i="14"/>
  <c r="AG31" i="13"/>
  <c r="AI31" i="13"/>
  <c r="AI36" i="15" l="1"/>
  <c r="AG36" i="15"/>
  <c r="AK36" i="15" s="1"/>
  <c r="AI37" i="15" s="1"/>
  <c r="AI40" i="14"/>
  <c r="AG40" i="14"/>
  <c r="AK31" i="13"/>
  <c r="AO31" i="13"/>
  <c r="AO36" i="15" l="1"/>
  <c r="AG37" i="15"/>
  <c r="AO37" i="15" s="1"/>
  <c r="AG38" i="15"/>
  <c r="AK40" i="14"/>
  <c r="AI41" i="14"/>
  <c r="AG41" i="14"/>
  <c r="AO40" i="14"/>
  <c r="AG32" i="13"/>
  <c r="AI32" i="13"/>
  <c r="AK37" i="15" l="1"/>
  <c r="AI38" i="15" s="1"/>
  <c r="AO38" i="15" s="1"/>
  <c r="AK41" i="14"/>
  <c r="AG42" i="14" s="1"/>
  <c r="AI42" i="14"/>
  <c r="AO41" i="14"/>
  <c r="AO32" i="13"/>
  <c r="AK32" i="13"/>
  <c r="AK38" i="15" l="1"/>
  <c r="AO42" i="14"/>
  <c r="AK42" i="14"/>
  <c r="AG33" i="13"/>
  <c r="AI33" i="13"/>
  <c r="AI39" i="15" l="1"/>
  <c r="AG39" i="15"/>
  <c r="AK39" i="15" s="1"/>
  <c r="AI40" i="15" s="1"/>
  <c r="AI43" i="14"/>
  <c r="AG43" i="14"/>
  <c r="AK43" i="14" s="1"/>
  <c r="AK33" i="13"/>
  <c r="AO33" i="13"/>
  <c r="AG40" i="15" l="1"/>
  <c r="AO40" i="15" s="1"/>
  <c r="AO39" i="15"/>
  <c r="AK40" i="15"/>
  <c r="AI44" i="14"/>
  <c r="AG44" i="14"/>
  <c r="AO43" i="14"/>
  <c r="AG34" i="13"/>
  <c r="AI34" i="13"/>
  <c r="AG41" i="15" l="1"/>
  <c r="AI41" i="15"/>
  <c r="AK41" i="15" s="1"/>
  <c r="AK44" i="14"/>
  <c r="AO44" i="14"/>
  <c r="AO34" i="13"/>
  <c r="AK34" i="13"/>
  <c r="AG42" i="15" l="1"/>
  <c r="AI42" i="15"/>
  <c r="AO41" i="15"/>
  <c r="C5" i="14"/>
  <c r="K39" i="14" s="1"/>
  <c r="AK42" i="15"/>
  <c r="AG35" i="13"/>
  <c r="AI35" i="13"/>
  <c r="AO42" i="15" l="1"/>
  <c r="K23" i="14"/>
  <c r="G28" i="14"/>
  <c r="O14" i="14"/>
  <c r="K19" i="14"/>
  <c r="G9" i="14"/>
  <c r="O11" i="14"/>
  <c r="K47" i="14"/>
  <c r="G31" i="14"/>
  <c r="G29" i="14" s="1"/>
  <c r="K26" i="14"/>
  <c r="K24" i="14"/>
  <c r="K25" i="14"/>
  <c r="K12" i="14"/>
  <c r="K18" i="14"/>
  <c r="O5" i="14"/>
  <c r="O6" i="14" s="1"/>
  <c r="O7" i="14" s="1"/>
  <c r="G12" i="14"/>
  <c r="AI43" i="15"/>
  <c r="AG43" i="15"/>
  <c r="AO35" i="13"/>
  <c r="AK35" i="13"/>
  <c r="AK43" i="15" l="1"/>
  <c r="O19" i="14"/>
  <c r="O15" i="14"/>
  <c r="O18" i="14" s="1"/>
  <c r="O21" i="14" s="1"/>
  <c r="K22" i="14"/>
  <c r="K34" i="14" s="1"/>
  <c r="G10" i="14"/>
  <c r="G11" i="14" s="1"/>
  <c r="G30" i="14"/>
  <c r="K43" i="14"/>
  <c r="K35" i="14"/>
  <c r="AG44" i="15"/>
  <c r="AI44" i="15"/>
  <c r="AO43" i="15"/>
  <c r="AG36" i="13"/>
  <c r="AI36" i="13"/>
  <c r="AO44" i="15" l="1"/>
  <c r="O24" i="14"/>
  <c r="O27" i="14" s="1"/>
  <c r="O29" i="14" s="1"/>
  <c r="G18" i="14"/>
  <c r="O22" i="14"/>
  <c r="G21" i="14" s="1"/>
  <c r="K14" i="14"/>
  <c r="K15" i="14" s="1"/>
  <c r="K42" i="14"/>
  <c r="AK44" i="15"/>
  <c r="C5" i="15" s="1"/>
  <c r="AO36" i="13"/>
  <c r="AK36" i="13"/>
  <c r="Y4" i="14" l="1"/>
  <c r="AA4" i="14"/>
  <c r="W4" i="14"/>
  <c r="K26" i="15"/>
  <c r="O6" i="15"/>
  <c r="O7" i="15" s="1"/>
  <c r="O8" i="15" s="1"/>
  <c r="G10" i="15"/>
  <c r="K28" i="15"/>
  <c r="G29" i="15"/>
  <c r="G27" i="15" s="1"/>
  <c r="K22" i="15"/>
  <c r="K14" i="15"/>
  <c r="G7" i="15"/>
  <c r="K21" i="15"/>
  <c r="G26" i="15"/>
  <c r="K23" i="15"/>
  <c r="K24" i="15"/>
  <c r="K29" i="15"/>
  <c r="K20" i="15"/>
  <c r="O4" i="15"/>
  <c r="O12" i="15" s="1"/>
  <c r="O13" i="15" s="1"/>
  <c r="O16" i="15" s="1"/>
  <c r="K34" i="15"/>
  <c r="K27" i="15"/>
  <c r="AG37" i="13"/>
  <c r="AI37" i="13"/>
  <c r="AB4" i="14" l="1"/>
  <c r="V5" i="14" s="1"/>
  <c r="W5" i="14" s="1"/>
  <c r="AC4" i="14"/>
  <c r="X5" i="14" s="1"/>
  <c r="O14" i="15"/>
  <c r="O20" i="15" s="1"/>
  <c r="G28" i="15"/>
  <c r="K4" i="15"/>
  <c r="K5" i="15" s="1"/>
  <c r="G8" i="15"/>
  <c r="G9" i="15" s="1"/>
  <c r="K25" i="15"/>
  <c r="K37" i="15" s="1"/>
  <c r="K38" i="15"/>
  <c r="K46" i="15"/>
  <c r="AO37" i="13"/>
  <c r="AK37" i="13"/>
  <c r="O15" i="15" l="1"/>
  <c r="Y5" i="14"/>
  <c r="AD5" i="14"/>
  <c r="Z5" i="14"/>
  <c r="AA5" i="14" s="1"/>
  <c r="K45" i="15"/>
  <c r="G16" i="15"/>
  <c r="O23" i="15"/>
  <c r="O28" i="15"/>
  <c r="O30" i="15" s="1"/>
  <c r="K16" i="15"/>
  <c r="AI38" i="13"/>
  <c r="AG38" i="13"/>
  <c r="AC5" i="14" l="1"/>
  <c r="X6" i="14" s="1"/>
  <c r="Y6" i="14" s="1"/>
  <c r="AB5" i="14"/>
  <c r="V6" i="14" s="1"/>
  <c r="G19" i="15"/>
  <c r="W4" i="15"/>
  <c r="AA4" i="15"/>
  <c r="Y4" i="15"/>
  <c r="AK38" i="13"/>
  <c r="AI39" i="13" s="1"/>
  <c r="AO38" i="13"/>
  <c r="AD6" i="14" l="1"/>
  <c r="W6" i="14"/>
  <c r="Z6" i="14"/>
  <c r="AA6" i="14" s="1"/>
  <c r="AC6" i="14" s="1"/>
  <c r="X7" i="14" s="1"/>
  <c r="AC4" i="15"/>
  <c r="X5" i="15" s="1"/>
  <c r="Y5" i="15" s="1"/>
  <c r="AB4" i="15"/>
  <c r="V5" i="15" s="1"/>
  <c r="AG39" i="13"/>
  <c r="AO39" i="13" s="1"/>
  <c r="Y7" i="14" l="1"/>
  <c r="AB6" i="14"/>
  <c r="V7" i="14" s="1"/>
  <c r="Z5" i="15"/>
  <c r="AA5" i="15" s="1"/>
  <c r="AC5" i="15" s="1"/>
  <c r="X6" i="15" s="1"/>
  <c r="W5" i="15"/>
  <c r="AD5" i="15"/>
  <c r="AK39" i="13"/>
  <c r="AG40" i="13" s="1"/>
  <c r="AI40" i="13" l="1"/>
  <c r="W7" i="14"/>
  <c r="Z7" i="14"/>
  <c r="AA7" i="14" s="1"/>
  <c r="AD7" i="14"/>
  <c r="AB5" i="15"/>
  <c r="V6" i="15" s="1"/>
  <c r="Z6" i="15" s="1"/>
  <c r="AA6" i="15" s="1"/>
  <c r="Y6" i="15"/>
  <c r="AO40" i="13"/>
  <c r="AK40" i="13"/>
  <c r="AB7" i="14" l="1"/>
  <c r="V8" i="14" s="1"/>
  <c r="W8" i="14" s="1"/>
  <c r="AC7" i="14"/>
  <c r="X8" i="14" s="1"/>
  <c r="AD6" i="15"/>
  <c r="W6" i="15"/>
  <c r="AB6" i="15" s="1"/>
  <c r="V7" i="15" s="1"/>
  <c r="W7" i="15" s="1"/>
  <c r="AC6" i="15"/>
  <c r="X7" i="15" s="1"/>
  <c r="AI41" i="13"/>
  <c r="AG41" i="13"/>
  <c r="AD8" i="14" l="1"/>
  <c r="Y8" i="14"/>
  <c r="Z8" i="14"/>
  <c r="AA8" i="14" s="1"/>
  <c r="AB8" i="14" s="1"/>
  <c r="V9" i="14" s="1"/>
  <c r="W9" i="14" s="1"/>
  <c r="Y7" i="15"/>
  <c r="AD7" i="15"/>
  <c r="Z7" i="15"/>
  <c r="AA7" i="15" s="1"/>
  <c r="AK41" i="13"/>
  <c r="AI42" i="13" s="1"/>
  <c r="AO41" i="13"/>
  <c r="AC7" i="15" l="1"/>
  <c r="X8" i="15" s="1"/>
  <c r="Y8" i="15" s="1"/>
  <c r="AC8" i="14"/>
  <c r="X9" i="14" s="1"/>
  <c r="AB7" i="15"/>
  <c r="V8" i="15" s="1"/>
  <c r="AG42" i="13"/>
  <c r="AO42" i="13" s="1"/>
  <c r="Z9" i="14" l="1"/>
  <c r="AA9" i="14" s="1"/>
  <c r="AB9" i="14" s="1"/>
  <c r="V10" i="14" s="1"/>
  <c r="Y9" i="14"/>
  <c r="AD9" i="14"/>
  <c r="Z8" i="15"/>
  <c r="AA8" i="15" s="1"/>
  <c r="AC8" i="15" s="1"/>
  <c r="X9" i="15" s="1"/>
  <c r="W8" i="15"/>
  <c r="AD8" i="15"/>
  <c r="AK42" i="13"/>
  <c r="AG43" i="13" s="1"/>
  <c r="AC9" i="14" l="1"/>
  <c r="X10" i="14" s="1"/>
  <c r="Y10" i="14" s="1"/>
  <c r="W10" i="14"/>
  <c r="AB8" i="15"/>
  <c r="V9" i="15" s="1"/>
  <c r="Z9" i="15" s="1"/>
  <c r="AA9" i="15" s="1"/>
  <c r="Y9" i="15"/>
  <c r="AI43" i="13"/>
  <c r="AK43" i="13" s="1"/>
  <c r="AG44" i="13" s="1"/>
  <c r="Z10" i="14" l="1"/>
  <c r="AA10" i="14" s="1"/>
  <c r="AB10" i="14" s="1"/>
  <c r="V11" i="14" s="1"/>
  <c r="W11" i="14" s="1"/>
  <c r="AD10" i="14"/>
  <c r="AD9" i="15"/>
  <c r="W9" i="15"/>
  <c r="AB9" i="15" s="1"/>
  <c r="V10" i="15" s="1"/>
  <c r="W10" i="15" s="1"/>
  <c r="AC9" i="15"/>
  <c r="X10" i="15" s="1"/>
  <c r="Y10" i="15" s="1"/>
  <c r="AI44" i="13"/>
  <c r="AK44" i="13" s="1"/>
  <c r="C5" i="13" s="1"/>
  <c r="AO43" i="13"/>
  <c r="AC10" i="14" l="1"/>
  <c r="X11" i="14" s="1"/>
  <c r="AD11" i="14" s="1"/>
  <c r="Z10" i="15"/>
  <c r="AA10" i="15" s="1"/>
  <c r="AC10" i="15" s="1"/>
  <c r="X11" i="15" s="1"/>
  <c r="AD10" i="15"/>
  <c r="AO44" i="13"/>
  <c r="K25" i="13"/>
  <c r="G12" i="13"/>
  <c r="G9" i="13"/>
  <c r="K19" i="13"/>
  <c r="K47" i="13"/>
  <c r="O5" i="13"/>
  <c r="O6" i="13" s="1"/>
  <c r="G28" i="13"/>
  <c r="K18" i="13"/>
  <c r="G31" i="13"/>
  <c r="G29" i="13" s="1"/>
  <c r="K39" i="13"/>
  <c r="K24" i="13"/>
  <c r="K12" i="13"/>
  <c r="K23" i="13"/>
  <c r="K26" i="13"/>
  <c r="Z11" i="14" l="1"/>
  <c r="AA11" i="14" s="1"/>
  <c r="AB11" i="14" s="1"/>
  <c r="V12" i="14" s="1"/>
  <c r="W12" i="14" s="1"/>
  <c r="Y11" i="14"/>
  <c r="Y11" i="15"/>
  <c r="AB10" i="15"/>
  <c r="V11" i="15" s="1"/>
  <c r="O11" i="13"/>
  <c r="O7" i="13"/>
  <c r="G10" i="13"/>
  <c r="G11" i="13" s="1"/>
  <c r="G30" i="13"/>
  <c r="O9" i="13"/>
  <c r="O10" i="13" s="1"/>
  <c r="O14" i="13" s="1"/>
  <c r="O19" i="13" s="1"/>
  <c r="O22" i="13" s="1"/>
  <c r="G21" i="13" s="1"/>
  <c r="K22" i="13"/>
  <c r="K42" i="13" s="1"/>
  <c r="K35" i="13"/>
  <c r="K43" i="13"/>
  <c r="AC11" i="14" l="1"/>
  <c r="X12" i="14" s="1"/>
  <c r="Z12" i="14" s="1"/>
  <c r="AA12" i="14" s="1"/>
  <c r="AB12" i="14" s="1"/>
  <c r="V13" i="14" s="1"/>
  <c r="W13" i="14" s="1"/>
  <c r="Y12" i="14"/>
  <c r="W11" i="15"/>
  <c r="Z11" i="15"/>
  <c r="AA11" i="15" s="1"/>
  <c r="AD11" i="15"/>
  <c r="K34" i="13"/>
  <c r="O15" i="13"/>
  <c r="O18" i="13" s="1"/>
  <c r="O21" i="13" s="1"/>
  <c r="O24" i="13" s="1"/>
  <c r="O27" i="13" s="1"/>
  <c r="O29" i="13" s="1"/>
  <c r="K14" i="13"/>
  <c r="K15" i="13" s="1"/>
  <c r="G18" i="13"/>
  <c r="AC12" i="14" l="1"/>
  <c r="X13" i="14" s="1"/>
  <c r="AD12" i="14"/>
  <c r="Z13" i="14"/>
  <c r="AA13" i="14" s="1"/>
  <c r="AB13" i="14" s="1"/>
  <c r="V14" i="14" s="1"/>
  <c r="AD13" i="14"/>
  <c r="Y13" i="14"/>
  <c r="AB11" i="15"/>
  <c r="V12" i="15" s="1"/>
  <c r="W12" i="15" s="1"/>
  <c r="AC11" i="15"/>
  <c r="X12" i="15" s="1"/>
  <c r="Y4" i="13"/>
  <c r="W4" i="13"/>
  <c r="AA4" i="13"/>
  <c r="AC13" i="14" l="1"/>
  <c r="X14" i="14" s="1"/>
  <c r="AD14" i="14" s="1"/>
  <c r="W14" i="14"/>
  <c r="Z14" i="14"/>
  <c r="AA14" i="14" s="1"/>
  <c r="Y12" i="15"/>
  <c r="AD12" i="15"/>
  <c r="Z12" i="15"/>
  <c r="AA12" i="15" s="1"/>
  <c r="AB12" i="15" s="1"/>
  <c r="V13" i="15" s="1"/>
  <c r="W13" i="15" s="1"/>
  <c r="AC4" i="13"/>
  <c r="X5" i="13" s="1"/>
  <c r="Y5" i="13" s="1"/>
  <c r="AB4" i="13"/>
  <c r="V5" i="13" s="1"/>
  <c r="Y14" i="14" l="1"/>
  <c r="AC14" i="14" s="1"/>
  <c r="X15" i="14" s="1"/>
  <c r="AB14" i="14"/>
  <c r="V15" i="14" s="1"/>
  <c r="W15" i="14" s="1"/>
  <c r="AC12" i="15"/>
  <c r="X13" i="15" s="1"/>
  <c r="AD5" i="13"/>
  <c r="W5" i="13"/>
  <c r="Z5" i="13"/>
  <c r="AA5" i="13" s="1"/>
  <c r="AC5" i="13" s="1"/>
  <c r="X6" i="13" s="1"/>
  <c r="Y6" i="13" s="1"/>
  <c r="Z15" i="14" l="1"/>
  <c r="AA15" i="14" s="1"/>
  <c r="AB15" i="14" s="1"/>
  <c r="V16" i="14" s="1"/>
  <c r="W16" i="14" s="1"/>
  <c r="AD15" i="14"/>
  <c r="Y15" i="14"/>
  <c r="Z13" i="15"/>
  <c r="AA13" i="15" s="1"/>
  <c r="AB13" i="15" s="1"/>
  <c r="V14" i="15" s="1"/>
  <c r="AD13" i="15"/>
  <c r="Y13" i="15"/>
  <c r="AB5" i="13"/>
  <c r="V6" i="13" s="1"/>
  <c r="Z6" i="13" s="1"/>
  <c r="AA6" i="13" s="1"/>
  <c r="AC6" i="13" s="1"/>
  <c r="X7" i="13" s="1"/>
  <c r="Y7" i="13" s="1"/>
  <c r="AC15" i="14" l="1"/>
  <c r="X16" i="14" s="1"/>
  <c r="Z16" i="14" s="1"/>
  <c r="AA16" i="14" s="1"/>
  <c r="AB16" i="14" s="1"/>
  <c r="V17" i="14" s="1"/>
  <c r="W17" i="14" s="1"/>
  <c r="AC13" i="15"/>
  <c r="X14" i="15" s="1"/>
  <c r="Y14" i="15" s="1"/>
  <c r="W14" i="15"/>
  <c r="AD6" i="13"/>
  <c r="W6" i="13"/>
  <c r="AB6" i="13" s="1"/>
  <c r="V7" i="13" s="1"/>
  <c r="Z7" i="13" s="1"/>
  <c r="AA7" i="13" s="1"/>
  <c r="AC7" i="13" s="1"/>
  <c r="X8" i="13" s="1"/>
  <c r="Y8" i="13" s="1"/>
  <c r="Y16" i="14" l="1"/>
  <c r="AC16" i="14" s="1"/>
  <c r="X17" i="14" s="1"/>
  <c r="AD16" i="14"/>
  <c r="Z14" i="15"/>
  <c r="AA14" i="15" s="1"/>
  <c r="AC14" i="15" s="1"/>
  <c r="X15" i="15" s="1"/>
  <c r="Y15" i="15" s="1"/>
  <c r="AD14" i="15"/>
  <c r="W7" i="13"/>
  <c r="AB7" i="13" s="1"/>
  <c r="V8" i="13" s="1"/>
  <c r="Z8" i="13" s="1"/>
  <c r="AA8" i="13" s="1"/>
  <c r="AC8" i="13" s="1"/>
  <c r="X9" i="13" s="1"/>
  <c r="Y9" i="13" s="1"/>
  <c r="AD7" i="13"/>
  <c r="Z17" i="14" l="1"/>
  <c r="AA17" i="14" s="1"/>
  <c r="AB17" i="14" s="1"/>
  <c r="V18" i="14" s="1"/>
  <c r="W18" i="14" s="1"/>
  <c r="Y17" i="14"/>
  <c r="AD17" i="14"/>
  <c r="AB14" i="15"/>
  <c r="V15" i="15" s="1"/>
  <c r="Z15" i="15" s="1"/>
  <c r="AA15" i="15" s="1"/>
  <c r="AD8" i="13"/>
  <c r="W8" i="13"/>
  <c r="AB8" i="13" s="1"/>
  <c r="V9" i="13" s="1"/>
  <c r="Z9" i="13" s="1"/>
  <c r="AA9" i="13" s="1"/>
  <c r="AC9" i="13" s="1"/>
  <c r="X10" i="13" s="1"/>
  <c r="AC17" i="14" l="1"/>
  <c r="X18" i="14" s="1"/>
  <c r="Z18" i="14" s="1"/>
  <c r="AA18" i="14" s="1"/>
  <c r="AB18" i="14" s="1"/>
  <c r="V19" i="14" s="1"/>
  <c r="W19" i="14" s="1"/>
  <c r="Y18" i="14"/>
  <c r="AD18" i="14"/>
  <c r="AD15" i="15"/>
  <c r="W15" i="15"/>
  <c r="AB15" i="15" s="1"/>
  <c r="V16" i="15" s="1"/>
  <c r="W16" i="15" s="1"/>
  <c r="AC15" i="15"/>
  <c r="X16" i="15" s="1"/>
  <c r="W9" i="13"/>
  <c r="AB9" i="13" s="1"/>
  <c r="V10" i="13" s="1"/>
  <c r="W10" i="13" s="1"/>
  <c r="AD9" i="13"/>
  <c r="Y10" i="13"/>
  <c r="AC18" i="14" l="1"/>
  <c r="X19" i="14" s="1"/>
  <c r="Z19" i="14" s="1"/>
  <c r="AA19" i="14" s="1"/>
  <c r="AB19" i="14" s="1"/>
  <c r="V20" i="14" s="1"/>
  <c r="W20" i="14" s="1"/>
  <c r="AD16" i="15"/>
  <c r="Z16" i="15"/>
  <c r="AA16" i="15" s="1"/>
  <c r="AB16" i="15" s="1"/>
  <c r="V17" i="15" s="1"/>
  <c r="W17" i="15" s="1"/>
  <c r="Y16" i="15"/>
  <c r="Z10" i="13"/>
  <c r="AA10" i="13" s="1"/>
  <c r="AB10" i="13" s="1"/>
  <c r="V11" i="13" s="1"/>
  <c r="W11" i="13" s="1"/>
  <c r="AD10" i="13"/>
  <c r="AD19" i="14" l="1"/>
  <c r="Y19" i="14"/>
  <c r="AC19" i="14" s="1"/>
  <c r="X20" i="14" s="1"/>
  <c r="AC16" i="15"/>
  <c r="X17" i="15" s="1"/>
  <c r="Z17" i="15" s="1"/>
  <c r="AA17" i="15" s="1"/>
  <c r="AB17" i="15" s="1"/>
  <c r="V18" i="15" s="1"/>
  <c r="W18" i="15" s="1"/>
  <c r="AC10" i="13"/>
  <c r="X11" i="13" s="1"/>
  <c r="AD11" i="13" s="1"/>
  <c r="AD20" i="14" l="1"/>
  <c r="Y20" i="14"/>
  <c r="Z20" i="14"/>
  <c r="AA20" i="14" s="1"/>
  <c r="AB20" i="14" s="1"/>
  <c r="V21" i="14" s="1"/>
  <c r="Y17" i="15"/>
  <c r="AC17" i="15" s="1"/>
  <c r="X18" i="15" s="1"/>
  <c r="AD18" i="15" s="1"/>
  <c r="AD17" i="15"/>
  <c r="Z11" i="13"/>
  <c r="AA11" i="13" s="1"/>
  <c r="AB11" i="13" s="1"/>
  <c r="V12" i="13" s="1"/>
  <c r="W12" i="13" s="1"/>
  <c r="Y11" i="13"/>
  <c r="W21" i="14" l="1"/>
  <c r="AC20" i="14"/>
  <c r="X21" i="14" s="1"/>
  <c r="AD21" i="14" s="1"/>
  <c r="Z18" i="15"/>
  <c r="AA18" i="15" s="1"/>
  <c r="AB18" i="15" s="1"/>
  <c r="V19" i="15" s="1"/>
  <c r="W19" i="15" s="1"/>
  <c r="Y18" i="15"/>
  <c r="AC11" i="13"/>
  <c r="X12" i="13" s="1"/>
  <c r="AD12" i="13" s="1"/>
  <c r="Y21" i="14" l="1"/>
  <c r="Z21" i="14"/>
  <c r="AA21" i="14" s="1"/>
  <c r="AB21" i="14" s="1"/>
  <c r="V22" i="14" s="1"/>
  <c r="W22" i="14" s="1"/>
  <c r="AC18" i="15"/>
  <c r="X19" i="15" s="1"/>
  <c r="AD19" i="15" s="1"/>
  <c r="Z12" i="13"/>
  <c r="AA12" i="13" s="1"/>
  <c r="AB12" i="13" s="1"/>
  <c r="V13" i="13" s="1"/>
  <c r="W13" i="13" s="1"/>
  <c r="Y12" i="13"/>
  <c r="AC21" i="14" l="1"/>
  <c r="X22" i="14" s="1"/>
  <c r="Y19" i="15"/>
  <c r="Z19" i="15"/>
  <c r="AA19" i="15" s="1"/>
  <c r="AB19" i="15" s="1"/>
  <c r="V20" i="15" s="1"/>
  <c r="W20" i="15" s="1"/>
  <c r="AC12" i="13"/>
  <c r="X13" i="13" s="1"/>
  <c r="Y13" i="13" s="1"/>
  <c r="AD22" i="14" l="1"/>
  <c r="Y22" i="14"/>
  <c r="Z22" i="14"/>
  <c r="AA22" i="14" s="1"/>
  <c r="AB22" i="14" s="1"/>
  <c r="V23" i="14" s="1"/>
  <c r="AC19" i="15"/>
  <c r="X20" i="15" s="1"/>
  <c r="Y20" i="15" s="1"/>
  <c r="Z13" i="13"/>
  <c r="AA13" i="13" s="1"/>
  <c r="AB13" i="13" s="1"/>
  <c r="V14" i="13" s="1"/>
  <c r="W14" i="13" s="1"/>
  <c r="AD13" i="13"/>
  <c r="Z20" i="15" l="1"/>
  <c r="AA20" i="15" s="1"/>
  <c r="AB20" i="15" s="1"/>
  <c r="V21" i="15" s="1"/>
  <c r="W21" i="15" s="1"/>
  <c r="AD20" i="15"/>
  <c r="W23" i="14"/>
  <c r="AC22" i="14"/>
  <c r="X23" i="14" s="1"/>
  <c r="Z23" i="14" s="1"/>
  <c r="AA23" i="14" s="1"/>
  <c r="AB23" i="14" s="1"/>
  <c r="V24" i="14" s="1"/>
  <c r="AC13" i="13"/>
  <c r="X14" i="13" s="1"/>
  <c r="Y14" i="13" s="1"/>
  <c r="AC20" i="15" l="1"/>
  <c r="X21" i="15" s="1"/>
  <c r="W24" i="14"/>
  <c r="AD23" i="14"/>
  <c r="Y23" i="14"/>
  <c r="AC23" i="14" s="1"/>
  <c r="X24" i="14" s="1"/>
  <c r="Z24" i="14" s="1"/>
  <c r="AA24" i="14" s="1"/>
  <c r="AB24" i="14" s="1"/>
  <c r="V25" i="14" s="1"/>
  <c r="W25" i="14" s="1"/>
  <c r="AD21" i="15"/>
  <c r="Y21" i="15"/>
  <c r="Z21" i="15"/>
  <c r="AA21" i="15" s="1"/>
  <c r="AB21" i="15" s="1"/>
  <c r="V22" i="15" s="1"/>
  <c r="Z14" i="13"/>
  <c r="AA14" i="13" s="1"/>
  <c r="AB14" i="13" s="1"/>
  <c r="V15" i="13" s="1"/>
  <c r="W15" i="13" s="1"/>
  <c r="AD14" i="13"/>
  <c r="AD24" i="14" l="1"/>
  <c r="Y24" i="14"/>
  <c r="AC24" i="14" s="1"/>
  <c r="X25" i="14" s="1"/>
  <c r="Z25" i="14" s="1"/>
  <c r="AA25" i="14" s="1"/>
  <c r="AB25" i="14" s="1"/>
  <c r="V26" i="14" s="1"/>
  <c r="W22" i="15"/>
  <c r="AC21" i="15"/>
  <c r="X22" i="15" s="1"/>
  <c r="Z22" i="15" s="1"/>
  <c r="AA22" i="15" s="1"/>
  <c r="AC14" i="13"/>
  <c r="X15" i="13" s="1"/>
  <c r="AD15" i="13" s="1"/>
  <c r="Y25" i="14" l="1"/>
  <c r="AC25" i="14" s="1"/>
  <c r="X26" i="14" s="1"/>
  <c r="AD25" i="14"/>
  <c r="W26" i="14"/>
  <c r="AB22" i="15"/>
  <c r="V23" i="15" s="1"/>
  <c r="W23" i="15" s="1"/>
  <c r="AD22" i="15"/>
  <c r="Y22" i="15"/>
  <c r="AC22" i="15" s="1"/>
  <c r="X23" i="15" s="1"/>
  <c r="Z15" i="13"/>
  <c r="AA15" i="13" s="1"/>
  <c r="AB15" i="13" s="1"/>
  <c r="V16" i="13" s="1"/>
  <c r="W16" i="13" s="1"/>
  <c r="Y15" i="13"/>
  <c r="Y26" i="14" l="1"/>
  <c r="AD26" i="14"/>
  <c r="Z26" i="14"/>
  <c r="AA26" i="14" s="1"/>
  <c r="AB26" i="14" s="1"/>
  <c r="V27" i="14" s="1"/>
  <c r="W27" i="14" s="1"/>
  <c r="AD23" i="15"/>
  <c r="Y23" i="15"/>
  <c r="Z23" i="15"/>
  <c r="AA23" i="15" s="1"/>
  <c r="AB23" i="15" s="1"/>
  <c r="V24" i="15" s="1"/>
  <c r="AC15" i="13"/>
  <c r="X16" i="13" s="1"/>
  <c r="AD16" i="13" s="1"/>
  <c r="AC26" i="14" l="1"/>
  <c r="X27" i="14" s="1"/>
  <c r="AD27" i="14" s="1"/>
  <c r="Y27" i="14"/>
  <c r="Z27" i="14"/>
  <c r="AA27" i="14" s="1"/>
  <c r="AB27" i="14" s="1"/>
  <c r="V28" i="14" s="1"/>
  <c r="W24" i="15"/>
  <c r="AC23" i="15"/>
  <c r="X24" i="15" s="1"/>
  <c r="Z24" i="15" s="1"/>
  <c r="AA24" i="15" s="1"/>
  <c r="Z16" i="13"/>
  <c r="AA16" i="13" s="1"/>
  <c r="AB16" i="13" s="1"/>
  <c r="V17" i="13" s="1"/>
  <c r="W17" i="13" s="1"/>
  <c r="Y16" i="13"/>
  <c r="W28" i="14" l="1"/>
  <c r="AC27" i="14"/>
  <c r="X28" i="14" s="1"/>
  <c r="Z28" i="14" s="1"/>
  <c r="AA28" i="14" s="1"/>
  <c r="AB24" i="15"/>
  <c r="V25" i="15" s="1"/>
  <c r="W25" i="15" s="1"/>
  <c r="AD24" i="15"/>
  <c r="Y24" i="15"/>
  <c r="AC24" i="15" s="1"/>
  <c r="X25" i="15" s="1"/>
  <c r="AC16" i="13"/>
  <c r="X17" i="13" s="1"/>
  <c r="Z17" i="13" s="1"/>
  <c r="AA17" i="13" s="1"/>
  <c r="AB17" i="13" s="1"/>
  <c r="V18" i="13" s="1"/>
  <c r="W18" i="13" s="1"/>
  <c r="AB28" i="14" l="1"/>
  <c r="V29" i="14" s="1"/>
  <c r="W29" i="14" s="1"/>
  <c r="Y28" i="14"/>
  <c r="AC28" i="14" s="1"/>
  <c r="X29" i="14" s="1"/>
  <c r="Z29" i="14" s="1"/>
  <c r="AA29" i="14" s="1"/>
  <c r="AD28" i="14"/>
  <c r="AD25" i="15"/>
  <c r="Y25" i="15"/>
  <c r="Z25" i="15"/>
  <c r="AA25" i="15" s="1"/>
  <c r="AB25" i="15" s="1"/>
  <c r="V26" i="15" s="1"/>
  <c r="AD17" i="13"/>
  <c r="Y17" i="13"/>
  <c r="AC17" i="13" s="1"/>
  <c r="X18" i="13" s="1"/>
  <c r="Z18" i="13" s="1"/>
  <c r="AA18" i="13" s="1"/>
  <c r="AB18" i="13" s="1"/>
  <c r="V19" i="13" s="1"/>
  <c r="W19" i="13" s="1"/>
  <c r="AB29" i="14" l="1"/>
  <c r="V30" i="14" s="1"/>
  <c r="W30" i="14" s="1"/>
  <c r="AD29" i="14"/>
  <c r="Y29" i="14"/>
  <c r="AC29" i="14" s="1"/>
  <c r="X30" i="14" s="1"/>
  <c r="W26" i="15"/>
  <c r="AC25" i="15"/>
  <c r="X26" i="15" s="1"/>
  <c r="AD18" i="13"/>
  <c r="Y18" i="13"/>
  <c r="AC18" i="13" s="1"/>
  <c r="X19" i="13" s="1"/>
  <c r="Y19" i="13" s="1"/>
  <c r="Z30" i="14" l="1"/>
  <c r="AA30" i="14" s="1"/>
  <c r="AB30" i="14" s="1"/>
  <c r="V31" i="14" s="1"/>
  <c r="W31" i="14" s="1"/>
  <c r="Y30" i="14"/>
  <c r="AD30" i="14"/>
  <c r="AD26" i="15"/>
  <c r="Y26" i="15"/>
  <c r="Z26" i="15"/>
  <c r="AA26" i="15" s="1"/>
  <c r="AB26" i="15" s="1"/>
  <c r="V27" i="15" s="1"/>
  <c r="Z19" i="13"/>
  <c r="AA19" i="13" s="1"/>
  <c r="AB19" i="13" s="1"/>
  <c r="V20" i="13" s="1"/>
  <c r="W20" i="13" s="1"/>
  <c r="AD19" i="13"/>
  <c r="AC30" i="14" l="1"/>
  <c r="X31" i="14" s="1"/>
  <c r="Z31" i="14" s="1"/>
  <c r="AA31" i="14" s="1"/>
  <c r="AB31" i="14" s="1"/>
  <c r="V32" i="14" s="1"/>
  <c r="W32" i="14" s="1"/>
  <c r="Y31" i="14"/>
  <c r="AC31" i="14" s="1"/>
  <c r="X32" i="14" s="1"/>
  <c r="W27" i="15"/>
  <c r="AC26" i="15"/>
  <c r="X27" i="15" s="1"/>
  <c r="AC19" i="13"/>
  <c r="X20" i="13" s="1"/>
  <c r="AD20" i="13" s="1"/>
  <c r="AD31" i="14" l="1"/>
  <c r="AD32" i="14"/>
  <c r="Z32" i="14"/>
  <c r="AA32" i="14" s="1"/>
  <c r="AB32" i="14" s="1"/>
  <c r="V33" i="14" s="1"/>
  <c r="W33" i="14" s="1"/>
  <c r="Y32" i="14"/>
  <c r="AD27" i="15"/>
  <c r="Y27" i="15"/>
  <c r="Z27" i="15"/>
  <c r="AA27" i="15" s="1"/>
  <c r="AB27" i="15" s="1"/>
  <c r="V28" i="15" s="1"/>
  <c r="Z20" i="13"/>
  <c r="AA20" i="13" s="1"/>
  <c r="AB20" i="13" s="1"/>
  <c r="V21" i="13" s="1"/>
  <c r="W21" i="13" s="1"/>
  <c r="Y20" i="13"/>
  <c r="AC32" i="14" l="1"/>
  <c r="X33" i="14" s="1"/>
  <c r="AD33" i="14" s="1"/>
  <c r="W28" i="15"/>
  <c r="AC27" i="15"/>
  <c r="X28" i="15" s="1"/>
  <c r="Z28" i="15" s="1"/>
  <c r="AA28" i="15" s="1"/>
  <c r="AB28" i="15" s="1"/>
  <c r="V29" i="15" s="1"/>
  <c r="AC20" i="13"/>
  <c r="X21" i="13" s="1"/>
  <c r="Z21" i="13" s="1"/>
  <c r="AA21" i="13" s="1"/>
  <c r="AB21" i="13" s="1"/>
  <c r="V22" i="13" s="1"/>
  <c r="W22" i="13" s="1"/>
  <c r="Z33" i="14" l="1"/>
  <c r="AA33" i="14" s="1"/>
  <c r="AB33" i="14" s="1"/>
  <c r="V34" i="14" s="1"/>
  <c r="W34" i="14" s="1"/>
  <c r="Y33" i="14"/>
  <c r="W29" i="15"/>
  <c r="AD28" i="15"/>
  <c r="Y28" i="15"/>
  <c r="AC28" i="15" s="1"/>
  <c r="X29" i="15" s="1"/>
  <c r="Y21" i="13"/>
  <c r="AC21" i="13" s="1"/>
  <c r="X22" i="13" s="1"/>
  <c r="AD22" i="13" s="1"/>
  <c r="AD21" i="13"/>
  <c r="AC33" i="14" l="1"/>
  <c r="X34" i="14" s="1"/>
  <c r="AD34" i="14" s="1"/>
  <c r="AD29" i="15"/>
  <c r="Y29" i="15"/>
  <c r="Z29" i="15"/>
  <c r="AA29" i="15" s="1"/>
  <c r="AB29" i="15" s="1"/>
  <c r="V30" i="15" s="1"/>
  <c r="Z22" i="13"/>
  <c r="AA22" i="13" s="1"/>
  <c r="AB22" i="13" s="1"/>
  <c r="V23" i="13" s="1"/>
  <c r="W23" i="13" s="1"/>
  <c r="Y22" i="13"/>
  <c r="Z34" i="14" l="1"/>
  <c r="Y34" i="14"/>
  <c r="W30" i="15"/>
  <c r="AC29" i="15"/>
  <c r="X30" i="15" s="1"/>
  <c r="O25" i="14"/>
  <c r="O26" i="14" s="1"/>
  <c r="G19" i="14" s="1"/>
  <c r="AA34" i="14"/>
  <c r="AB34" i="14" s="1"/>
  <c r="AC22" i="13"/>
  <c r="X23" i="13" s="1"/>
  <c r="AD23" i="13" s="1"/>
  <c r="AD30" i="15" l="1"/>
  <c r="Y30" i="15"/>
  <c r="Z30" i="15"/>
  <c r="AA30" i="15" s="1"/>
  <c r="AB30" i="15" s="1"/>
  <c r="V31" i="15" s="1"/>
  <c r="AC34" i="14"/>
  <c r="G22" i="14"/>
  <c r="G20" i="14"/>
  <c r="Z23" i="13"/>
  <c r="AA23" i="13" s="1"/>
  <c r="AB23" i="13" s="1"/>
  <c r="V24" i="13" s="1"/>
  <c r="W24" i="13" s="1"/>
  <c r="Y23" i="13"/>
  <c r="W31" i="15" l="1"/>
  <c r="AC30" i="15"/>
  <c r="X31" i="15" s="1"/>
  <c r="Z31" i="15" s="1"/>
  <c r="AA31" i="15" s="1"/>
  <c r="G35" i="14"/>
  <c r="K8" i="14"/>
  <c r="K13" i="14" s="1"/>
  <c r="K4" i="14"/>
  <c r="AC23" i="13"/>
  <c r="X24" i="13" s="1"/>
  <c r="AD24" i="13" s="1"/>
  <c r="AB31" i="15" l="1"/>
  <c r="V32" i="15" s="1"/>
  <c r="W32" i="15" s="1"/>
  <c r="AD31" i="15"/>
  <c r="Y31" i="15"/>
  <c r="AC31" i="15" s="1"/>
  <c r="X32" i="15" s="1"/>
  <c r="K17" i="14"/>
  <c r="K5" i="14"/>
  <c r="K16" i="14"/>
  <c r="K27" i="14" s="1"/>
  <c r="K48" i="14"/>
  <c r="K40" i="14"/>
  <c r="K32" i="14"/>
  <c r="Z24" i="13"/>
  <c r="AA24" i="13" s="1"/>
  <c r="AB24" i="13" s="1"/>
  <c r="V25" i="13" s="1"/>
  <c r="W25" i="13" s="1"/>
  <c r="Y24" i="13"/>
  <c r="AD32" i="15" l="1"/>
  <c r="Y32" i="15"/>
  <c r="Z32" i="15"/>
  <c r="AA32" i="15" s="1"/>
  <c r="AB32" i="15" s="1"/>
  <c r="V33" i="15" s="1"/>
  <c r="K28" i="14"/>
  <c r="AJ4" i="14"/>
  <c r="AL4" i="14"/>
  <c r="AH4" i="14"/>
  <c r="K33" i="14"/>
  <c r="K36" i="14" s="1"/>
  <c r="K41" i="14"/>
  <c r="K44" i="14" s="1"/>
  <c r="K49" i="14"/>
  <c r="K50" i="14" s="1"/>
  <c r="AC24" i="13"/>
  <c r="X25" i="13" s="1"/>
  <c r="AD25" i="13" s="1"/>
  <c r="W33" i="15" l="1"/>
  <c r="AC32" i="15"/>
  <c r="X33" i="15" s="1"/>
  <c r="Y25" i="13"/>
  <c r="Z25" i="13"/>
  <c r="AA25" i="13" s="1"/>
  <c r="AB25" i="13" s="1"/>
  <c r="V26" i="13" s="1"/>
  <c r="W26" i="13" s="1"/>
  <c r="AD33" i="15" l="1"/>
  <c r="Y33" i="15"/>
  <c r="Z33" i="15"/>
  <c r="AA33" i="15" s="1"/>
  <c r="AB33" i="15" s="1"/>
  <c r="V34" i="15" s="1"/>
  <c r="AC25" i="13"/>
  <c r="X26" i="13" s="1"/>
  <c r="AD26" i="13" s="1"/>
  <c r="W34" i="15" l="1"/>
  <c r="AC33" i="15"/>
  <c r="X34" i="15" s="1"/>
  <c r="Y26" i="13"/>
  <c r="Z26" i="13"/>
  <c r="AA26" i="13" s="1"/>
  <c r="AB26" i="13" s="1"/>
  <c r="V27" i="13" s="1"/>
  <c r="W27" i="13" s="1"/>
  <c r="AD34" i="15" l="1"/>
  <c r="Y34" i="15"/>
  <c r="Z34" i="15"/>
  <c r="AC26" i="13"/>
  <c r="X27" i="13" s="1"/>
  <c r="AD27" i="13" s="1"/>
  <c r="O26" i="15" l="1"/>
  <c r="O27" i="15" s="1"/>
  <c r="G17" i="15" s="1"/>
  <c r="AA34" i="15"/>
  <c r="AB34" i="15" s="1"/>
  <c r="Z27" i="13"/>
  <c r="AA27" i="13" s="1"/>
  <c r="AB27" i="13" s="1"/>
  <c r="V28" i="13" s="1"/>
  <c r="W28" i="13" s="1"/>
  <c r="Y27" i="13"/>
  <c r="AC34" i="15" l="1"/>
  <c r="G20" i="15"/>
  <c r="G18" i="15"/>
  <c r="AC27" i="13"/>
  <c r="X28" i="13" s="1"/>
  <c r="Z28" i="13" s="1"/>
  <c r="AA28" i="13" s="1"/>
  <c r="AB28" i="13" s="1"/>
  <c r="V29" i="13" s="1"/>
  <c r="W29" i="13" s="1"/>
  <c r="G33" i="15" l="1"/>
  <c r="K10" i="15" s="1"/>
  <c r="K6" i="15"/>
  <c r="Y28" i="13"/>
  <c r="AC28" i="13" s="1"/>
  <c r="X29" i="13" s="1"/>
  <c r="AD29" i="13" s="1"/>
  <c r="AD28" i="13"/>
  <c r="K15" i="15" l="1"/>
  <c r="K7" i="15"/>
  <c r="K19" i="15"/>
  <c r="K18" i="15"/>
  <c r="Y29" i="13"/>
  <c r="Z29" i="13"/>
  <c r="AA29" i="13" s="1"/>
  <c r="AB29" i="13" s="1"/>
  <c r="V30" i="13" s="1"/>
  <c r="W30" i="13" s="1"/>
  <c r="K43" i="15" l="1"/>
  <c r="K30" i="15"/>
  <c r="AH4" i="15" s="1"/>
  <c r="K35" i="15"/>
  <c r="K44" i="15"/>
  <c r="K36" i="15"/>
  <c r="AC29" i="13"/>
  <c r="X30" i="13" s="1"/>
  <c r="Z30" i="13" s="1"/>
  <c r="AA30" i="13" s="1"/>
  <c r="AB30" i="13" s="1"/>
  <c r="V31" i="13" s="1"/>
  <c r="W31" i="13" s="1"/>
  <c r="K47" i="15" l="1"/>
  <c r="AL4" i="15"/>
  <c r="K31" i="15"/>
  <c r="K39" i="15"/>
  <c r="AJ4" i="15"/>
  <c r="Y30" i="13"/>
  <c r="AC30" i="13" s="1"/>
  <c r="X31" i="13" s="1"/>
  <c r="AD30" i="13"/>
  <c r="AD31" i="13" l="1"/>
  <c r="Y31" i="13"/>
  <c r="Z31" i="13"/>
  <c r="AA31" i="13" s="1"/>
  <c r="AB31" i="13" s="1"/>
  <c r="V32" i="13" s="1"/>
  <c r="W32" i="13" s="1"/>
  <c r="AC31" i="13" l="1"/>
  <c r="X32" i="13" s="1"/>
  <c r="AD32" i="13" s="1"/>
  <c r="Z32" i="13" l="1"/>
  <c r="AA32" i="13" s="1"/>
  <c r="AB32" i="13" s="1"/>
  <c r="V33" i="13" s="1"/>
  <c r="W33" i="13" s="1"/>
  <c r="Y32" i="13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G6" i="12" l="1"/>
  <c r="AC32" i="13"/>
  <c r="X33" i="13" s="1"/>
  <c r="Z33" i="13" s="1"/>
  <c r="AA33" i="13" s="1"/>
  <c r="AB33" i="13" s="1"/>
  <c r="V34" i="13" s="1"/>
  <c r="G14" i="12"/>
  <c r="G15" i="12" s="1"/>
  <c r="O22" i="12"/>
  <c r="O25" i="12" s="1"/>
  <c r="G6" i="12"/>
  <c r="AI6" i="12"/>
  <c r="G25" i="12"/>
  <c r="K42" i="12"/>
  <c r="AO6" i="12" l="1"/>
  <c r="Y33" i="13"/>
  <c r="AC33" i="13" s="1"/>
  <c r="X34" i="13" s="1"/>
  <c r="Z34" i="13" s="1"/>
  <c r="AD33" i="13"/>
  <c r="AK6" i="12"/>
  <c r="AG7" i="12" s="1"/>
  <c r="W34" i="13"/>
  <c r="AI7" i="12" l="1"/>
  <c r="AO7" i="12" s="1"/>
  <c r="O25" i="13"/>
  <c r="O26" i="13" s="1"/>
  <c r="G19" i="13" s="1"/>
  <c r="AA34" i="13"/>
  <c r="AB34" i="13" s="1"/>
  <c r="AD34" i="13"/>
  <c r="Y34" i="13"/>
  <c r="AK7" i="12" l="1"/>
  <c r="AI8" i="12" s="1"/>
  <c r="AC34" i="13"/>
  <c r="G20" i="13"/>
  <c r="G22" i="13"/>
  <c r="AG8" i="12" l="1"/>
  <c r="AO8" i="12" s="1"/>
  <c r="G35" i="13"/>
  <c r="K4" i="13" s="1"/>
  <c r="K5" i="13" s="1"/>
  <c r="AK8" i="12" l="1"/>
  <c r="AI9" i="12" s="1"/>
  <c r="K8" i="13"/>
  <c r="K13" i="13" s="1"/>
  <c r="K48" i="13" s="1"/>
  <c r="K17" i="13"/>
  <c r="K16" i="13"/>
  <c r="AG9" i="12" l="1"/>
  <c r="AO9" i="12" s="1"/>
  <c r="K32" i="13"/>
  <c r="K40" i="13"/>
  <c r="K41" i="13"/>
  <c r="K49" i="13"/>
  <c r="K50" i="13" s="1"/>
  <c r="K33" i="13"/>
  <c r="K27" i="13"/>
  <c r="AK9" i="12" l="1"/>
  <c r="AI10" i="12" s="1"/>
  <c r="K36" i="13"/>
  <c r="K44" i="13"/>
  <c r="AJ4" i="13"/>
  <c r="K28" i="13"/>
  <c r="AH4" i="13"/>
  <c r="AL4" i="13"/>
  <c r="AG10" i="12" l="1"/>
  <c r="AO10" i="12" s="1"/>
  <c r="AK10" i="12" l="1"/>
  <c r="AG11" i="12" l="1"/>
  <c r="AI11" i="12"/>
  <c r="AK11" i="12" l="1"/>
  <c r="AI12" i="12" s="1"/>
  <c r="AO11" i="12"/>
  <c r="AG12" i="12"/>
  <c r="AO12" i="12" s="1"/>
  <c r="AK12" i="12" l="1"/>
  <c r="AG13" i="12" s="1"/>
  <c r="AI13" i="12" l="1"/>
  <c r="AK13" i="12" s="1"/>
  <c r="AO13" i="12" l="1"/>
  <c r="AI14" i="12"/>
  <c r="AG14" i="12"/>
  <c r="AO14" i="12" l="1"/>
  <c r="AK14" i="12"/>
  <c r="AG15" i="12" s="1"/>
  <c r="AI15" i="12" l="1"/>
  <c r="AK15" i="12" s="1"/>
  <c r="AG16" i="12" s="1"/>
  <c r="AI16" i="12" l="1"/>
  <c r="AO16" i="12" s="1"/>
  <c r="AO15" i="12"/>
  <c r="AK16" i="12" l="1"/>
  <c r="AG17" i="12"/>
  <c r="AI17" i="12"/>
  <c r="AK17" i="12" l="1"/>
  <c r="AI18" i="12" s="1"/>
  <c r="AO17" i="12"/>
  <c r="AG18" i="12" l="1"/>
  <c r="AO18" i="12" s="1"/>
  <c r="AK18" i="12" l="1"/>
  <c r="AG19" i="12" s="1"/>
  <c r="AI19" i="12"/>
  <c r="AK19" i="12" l="1"/>
  <c r="AI20" i="12" s="1"/>
  <c r="AO19" i="12"/>
  <c r="AG20" i="12" l="1"/>
  <c r="AK20" i="12" s="1"/>
  <c r="AI21" i="12" s="1"/>
  <c r="AG21" i="12" l="1"/>
  <c r="AK21" i="12" s="1"/>
  <c r="AG22" i="12" s="1"/>
  <c r="AO20" i="12"/>
  <c r="AI22" i="12"/>
  <c r="AO21" i="12" l="1"/>
  <c r="AO22" i="12"/>
  <c r="AK22" i="12"/>
  <c r="AG23" i="12" s="1"/>
  <c r="AI23" i="12" l="1"/>
  <c r="AK23" i="12" s="1"/>
  <c r="AO23" i="12" l="1"/>
  <c r="AI24" i="12"/>
  <c r="AG24" i="12"/>
  <c r="AO24" i="12" s="1"/>
  <c r="AK24" i="12" l="1"/>
  <c r="AG25" i="12" s="1"/>
  <c r="AI25" i="12"/>
  <c r="AK25" i="12" l="1"/>
  <c r="AO25" i="12"/>
  <c r="AG26" i="12"/>
  <c r="AI26" i="12"/>
  <c r="AO26" i="12" s="1"/>
  <c r="AI27" i="12"/>
  <c r="AK26" i="12" l="1"/>
  <c r="AG27" i="12" s="1"/>
  <c r="AO27" i="12" s="1"/>
  <c r="AK27" i="12"/>
  <c r="AI28" i="12" s="1"/>
  <c r="AG28" i="12" l="1"/>
  <c r="AO28" i="12" s="1"/>
  <c r="AK28" i="12" l="1"/>
  <c r="AI29" i="12" s="1"/>
  <c r="AG29" i="12" l="1"/>
  <c r="AK29" i="12" s="1"/>
  <c r="AG30" i="12" s="1"/>
  <c r="AO29" i="12" l="1"/>
  <c r="AI30" i="12"/>
  <c r="AO30" i="12" s="1"/>
  <c r="AK30" i="12" l="1"/>
  <c r="AG31" i="12" s="1"/>
  <c r="AI31" i="12" l="1"/>
  <c r="AK31" i="12" s="1"/>
  <c r="AG32" i="12" s="1"/>
  <c r="AI32" i="12" l="1"/>
  <c r="AK32" i="12" s="1"/>
  <c r="AI33" i="12" s="1"/>
  <c r="AO31" i="12"/>
  <c r="AO32" i="12" l="1"/>
  <c r="AG33" i="12"/>
  <c r="AK33" i="12" s="1"/>
  <c r="AI34" i="12" s="1"/>
  <c r="AO33" i="12" l="1"/>
  <c r="AG34" i="12"/>
  <c r="AK34" i="12" l="1"/>
  <c r="AO34" i="12"/>
  <c r="AG35" i="12" l="1"/>
  <c r="AI35" i="12"/>
  <c r="AO35" i="12" l="1"/>
  <c r="AK35" i="12"/>
  <c r="AI36" i="12" l="1"/>
  <c r="AG36" i="12"/>
  <c r="AK36" i="12" l="1"/>
  <c r="AG37" i="12" s="1"/>
  <c r="AO36" i="12"/>
  <c r="AI37" i="12" l="1"/>
  <c r="AK37" i="12" s="1"/>
  <c r="AI38" i="12" s="1"/>
  <c r="AO37" i="12" l="1"/>
  <c r="AG38" i="12"/>
  <c r="AK38" i="12" s="1"/>
  <c r="AI39" i="12" s="1"/>
  <c r="AO38" i="12" l="1"/>
  <c r="AG39" i="12"/>
  <c r="AO39" i="12" s="1"/>
  <c r="AK39" i="12" l="1"/>
  <c r="AI40" i="12" s="1"/>
  <c r="AG40" i="12" l="1"/>
  <c r="AK40" i="12" s="1"/>
  <c r="AO40" i="12" l="1"/>
  <c r="AI41" i="12"/>
  <c r="AG41" i="12"/>
  <c r="AK41" i="12" l="1"/>
  <c r="AI42" i="12" s="1"/>
  <c r="AO41" i="12"/>
  <c r="AG42" i="12" l="1"/>
  <c r="AO42" i="12" s="1"/>
  <c r="AK42" i="12" l="1"/>
  <c r="AG43" i="12" s="1"/>
  <c r="AI43" i="12" l="1"/>
  <c r="AK43" i="12" s="1"/>
  <c r="AG44" i="12" s="1"/>
  <c r="AO43" i="12" l="1"/>
  <c r="AI44" i="12"/>
  <c r="AK44" i="12" s="1"/>
  <c r="C5" i="12" s="1"/>
  <c r="AO44" i="12" l="1"/>
  <c r="G29" i="12"/>
  <c r="G27" i="12" s="1"/>
  <c r="K27" i="12" l="1"/>
  <c r="O4" i="12"/>
  <c r="O12" i="12" s="1"/>
  <c r="G26" i="12"/>
  <c r="G28" i="12" s="1"/>
  <c r="G10" i="12"/>
  <c r="K25" i="12" s="1"/>
  <c r="K34" i="12"/>
  <c r="K26" i="12"/>
  <c r="K20" i="12"/>
  <c r="K22" i="12"/>
  <c r="K21" i="12"/>
  <c r="K28" i="12"/>
  <c r="K29" i="12"/>
  <c r="K24" i="12"/>
  <c r="O6" i="12"/>
  <c r="O7" i="12" s="1"/>
  <c r="G7" i="12"/>
  <c r="K23" i="12"/>
  <c r="K14" i="12"/>
  <c r="O10" i="12" l="1"/>
  <c r="O8" i="12"/>
  <c r="O13" i="12"/>
  <c r="O14" i="12" s="1"/>
  <c r="G8" i="12"/>
  <c r="G9" i="12" s="1"/>
  <c r="K4" i="12"/>
  <c r="K5" i="12" s="1"/>
  <c r="K38" i="12"/>
  <c r="K46" i="12"/>
  <c r="K45" i="12"/>
  <c r="K37" i="12"/>
  <c r="O16" i="12" l="1"/>
  <c r="O20" i="12"/>
  <c r="O15" i="12"/>
  <c r="G16" i="12" l="1"/>
  <c r="O23" i="12"/>
  <c r="O28" i="12"/>
  <c r="O30" i="12" s="1"/>
  <c r="K16" i="12"/>
  <c r="G19" i="12" l="1"/>
  <c r="AA4" i="12"/>
  <c r="W4" i="12"/>
  <c r="Y4" i="12"/>
  <c r="AC4" i="12" l="1"/>
  <c r="X5" i="12" s="1"/>
  <c r="Y5" i="12" s="1"/>
  <c r="AB4" i="12"/>
  <c r="V5" i="12" s="1"/>
  <c r="AD5" i="12" l="1"/>
  <c r="Z5" i="12"/>
  <c r="AA5" i="12" s="1"/>
  <c r="AC5" i="12" s="1"/>
  <c r="X6" i="12" s="1"/>
  <c r="W5" i="12"/>
  <c r="AB5" i="12" l="1"/>
  <c r="V6" i="12" s="1"/>
  <c r="W6" i="12" s="1"/>
  <c r="Y6" i="12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W7" i="12" l="1"/>
  <c r="AB7" i="12" s="1"/>
  <c r="V8" i="12" s="1"/>
  <c r="AD7" i="12"/>
  <c r="Y8" i="12"/>
  <c r="W8" i="12" l="1"/>
  <c r="Z8" i="12"/>
  <c r="AA8" i="12" s="1"/>
  <c r="AD8" i="12"/>
  <c r="AB8" i="12" l="1"/>
  <c r="V9" i="12" s="1"/>
  <c r="W9" i="12" s="1"/>
  <c r="AC8" i="12"/>
  <c r="X9" i="12" s="1"/>
  <c r="Z9" i="12" l="1"/>
  <c r="AA9" i="12" s="1"/>
  <c r="AB9" i="12" s="1"/>
  <c r="V10" i="12" s="1"/>
  <c r="W10" i="12" s="1"/>
  <c r="AD9" i="12"/>
  <c r="Y9" i="12"/>
  <c r="AC9" i="12" l="1"/>
  <c r="X10" i="12" s="1"/>
  <c r="Z10" i="12" s="1"/>
  <c r="AA10" i="12" s="1"/>
  <c r="AB10" i="12" s="1"/>
  <c r="V11" i="12" s="1"/>
  <c r="W11" i="12" s="1"/>
  <c r="Y10" i="12" l="1"/>
  <c r="AC10" i="12" s="1"/>
  <c r="X11" i="12" s="1"/>
  <c r="Y11" i="12" s="1"/>
  <c r="AD10" i="12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Y13" i="12" l="1"/>
  <c r="AC13" i="12" s="1"/>
  <c r="X14" i="12" s="1"/>
  <c r="AD14" i="12" s="1"/>
  <c r="AD13" i="12"/>
  <c r="W14" i="12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AD15" i="12" l="1"/>
  <c r="Y15" i="12"/>
  <c r="AC15" i="12" s="1"/>
  <c r="X16" i="12" s="1"/>
  <c r="AD16" i="12" s="1"/>
  <c r="W16" i="12"/>
  <c r="Z16" i="12" l="1"/>
  <c r="AA16" i="12" s="1"/>
  <c r="AB16" i="12" s="1"/>
  <c r="V17" i="12" s="1"/>
  <c r="W17" i="12" s="1"/>
  <c r="Y16" i="12"/>
  <c r="AC16" i="12" l="1"/>
  <c r="X17" i="12" s="1"/>
  <c r="Y17" i="12" s="1"/>
  <c r="Z17" i="12" l="1"/>
  <c r="AA17" i="12" s="1"/>
  <c r="AB17" i="12" s="1"/>
  <c r="V18" i="12" s="1"/>
  <c r="W18" i="12" s="1"/>
  <c r="AD17" i="12"/>
  <c r="AC17" i="12" l="1"/>
  <c r="X18" i="12" s="1"/>
  <c r="AD18" i="12" s="1"/>
  <c r="Z18" i="12" l="1"/>
  <c r="AA18" i="12" s="1"/>
  <c r="AB18" i="12" s="1"/>
  <c r="V19" i="12" s="1"/>
  <c r="W19" i="12" s="1"/>
  <c r="Y18" i="12"/>
  <c r="AC18" i="12" l="1"/>
  <c r="X19" i="12" s="1"/>
  <c r="AD19" i="12" s="1"/>
  <c r="Z19" i="12" l="1"/>
  <c r="AA19" i="12" s="1"/>
  <c r="AB19" i="12" s="1"/>
  <c r="V20" i="12" s="1"/>
  <c r="W20" i="12" s="1"/>
  <c r="Y19" i="12"/>
  <c r="AC19" i="12" l="1"/>
  <c r="X20" i="12" s="1"/>
  <c r="Z20" i="12" s="1"/>
  <c r="AA20" i="12" s="1"/>
  <c r="AB20" i="12" s="1"/>
  <c r="V21" i="12" s="1"/>
  <c r="Y20" i="12" l="1"/>
  <c r="AC20" i="12" s="1"/>
  <c r="X21" i="12" s="1"/>
  <c r="AD21" i="12" s="1"/>
  <c r="AD20" i="12"/>
  <c r="W21" i="12"/>
  <c r="Z21" i="12" l="1"/>
  <c r="AA21" i="12" s="1"/>
  <c r="AB21" i="12" s="1"/>
  <c r="V22" i="12" s="1"/>
  <c r="W22" i="12" s="1"/>
  <c r="Y21" i="12"/>
  <c r="AC21" i="12" l="1"/>
  <c r="X22" i="12" s="1"/>
  <c r="AD22" i="12" s="1"/>
  <c r="Z22" i="12" l="1"/>
  <c r="AA22" i="12" s="1"/>
  <c r="AB22" i="12" s="1"/>
  <c r="V23" i="12" s="1"/>
  <c r="W23" i="12" s="1"/>
  <c r="Y22" i="12"/>
  <c r="AC22" i="12" l="1"/>
  <c r="X23" i="12" s="1"/>
  <c r="Y23" i="12" s="1"/>
  <c r="AD23" i="12" l="1"/>
  <c r="Z23" i="12"/>
  <c r="AA23" i="12" s="1"/>
  <c r="AB23" i="12" s="1"/>
  <c r="V24" i="12" s="1"/>
  <c r="W24" i="12" s="1"/>
  <c r="AC23" i="12" l="1"/>
  <c r="X24" i="12" s="1"/>
  <c r="Z24" i="12" s="1"/>
  <c r="AA24" i="12" s="1"/>
  <c r="AB24" i="12" s="1"/>
  <c r="V25" i="12" s="1"/>
  <c r="W25" i="12" s="1"/>
  <c r="Y24" i="12" l="1"/>
  <c r="AC24" i="12" s="1"/>
  <c r="X25" i="12" s="1"/>
  <c r="AD25" i="12" s="1"/>
  <c r="AD24" i="12"/>
  <c r="Z25" i="12" l="1"/>
  <c r="AA25" i="12" s="1"/>
  <c r="AB25" i="12" s="1"/>
  <c r="V26" i="12" s="1"/>
  <c r="W26" i="12" s="1"/>
  <c r="Y25" i="12"/>
  <c r="AC25" i="12" l="1"/>
  <c r="X26" i="12" s="1"/>
  <c r="Y26" i="12" s="1"/>
  <c r="AD26" i="12" l="1"/>
  <c r="Z26" i="12"/>
  <c r="AA26" i="12" s="1"/>
  <c r="AB26" i="12" s="1"/>
  <c r="V27" i="12" s="1"/>
  <c r="W27" i="12" s="1"/>
  <c r="AC26" i="12" l="1"/>
  <c r="X27" i="12" s="1"/>
  <c r="Y27" i="12" s="1"/>
  <c r="AD27" i="12" l="1"/>
  <c r="Z27" i="12"/>
  <c r="AA27" i="12" s="1"/>
  <c r="AB27" i="12" s="1"/>
  <c r="V28" i="12" s="1"/>
  <c r="W28" i="12" s="1"/>
  <c r="AC27" i="12" l="1"/>
  <c r="X28" i="12" s="1"/>
  <c r="AD28" i="12" l="1"/>
  <c r="Z28" i="12"/>
  <c r="AA28" i="12" s="1"/>
  <c r="AB28" i="12" s="1"/>
  <c r="V29" i="12" s="1"/>
  <c r="W29" i="12" s="1"/>
  <c r="Y28" i="12"/>
  <c r="AC28" i="12" l="1"/>
  <c r="X29" i="12" s="1"/>
  <c r="Y29" i="12" s="1"/>
  <c r="AD29" i="12" l="1"/>
  <c r="Z29" i="12"/>
  <c r="AA29" i="12" s="1"/>
  <c r="AB29" i="12" s="1"/>
  <c r="V30" i="12" s="1"/>
  <c r="W30" i="12" s="1"/>
  <c r="AC29" i="12" l="1"/>
  <c r="X30" i="12" s="1"/>
  <c r="AD30" i="12" s="1"/>
  <c r="Y30" i="12" l="1"/>
  <c r="Z30" i="12"/>
  <c r="AA30" i="12" s="1"/>
  <c r="AB30" i="12" s="1"/>
  <c r="V31" i="12" s="1"/>
  <c r="W31" i="12" s="1"/>
  <c r="AC30" i="12" l="1"/>
  <c r="X31" i="12" s="1"/>
  <c r="AD31" i="12" l="1"/>
  <c r="Z31" i="12"/>
  <c r="AA31" i="12" s="1"/>
  <c r="AB31" i="12" s="1"/>
  <c r="V32" i="12" s="1"/>
  <c r="W32" i="12" s="1"/>
  <c r="Y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Z33" i="12" s="1"/>
  <c r="AA33" i="12" s="1"/>
  <c r="AB33" i="12" s="1"/>
  <c r="V34" i="12" s="1"/>
  <c r="W34" i="12" s="1"/>
  <c r="AD33" i="12" l="1"/>
  <c r="Y33" i="12"/>
  <c r="AC33" i="12" s="1"/>
  <c r="X34" i="12" s="1"/>
  <c r="AD34" i="12" l="1"/>
  <c r="Y34" i="12"/>
  <c r="Z34" i="12"/>
  <c r="O26" i="12" l="1"/>
  <c r="O27" i="12" s="1"/>
  <c r="G17" i="12" s="1"/>
  <c r="AA34" i="12"/>
  <c r="AB34" i="12" l="1"/>
  <c r="AC34" i="12"/>
  <c r="G18" i="12"/>
  <c r="G20" i="12"/>
  <c r="K6" i="12" l="1"/>
  <c r="G33" i="12"/>
  <c r="K10" i="12" s="1"/>
  <c r="K15" i="12" s="1"/>
  <c r="K43" i="12" l="1"/>
  <c r="K35" i="12"/>
  <c r="K19" i="12"/>
  <c r="K7" i="12"/>
  <c r="K18" i="12"/>
  <c r="K44" i="12" l="1"/>
  <c r="K47" i="12" s="1"/>
  <c r="K36" i="12"/>
  <c r="K39" i="12" s="1"/>
  <c r="K30" i="12"/>
  <c r="K31" i="12" l="1"/>
  <c r="AL4" i="12"/>
  <c r="AH4" i="12"/>
  <c r="AJ4" i="12"/>
</calcChain>
</file>

<file path=xl/sharedStrings.xml><?xml version="1.0" encoding="utf-8"?>
<sst xmlns="http://schemas.openxmlformats.org/spreadsheetml/2006/main" count="1092" uniqueCount="195">
  <si>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</si>
  <si>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</si>
  <si>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</si>
  <si>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</si>
  <si>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</si>
  <si>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</si>
  <si>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</si>
  <si>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</si>
  <si>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</si>
  <si>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</si>
  <si>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</si>
  <si>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</si>
  <si>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</si>
  <si>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</si>
  <si>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</si>
  <si>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</si>
  <si>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</si>
  <si>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</si>
  <si>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</si>
  <si>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</si>
  <si>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</si>
  <si>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</si>
  <si>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</si>
  <si>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</si>
  <si>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</si>
  <si>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</si>
  <si>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</si>
  <si>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</si>
  <si>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</si>
  <si>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</si>
  <si>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</si>
  <si>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</si>
  <si>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</si>
  <si>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</si>
  <si>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</si>
  <si>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</si>
  <si>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</si>
  <si>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</si>
  <si>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</si>
  <si>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</si>
  <si>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</si>
  <si>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</si>
  <si>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</si>
  <si>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</si>
  <si>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</si>
  <si>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</si>
  <si>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</si>
  <si>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</si>
  <si>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</si>
  <si>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</si>
  <si>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</si>
  <si>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</si>
  <si>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</si>
  <si>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</si>
  <si>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</si>
  <si>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</si>
  <si>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</si>
  <si>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</si>
  <si>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</si>
  <si>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</si>
  <si>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</si>
  <si>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</si>
  <si>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</si>
  <si>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</si>
  <si>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</si>
  <si>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</si>
  <si>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</si>
  <si>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</si>
  <si>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</si>
  <si>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</si>
  <si>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</si>
  <si>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</si>
  <si>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</si>
  <si>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</si>
  <si>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</si>
  <si>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</si>
  <si>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</si>
  <si>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</si>
  <si>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</si>
  <si>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</si>
  <si>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</si>
  <si>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</si>
  <si>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</si>
  <si>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</si>
  <si>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</si>
  <si>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</si>
  <si>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</si>
  <si>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</si>
  <si>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</si>
  <si>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</si>
  <si>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</si>
  <si>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</si>
  <si>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</si>
  <si>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</si>
  <si>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</si>
  <si>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</si>
  <si>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</si>
  <si>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</si>
  <si>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</si>
  <si>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</si>
  <si>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</si>
  <si>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</si>
  <si>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</si>
  <si>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</si>
  <si>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</si>
  <si>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</si>
  <si>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</si>
  <si>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</si>
  <si>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</si>
  <si>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</si>
  <si>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</si>
  <si>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</si>
  <si>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</si>
  <si>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</si>
  <si>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</si>
  <si>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</si>
  <si>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</si>
  <si>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</si>
  <si>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</si>
  <si>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</si>
  <si>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</si>
  <si>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</si>
  <si>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</si>
  <si>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</si>
  <si>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</si>
  <si>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</si>
  <si>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</si>
  <si>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</si>
  <si>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</si>
  <si>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</si>
  <si>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</si>
  <si>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</si>
  <si>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</si>
  <si>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</si>
  <si>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</si>
  <si>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</si>
  <si>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</si>
  <si>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</si>
  <si>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</si>
  <si>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</si>
  <si>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</si>
  <si>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</si>
  <si>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</si>
  <si>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</si>
  <si>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</si>
  <si>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</si>
  <si>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</si>
  <si>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</si>
  <si>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</si>
  <si>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</si>
  <si>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</si>
  <si>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</si>
  <si>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</si>
  <si>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</si>
  <si>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</si>
  <si>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</si>
  <si>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</si>
  <si>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</si>
  <si>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</si>
  <si>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</si>
  <si>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</si>
  <si>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</si>
  <si>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</si>
  <si>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</si>
  <si>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</si>
  <si>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</si>
  <si>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</si>
  <si>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</si>
  <si>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</si>
  <si>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</si>
  <si>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</si>
  <si>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</si>
  <si>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</si>
  <si>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</si>
  <si>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</si>
  <si>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</si>
  <si>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</si>
  <si>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</si>
  <si>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</si>
  <si>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</si>
  <si>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</si>
  <si>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</si>
  <si>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</si>
  <si>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</si>
  <si>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</si>
  <si>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</si>
  <si>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</si>
  <si>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</si>
  <si>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efficiency T/P</t>
  </si>
  <si>
    <t>g/W</t>
  </si>
  <si>
    <t>CT/sigma</t>
  </si>
  <si>
    <t>W_empty</t>
  </si>
  <si>
    <t>motor_power_margin</t>
  </si>
  <si>
    <t>Reserve cruise segment</t>
  </si>
  <si>
    <t>reserve cruise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</si>
</sst>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quotePrefix="1"/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multirotor_fidelity0!$K$39:$K$43</c:f>
              <c:numCache>
                <c:formatCode>General</c:formatCode>
                <c:ptCount val="5"/>
                <c:pt idx="0">
                  <c:v>23.13</c:v>
                </c:pt>
                <c:pt idx="1">
                  <c:v>44.4</c:v>
                </c:pt>
                <c:pt idx="2">
                  <c:v>20.25</c:v>
                </c:pt>
                <c:pt idx="3">
                  <c:v>7.36</c:v>
                </c:pt>
                <c:pt idx="4">
                  <c:v>4.8600000000000003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1151.98</c:v>
                </c:pt>
                <c:pt idx="2">
                  <c:v>525.5</c:v>
                </c:pt>
                <c:pt idx="3">
                  <c:v>190.95</c:v>
                </c:pt>
                <c:pt idx="4">
                  <c:v>126.15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8C-834D-9FB5-D2BC198BEBE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8C-834D-9FB5-D2BC198BEBE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8C-834D-9FB5-D2BC198BEBE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8C-834D-9FB5-D2BC198BEBE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8C-834D-9FB5-D2BC198BEB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multirotor_fidelity0_best!$J$39:$J$43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multirotor_fidelity0_best!$K$39:$K$43</c:f>
              <c:numCache>
                <c:formatCode>General</c:formatCode>
                <c:ptCount val="5"/>
                <c:pt idx="0">
                  <c:v>23.32</c:v>
                </c:pt>
                <c:pt idx="1">
                  <c:v>44.2</c:v>
                </c:pt>
                <c:pt idx="2">
                  <c:v>20.22</c:v>
                </c:pt>
                <c:pt idx="3">
                  <c:v>7.4</c:v>
                </c:pt>
                <c:pt idx="4">
                  <c:v>4.8600000000000003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58C-834D-9FB5-D2BC198BEBE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AC-3948-BC20-687D6D197E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AC-3948-BC20-687D6D197E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AC-3948-BC20-687D6D197E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AC-3948-BC20-687D6D197E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AC-3948-BC20-687D6D197E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multirotor_fidelity0_best!$J$31:$J$35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multirotor_fidelity0_best!$K$31:$K$35</c:f>
              <c:numCache>
                <c:formatCode>General</c:formatCode>
                <c:ptCount val="5"/>
                <c:pt idx="0">
                  <c:v>600</c:v>
                </c:pt>
                <c:pt idx="1">
                  <c:v>1137.31</c:v>
                </c:pt>
                <c:pt idx="2">
                  <c:v>520.37</c:v>
                </c:pt>
                <c:pt idx="3">
                  <c:v>190.31</c:v>
                </c:pt>
                <c:pt idx="4">
                  <c:v>125.03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4AC-3948-BC20-687D6D197E3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'lift+cruise_fidelity0'!$K$42:$K$46</c:f>
              <c:numCache>
                <c:formatCode>General</c:formatCode>
                <c:ptCount val="5"/>
                <c:pt idx="0">
                  <c:v>600</c:v>
                </c:pt>
                <c:pt idx="1">
                  <c:v>858.35</c:v>
                </c:pt>
                <c:pt idx="2">
                  <c:v>421.59</c:v>
                </c:pt>
                <c:pt idx="3">
                  <c:v>564.86</c:v>
                </c:pt>
                <c:pt idx="4">
                  <c:v>124.85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'lift+cruise_fidelity0'!$K$34:$K$38</c:f>
              <c:numCache>
                <c:formatCode>General</c:formatCode>
                <c:ptCount val="5"/>
                <c:pt idx="0">
                  <c:v>23.35</c:v>
                </c:pt>
                <c:pt idx="1">
                  <c:v>33.4</c:v>
                </c:pt>
                <c:pt idx="2">
                  <c:v>16.41</c:v>
                </c:pt>
                <c:pt idx="3">
                  <c:v>21.98</c:v>
                </c:pt>
                <c:pt idx="4">
                  <c:v>4.8600000000000003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FE6-A640-AD57-C1AE6F78EF9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FE6-A640-AD57-C1AE6F78EF9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FE6-A640-AD57-C1AE6F78EF9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FE6-A640-AD57-C1AE6F78EF9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FE6-A640-AD57-C1AE6F78EF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'lift+cruise_fidelity0_best'!$J$42:$J$46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'lift+cruise_fidelity0_best'!$K$42:$K$46</c:f>
              <c:numCache>
                <c:formatCode>General</c:formatCode>
                <c:ptCount val="5"/>
                <c:pt idx="0">
                  <c:v>600</c:v>
                </c:pt>
                <c:pt idx="1">
                  <c:v>467.65</c:v>
                </c:pt>
                <c:pt idx="2">
                  <c:v>264.81</c:v>
                </c:pt>
                <c:pt idx="3">
                  <c:v>479.9</c:v>
                </c:pt>
                <c:pt idx="4">
                  <c:v>90.82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E6-A640-AD57-C1AE6F78EF9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B4-814B-A90B-716189718D7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B4-814B-A90B-716189718D7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9B4-814B-A90B-716189718D7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9B4-814B-A90B-716189718D7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9B4-814B-A90B-716189718D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'lift+cruise_fidelity0_best'!$J$34:$J$38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'lift+cruise_fidelity0_best'!$K$34:$K$38</c:f>
              <c:numCache>
                <c:formatCode>General</c:formatCode>
                <c:ptCount val="5"/>
                <c:pt idx="0">
                  <c:v>31.53</c:v>
                </c:pt>
                <c:pt idx="1">
                  <c:v>24.57</c:v>
                </c:pt>
                <c:pt idx="2">
                  <c:v>13.91</c:v>
                </c:pt>
                <c:pt idx="3">
                  <c:v>25.22</c:v>
                </c:pt>
                <c:pt idx="4">
                  <c:v>4.7699999999999996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B4-814B-A90B-716189718D7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9AD34-B45A-CE4A-854A-C6DACD2DF2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772E35-93FA-4646-A96B-918D58D7C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8B5554-201E-9D4C-9738-195DFF691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0A58FB-384D-2D44-A503-33E8F4F68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workbookViewId="0">
      <selection activeCell="O8" sqref="O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7" t="s">
        <v>0</v>
      </c>
      <c r="C1" s="37"/>
      <c r="D1" s="37"/>
    </row>
    <row r="2" spans="2:41" x14ac:dyDescent="0.2">
      <c r="U2" s="16" t="s">
        <v>95</v>
      </c>
      <c r="AF2" s="16" t="s">
        <v>78</v>
      </c>
    </row>
    <row r="3" spans="2:41" x14ac:dyDescent="0.2">
      <c r="B3" s="34" t="s">
        <v>126</v>
      </c>
      <c r="C3" s="35"/>
      <c r="D3" s="35"/>
      <c r="F3" s="34" t="s">
        <v>82</v>
      </c>
      <c r="G3" s="35"/>
      <c r="H3" s="35"/>
      <c r="J3" s="31" t="s">
        <v>100</v>
      </c>
      <c r="K3" s="31"/>
      <c r="L3" s="31"/>
      <c r="N3" s="31" t="s">
        <v>94</v>
      </c>
      <c r="O3" s="31"/>
      <c r="P3" s="31"/>
      <c r="U3" s="7" t="s">
        <v>43</v>
      </c>
      <c r="V3" s="7" t="s">
        <v>44</v>
      </c>
      <c r="W3" s="7" t="s">
        <v>45</v>
      </c>
      <c r="X3" s="7" t="s">
        <v>46</v>
      </c>
      <c r="Y3" s="7" t="s">
        <v>47</v>
      </c>
      <c r="Z3" s="7" t="s">
        <v>48</v>
      </c>
      <c r="AA3" s="7" t="s">
        <v>49</v>
      </c>
      <c r="AB3" s="7" t="s">
        <v>50</v>
      </c>
      <c r="AC3" s="7" t="s">
        <v>51</v>
      </c>
      <c r="AD3" s="7" t="s">
        <v>52</v>
      </c>
      <c r="AF3" s="7" t="s">
        <v>43</v>
      </c>
      <c r="AG3" s="7" t="s">
        <v>44</v>
      </c>
      <c r="AH3" s="7" t="s">
        <v>45</v>
      </c>
      <c r="AI3" s="7" t="s">
        <v>46</v>
      </c>
      <c r="AJ3" s="7" t="s">
        <v>47</v>
      </c>
      <c r="AK3" s="7" t="s">
        <v>48</v>
      </c>
      <c r="AL3" s="7" t="s">
        <v>49</v>
      </c>
      <c r="AM3" s="7" t="s">
        <v>50</v>
      </c>
      <c r="AN3" s="7" t="s">
        <v>51</v>
      </c>
      <c r="AO3" s="7" t="s">
        <v>52</v>
      </c>
    </row>
    <row r="4" spans="2:41" x14ac:dyDescent="0.2">
      <c r="B4" s="6" t="s">
        <v>38</v>
      </c>
      <c r="C4" s="22" t="s">
        <v>74</v>
      </c>
      <c r="F4" t="s">
        <v>86</v>
      </c>
      <c r="G4" s="1">
        <f>500*0.3048/60</f>
        <v>2.54</v>
      </c>
      <c r="H4" t="s">
        <v>10</v>
      </c>
      <c r="J4" t="s">
        <v>101</v>
      </c>
      <c r="K4" s="6">
        <f>(1+$C$22/100)*MAX(G12,G22,G31,G35)</f>
        <v>592.73230574856439</v>
      </c>
      <c r="L4" s="6" t="s">
        <v>103</v>
      </c>
      <c r="N4" s="6" t="s">
        <v>24</v>
      </c>
      <c r="O4" s="6">
        <f xml:space="preserve"> 0.5 * $C$47 * $C$8^2</f>
        <v>2241.2100148088448</v>
      </c>
      <c r="P4" s="6" t="s">
        <v>25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3.7508294861936173E-2</v>
      </c>
      <c r="X4" s="3">
        <v>1</v>
      </c>
      <c r="Y4" s="2">
        <f t="shared" ref="Y4:Y34" si="1" xml:space="preserve"> $O$21 * TAN($O$18/180*PI()) + $O$22 / (2 * SQRT($O$21^2 + X4^2)) - X4</f>
        <v>-0.96884664335921844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-0.4662087970106944</v>
      </c>
      <c r="AB4" s="2">
        <f>W4*AA4</f>
        <v>-1.7486697025505673E-2</v>
      </c>
      <c r="AC4" s="2">
        <f>Y4*AA4</f>
        <v>0.45168482808835048</v>
      </c>
      <c r="AD4" s="2">
        <f>X4-V4</f>
        <v>1</v>
      </c>
      <c r="AF4" s="2">
        <v>0</v>
      </c>
      <c r="AG4" s="2"/>
      <c r="AH4" s="2">
        <f>K27</f>
        <v>-7.5283423939254135E-10</v>
      </c>
      <c r="AI4" s="2"/>
      <c r="AJ4" s="2">
        <f>K27</f>
        <v>-7.5283423939254135E-10</v>
      </c>
      <c r="AK4" s="2"/>
      <c r="AL4" s="2">
        <f>K27</f>
        <v>-7.5283423939254135E-10</v>
      </c>
      <c r="AM4" s="2"/>
      <c r="AN4" s="2"/>
      <c r="AO4" s="2"/>
    </row>
    <row r="5" spans="2:41" x14ac:dyDescent="0.2">
      <c r="B5" s="10" t="s">
        <v>39</v>
      </c>
      <c r="C5" s="10">
        <f>AK44</f>
        <v>2594.5812548797221</v>
      </c>
      <c r="D5" s="10" t="s">
        <v>7</v>
      </c>
      <c r="F5" t="s">
        <v>89</v>
      </c>
      <c r="G5" s="1">
        <f>1000*0.3048</f>
        <v>304.8</v>
      </c>
      <c r="H5" t="s">
        <v>8</v>
      </c>
      <c r="J5" t="s">
        <v>102</v>
      </c>
      <c r="K5" s="6">
        <f>K4/$C$18</f>
        <v>148.1830764371411</v>
      </c>
      <c r="L5" s="6" t="s">
        <v>103</v>
      </c>
      <c r="N5" s="6" t="s">
        <v>118</v>
      </c>
      <c r="O5" s="6">
        <f xml:space="preserve"> $C$18 * 0.85 * ($C$5/$C$18 *2.20462/1000)^(2/3) * 0.3048^2</f>
        <v>0.40093089874429771</v>
      </c>
      <c r="P5" s="6" t="s">
        <v>119</v>
      </c>
      <c r="U5" s="2">
        <v>1</v>
      </c>
      <c r="V5" s="2">
        <f>IF(AB4&gt;0, Z4, V4)</f>
        <v>0</v>
      </c>
      <c r="W5" s="2">
        <f t="shared" si="0"/>
        <v>3.7508294861936173E-2</v>
      </c>
      <c r="X5" s="2">
        <f>IF(AC4&gt;0, Z4, X4)</f>
        <v>0.5</v>
      </c>
      <c r="Y5" s="2">
        <f t="shared" si="1"/>
        <v>-0.4662087970106944</v>
      </c>
      <c r="Z5" s="2">
        <f t="shared" ref="Z5:Z34" si="3" xml:space="preserve"> (V5 + X5)/2</f>
        <v>0.25</v>
      </c>
      <c r="AA5" s="2">
        <f t="shared" si="2"/>
        <v>-0.21396444536269921</v>
      </c>
      <c r="AB5" s="2">
        <f t="shared" ref="AB5:AB34" si="4">W5*AA5</f>
        <v>-8.0254415066347545E-3</v>
      </c>
      <c r="AC5" s="2">
        <f t="shared" ref="AC5:AC34" si="5">Y5*AA5</f>
        <v>9.9752106675604441E-2</v>
      </c>
      <c r="AD5" s="2">
        <f t="shared" ref="AD5:AD33" si="6">X5-V5</f>
        <v>0.5</v>
      </c>
      <c r="AF5" s="2">
        <v>1</v>
      </c>
      <c r="AG5" s="3">
        <v>100</v>
      </c>
      <c r="AH5" s="2">
        <f t="dataTable" ref="AH5:AH44" dt2D="0" dtr="0" r1="C5"/>
        <v>-1361.9311709774161</v>
      </c>
      <c r="AI5" s="3">
        <v>10000</v>
      </c>
      <c r="AJ5" s="2">
        <f t="dataTable" ref="AJ5:AJ44" dt2D="0" dtr="0" r1="C5" ca="1"/>
        <v>429.69947177926952</v>
      </c>
      <c r="AK5" s="2">
        <f>(AG5+AI5)/2</f>
        <v>5050</v>
      </c>
      <c r="AL5" s="2">
        <f t="dataTable" ref="AL5:AL44" dt2D="0" dtr="0" r1="C5" ca="1"/>
        <v>738.29217422669672</v>
      </c>
      <c r="AM5" s="2">
        <f>AH5*AL5</f>
        <v>-1005503.1253680275</v>
      </c>
      <c r="AN5" s="2">
        <f>AJ5*AL5</f>
        <v>317243.75728398003</v>
      </c>
      <c r="AO5" s="2">
        <f>AI5-AG5</f>
        <v>9900</v>
      </c>
    </row>
    <row r="6" spans="2:41" x14ac:dyDescent="0.2">
      <c r="B6" s="6" t="s">
        <v>184</v>
      </c>
      <c r="C6" s="17">
        <v>400</v>
      </c>
      <c r="D6" s="6" t="s">
        <v>133</v>
      </c>
      <c r="F6" t="s">
        <v>90</v>
      </c>
      <c r="G6" s="8">
        <f>$G$5/$G$4</f>
        <v>120</v>
      </c>
      <c r="H6" s="6" t="s">
        <v>14</v>
      </c>
      <c r="N6" t="s">
        <v>120</v>
      </c>
      <c r="O6">
        <f xml:space="preserve"> O5 / (PI() * $C$9^2)</f>
        <v>1.3928435700513251E-2</v>
      </c>
      <c r="U6" s="2">
        <v>2</v>
      </c>
      <c r="V6" s="2">
        <f t="shared" ref="V6:V34" si="7">IF(AB5&gt;0, Z5, V5)</f>
        <v>0</v>
      </c>
      <c r="W6" s="2">
        <f t="shared" si="0"/>
        <v>3.7508294861936173E-2</v>
      </c>
      <c r="X6" s="2">
        <f t="shared" ref="X6:X34" si="8">IF(AC5&gt;0, Z5, X5)</f>
        <v>0.25</v>
      </c>
      <c r="Y6" s="2">
        <f t="shared" si="1"/>
        <v>-0.21396444536269921</v>
      </c>
      <c r="Z6" s="2">
        <f t="shared" si="3"/>
        <v>0.125</v>
      </c>
      <c r="AA6" s="2">
        <f t="shared" si="2"/>
        <v>-8.7927636603979259E-2</v>
      </c>
      <c r="AB6" s="2">
        <f t="shared" si="4"/>
        <v>-3.2980157202552262E-3</v>
      </c>
      <c r="AC6" s="2">
        <f t="shared" si="5"/>
        <v>1.881338799802339E-2</v>
      </c>
      <c r="AD6" s="2">
        <f t="shared" si="6"/>
        <v>0.25</v>
      </c>
      <c r="AF6" s="2">
        <v>2</v>
      </c>
      <c r="AG6" s="2">
        <f>IF(AM5&gt;0, AK5, AG5)</f>
        <v>100</v>
      </c>
      <c r="AH6" s="2">
        <v>-1361.9311709774161</v>
      </c>
      <c r="AI6" s="2">
        <f>IF(AN5&gt;0, AK5, AI5)</f>
        <v>5050</v>
      </c>
      <c r="AJ6" s="2">
        <v>738.29217422669672</v>
      </c>
      <c r="AK6" s="2">
        <f t="shared" ref="AK6:AK43" si="9">(AG6+AI6)/2</f>
        <v>2575</v>
      </c>
      <c r="AL6" s="2">
        <v>-8.537874302213595</v>
      </c>
      <c r="AM6" s="2">
        <f t="shared" ref="AM6:AM44" si="10">AH6*AL6</f>
        <v>11627.99714607175</v>
      </c>
      <c r="AN6" s="2">
        <f t="shared" ref="AN6:AN44" si="11">AJ6*AL6</f>
        <v>-6303.4457818555165</v>
      </c>
      <c r="AO6" s="2">
        <f t="shared" ref="AO6:AO44" si="12">AI6-AG6</f>
        <v>4950</v>
      </c>
    </row>
    <row r="7" spans="2:41" x14ac:dyDescent="0.2">
      <c r="B7" s="6" t="s">
        <v>183</v>
      </c>
      <c r="C7" s="17">
        <v>504.04064406878399</v>
      </c>
      <c r="D7" s="6" t="s">
        <v>133</v>
      </c>
      <c r="F7" t="s">
        <v>129</v>
      </c>
      <c r="G7" s="8">
        <f>$C$6*2*PI()/60*$C$9</f>
        <v>126.79358018572125</v>
      </c>
      <c r="H7" s="6" t="s">
        <v>10</v>
      </c>
      <c r="J7" s="31" t="s">
        <v>22</v>
      </c>
      <c r="K7" s="31"/>
      <c r="L7" s="31"/>
      <c r="N7" t="s">
        <v>122</v>
      </c>
      <c r="O7" s="6">
        <f>$O$8-O6</f>
        <v>1.180641664799735E-2</v>
      </c>
      <c r="U7" s="2">
        <v>3</v>
      </c>
      <c r="V7" s="2">
        <f t="shared" si="7"/>
        <v>0</v>
      </c>
      <c r="W7" s="2">
        <f t="shared" si="0"/>
        <v>3.7508294861936173E-2</v>
      </c>
      <c r="X7" s="2">
        <f t="shared" si="8"/>
        <v>0.125</v>
      </c>
      <c r="Y7" s="2">
        <f t="shared" si="1"/>
        <v>-8.7927636603979259E-2</v>
      </c>
      <c r="Z7" s="2">
        <f t="shared" si="3"/>
        <v>6.25E-2</v>
      </c>
      <c r="AA7" s="2">
        <f t="shared" si="2"/>
        <v>-2.5106072683100264E-2</v>
      </c>
      <c r="AB7" s="2">
        <f t="shared" si="4"/>
        <v>-9.4168597702292572E-4</v>
      </c>
      <c r="AC7" s="2">
        <f t="shared" si="5"/>
        <v>2.2075176354327307E-3</v>
      </c>
      <c r="AD7" s="2">
        <f t="shared" si="6"/>
        <v>0.125</v>
      </c>
      <c r="AF7" s="2">
        <v>3</v>
      </c>
      <c r="AG7" s="2">
        <f t="shared" ref="AG7:AG44" si="13">IF(AM6&gt;0, AK6, AG6)</f>
        <v>2575</v>
      </c>
      <c r="AH7" s="2">
        <v>-8.537874302213595</v>
      </c>
      <c r="AI7" s="2">
        <f t="shared" ref="AI7:AI44" si="14">IF(AN6&gt;0, AK6, AI6)</f>
        <v>5050</v>
      </c>
      <c r="AJ7" s="2">
        <v>738.29217422669672</v>
      </c>
      <c r="AK7" s="2">
        <f t="shared" si="9"/>
        <v>3812.5</v>
      </c>
      <c r="AL7" s="2">
        <v>445.62726251285721</v>
      </c>
      <c r="AM7" s="2">
        <f t="shared" si="10"/>
        <v>-3804.7095529743151</v>
      </c>
      <c r="AN7" s="2">
        <f t="shared" si="11"/>
        <v>329003.12053530832</v>
      </c>
      <c r="AO7" s="2">
        <f t="shared" si="12"/>
        <v>2475</v>
      </c>
    </row>
    <row r="8" spans="2:41" x14ac:dyDescent="0.2">
      <c r="B8" s="6" t="s">
        <v>9</v>
      </c>
      <c r="C8" s="17">
        <f>240*1000/3600</f>
        <v>66.666666666666671</v>
      </c>
      <c r="D8" s="6" t="s">
        <v>10</v>
      </c>
      <c r="F8" t="s">
        <v>132</v>
      </c>
      <c r="G8" s="8">
        <f>G7/$C$43</f>
        <v>0.3797159211106641</v>
      </c>
      <c r="H8" s="6" t="s">
        <v>130</v>
      </c>
      <c r="J8" s="6" t="s">
        <v>98</v>
      </c>
      <c r="K8" s="6">
        <f xml:space="preserve"> $C$15 * (G12*G6 + G22*G15 + G31*G27 +G35*G34)/3600</f>
        <v>195.83661507372594</v>
      </c>
      <c r="L8" s="6" t="s">
        <v>104</v>
      </c>
      <c r="N8" s="6" t="s">
        <v>121</v>
      </c>
      <c r="O8" s="17">
        <v>2.5734852348510601E-2</v>
      </c>
      <c r="U8" s="2">
        <v>4</v>
      </c>
      <c r="V8" s="2">
        <f t="shared" si="7"/>
        <v>0</v>
      </c>
      <c r="W8" s="2">
        <f t="shared" si="0"/>
        <v>3.7508294861936173E-2</v>
      </c>
      <c r="X8" s="2">
        <f t="shared" si="8"/>
        <v>6.25E-2</v>
      </c>
      <c r="Y8" s="2">
        <f t="shared" si="1"/>
        <v>-2.5106072683100264E-2</v>
      </c>
      <c r="Z8" s="2">
        <f t="shared" si="3"/>
        <v>3.125E-2</v>
      </c>
      <c r="AA8" s="2">
        <f t="shared" si="2"/>
        <v>6.2293429592384722E-3</v>
      </c>
      <c r="AB8" s="2">
        <f t="shared" si="4"/>
        <v>2.3365203251124266E-4</v>
      </c>
      <c r="AC8" s="2">
        <f t="shared" si="5"/>
        <v>-1.5639433710259998E-4</v>
      </c>
      <c r="AD8" s="2">
        <f t="shared" si="6"/>
        <v>6.25E-2</v>
      </c>
      <c r="AF8" s="2">
        <v>4</v>
      </c>
      <c r="AG8" s="2">
        <f t="shared" si="13"/>
        <v>2575</v>
      </c>
      <c r="AH8" s="2">
        <v>-8.537874302213595</v>
      </c>
      <c r="AI8" s="2">
        <f t="shared" si="14"/>
        <v>3812.5</v>
      </c>
      <c r="AJ8" s="2">
        <v>445.62726251285721</v>
      </c>
      <c r="AK8" s="2">
        <f t="shared" si="9"/>
        <v>3193.75</v>
      </c>
      <c r="AL8" s="2">
        <v>239.8708837787517</v>
      </c>
      <c r="AM8" s="2">
        <f t="shared" si="10"/>
        <v>-2047.9874544638681</v>
      </c>
      <c r="AN8" s="2">
        <f t="shared" si="11"/>
        <v>106893.00529486485</v>
      </c>
      <c r="AO8" s="2">
        <f t="shared" si="12"/>
        <v>1237.5</v>
      </c>
    </row>
    <row r="9" spans="2:41" x14ac:dyDescent="0.2">
      <c r="B9" s="6" t="s">
        <v>97</v>
      </c>
      <c r="C9" s="17">
        <v>3.02697375583142</v>
      </c>
      <c r="D9" s="6" t="s">
        <v>8</v>
      </c>
      <c r="F9" t="s">
        <v>20</v>
      </c>
      <c r="G9" s="6">
        <f xml:space="preserve"> $C$5 * $C$44 / $C$18</f>
        <v>6357.691329418044</v>
      </c>
      <c r="H9" s="6" t="s">
        <v>21</v>
      </c>
      <c r="J9" s="6" t="s">
        <v>179</v>
      </c>
      <c r="K9" s="6">
        <f xml:space="preserve"> $C$15 * (G6 + G15 + G27 + G34)/60</f>
        <v>50.333333333333336</v>
      </c>
      <c r="L9" s="6" t="s">
        <v>105</v>
      </c>
      <c r="N9" s="6" t="s">
        <v>40</v>
      </c>
      <c r="O9" s="6">
        <f xml:space="preserve"> O4 *O8 * PI() * $C$9 * $C$9</f>
        <v>1660.2420877493191</v>
      </c>
      <c r="P9" s="6" t="s">
        <v>21</v>
      </c>
      <c r="U9" s="2">
        <v>5</v>
      </c>
      <c r="V9" s="2">
        <f t="shared" si="7"/>
        <v>3.125E-2</v>
      </c>
      <c r="W9" s="2">
        <f t="shared" si="0"/>
        <v>6.2293429592384722E-3</v>
      </c>
      <c r="X9" s="2">
        <f t="shared" si="8"/>
        <v>6.25E-2</v>
      </c>
      <c r="Y9" s="2">
        <f t="shared" si="1"/>
        <v>-2.5106072683100264E-2</v>
      </c>
      <c r="Z9" s="2">
        <f t="shared" si="3"/>
        <v>4.6875E-2</v>
      </c>
      <c r="AA9" s="2">
        <f t="shared" si="2"/>
        <v>-9.4315066646972617E-3</v>
      </c>
      <c r="AB9" s="2">
        <f t="shared" si="4"/>
        <v>-5.8752089636742611E-5</v>
      </c>
      <c r="AC9" s="2">
        <f t="shared" si="5"/>
        <v>2.36788091835034E-4</v>
      </c>
      <c r="AD9" s="2">
        <f t="shared" si="6"/>
        <v>3.125E-2</v>
      </c>
      <c r="AF9" s="2">
        <v>5</v>
      </c>
      <c r="AG9" s="2">
        <f t="shared" si="13"/>
        <v>2575</v>
      </c>
      <c r="AH9" s="2">
        <v>-8.537874302213595</v>
      </c>
      <c r="AI9" s="2">
        <f t="shared" si="14"/>
        <v>3193.75</v>
      </c>
      <c r="AJ9" s="2">
        <v>239.8708837787517</v>
      </c>
      <c r="AK9" s="2">
        <f t="shared" si="9"/>
        <v>2884.375</v>
      </c>
      <c r="AL9" s="2">
        <v>121.180270058514</v>
      </c>
      <c r="AM9" s="2">
        <f t="shared" si="10"/>
        <v>-1034.6219136678901</v>
      </c>
      <c r="AN9" s="2">
        <f t="shared" si="11"/>
        <v>29067.618475483556</v>
      </c>
      <c r="AO9" s="2">
        <f t="shared" si="12"/>
        <v>618.75</v>
      </c>
    </row>
    <row r="10" spans="2:41" x14ac:dyDescent="0.2">
      <c r="B10" s="6" t="s">
        <v>138</v>
      </c>
      <c r="C10" s="17">
        <f>(0.071475+0.069425+0.067375+0.065325+0.063275+0.061225+0.059175+0.057125)/8</f>
        <v>6.4299999999999982E-2</v>
      </c>
      <c r="F10" t="s">
        <v>99</v>
      </c>
      <c r="G10" s="6">
        <f>G12/$C$18</f>
        <v>98.788717624760721</v>
      </c>
      <c r="H10" s="6" t="s">
        <v>103</v>
      </c>
      <c r="N10" s="6" t="s">
        <v>41</v>
      </c>
      <c r="O10" s="6">
        <f xml:space="preserve"> O9</f>
        <v>1660.2420877493191</v>
      </c>
      <c r="P10" s="6" t="s">
        <v>21</v>
      </c>
      <c r="U10" s="2">
        <v>6</v>
      </c>
      <c r="V10" s="2">
        <f t="shared" si="7"/>
        <v>3.125E-2</v>
      </c>
      <c r="W10" s="2">
        <f t="shared" si="0"/>
        <v>6.2293429592384722E-3</v>
      </c>
      <c r="X10" s="2">
        <f t="shared" si="8"/>
        <v>4.6875E-2</v>
      </c>
      <c r="Y10" s="2">
        <f t="shared" si="1"/>
        <v>-9.4315066646972617E-3</v>
      </c>
      <c r="Z10" s="2">
        <f t="shared" si="3"/>
        <v>3.90625E-2</v>
      </c>
      <c r="AA10" s="2">
        <f t="shared" si="2"/>
        <v>-1.599335816249256E-3</v>
      </c>
      <c r="AB10" s="2">
        <f t="shared" si="4"/>
        <v>-9.9628113064102188E-6</v>
      </c>
      <c r="AC10" s="2">
        <f t="shared" si="5"/>
        <v>1.5084146410043894E-5</v>
      </c>
      <c r="AD10" s="2">
        <f t="shared" si="6"/>
        <v>1.5625E-2</v>
      </c>
      <c r="AF10" s="2">
        <v>6</v>
      </c>
      <c r="AG10" s="2">
        <f t="shared" si="13"/>
        <v>2575</v>
      </c>
      <c r="AH10" s="2">
        <v>-8.537874302213595</v>
      </c>
      <c r="AI10" s="2">
        <f t="shared" si="14"/>
        <v>2884.375</v>
      </c>
      <c r="AJ10" s="2">
        <v>121.180270058514</v>
      </c>
      <c r="AK10" s="2">
        <f t="shared" si="9"/>
        <v>2729.6875</v>
      </c>
      <c r="AL10" s="2">
        <v>57.707305972263839</v>
      </c>
      <c r="AM10" s="2">
        <f t="shared" si="10"/>
        <v>-492.69772471056854</v>
      </c>
      <c r="AN10" s="2">
        <f t="shared" si="11"/>
        <v>6992.9869220682294</v>
      </c>
      <c r="AO10" s="2">
        <f t="shared" si="12"/>
        <v>309.375</v>
      </c>
    </row>
    <row r="11" spans="2:41" x14ac:dyDescent="0.2">
      <c r="F11" t="s">
        <v>188</v>
      </c>
      <c r="G11" s="6">
        <f xml:space="preserve"> (G9/$C$44*1000) / ($G$10*1000)</f>
        <v>6.5659857655379854</v>
      </c>
      <c r="H11" s="6" t="s">
        <v>189</v>
      </c>
      <c r="J11" s="34" t="s">
        <v>53</v>
      </c>
      <c r="K11" s="34"/>
      <c r="L11" s="34"/>
      <c r="N11" s="6" t="s">
        <v>117</v>
      </c>
      <c r="O11" s="6">
        <f>($O$8*PI()*$C$9^2)/(0.3048^2)/($C$5*2.20462/1000)^(2/3) + 0.85</f>
        <v>3.3430152016605619</v>
      </c>
      <c r="U11" s="2">
        <v>7</v>
      </c>
      <c r="V11" s="2">
        <f t="shared" si="7"/>
        <v>3.125E-2</v>
      </c>
      <c r="W11" s="2">
        <f t="shared" si="0"/>
        <v>6.2293429592384722E-3</v>
      </c>
      <c r="X11" s="2">
        <f t="shared" si="8"/>
        <v>3.90625E-2</v>
      </c>
      <c r="Y11" s="2">
        <f t="shared" si="1"/>
        <v>-1.599335816249256E-3</v>
      </c>
      <c r="Z11" s="2">
        <f t="shared" si="3"/>
        <v>3.515625E-2</v>
      </c>
      <c r="AA11" s="2">
        <f t="shared" si="2"/>
        <v>2.3154434677481808E-3</v>
      </c>
      <c r="AB11" s="2">
        <f t="shared" si="4"/>
        <v>1.4423691463331843E-5</v>
      </c>
      <c r="AC11" s="2">
        <f t="shared" si="5"/>
        <v>-3.7031716684700445E-6</v>
      </c>
      <c r="AD11" s="2">
        <f t="shared" si="6"/>
        <v>7.8125E-3</v>
      </c>
      <c r="AF11" s="2">
        <v>7</v>
      </c>
      <c r="AG11" s="2">
        <f t="shared" si="13"/>
        <v>2575</v>
      </c>
      <c r="AH11" s="2">
        <v>-8.537874302213595</v>
      </c>
      <c r="AI11" s="2">
        <f t="shared" si="14"/>
        <v>2729.6875</v>
      </c>
      <c r="AJ11" s="2">
        <v>57.707305972263839</v>
      </c>
      <c r="AK11" s="2">
        <f t="shared" si="9"/>
        <v>2652.34375</v>
      </c>
      <c r="AL11" s="2">
        <v>24.929640452560079</v>
      </c>
      <c r="AM11" s="2">
        <f t="shared" si="10"/>
        <v>-212.8461365833372</v>
      </c>
      <c r="AN11" s="2">
        <f t="shared" si="11"/>
        <v>1438.6223893744104</v>
      </c>
      <c r="AO11" s="2">
        <f t="shared" si="12"/>
        <v>154.6875</v>
      </c>
    </row>
    <row r="12" spans="2:41" x14ac:dyDescent="0.2">
      <c r="B12" s="31" t="s">
        <v>12</v>
      </c>
      <c r="C12" s="31"/>
      <c r="D12" s="31"/>
      <c r="F12" s="24" t="s">
        <v>84</v>
      </c>
      <c r="G12" s="25">
        <f xml:space="preserve"> 1/1000 * (($C$5*$C$44)/$C$21 * ( ($G$4/2) + SQRT( ($G$4/2)^2 + ($C$5*$C$44) / (2*$C$41*PI()*$C$9^2 * $C$18) ) ) )</f>
        <v>395.15487049904289</v>
      </c>
      <c r="H12" s="25" t="s">
        <v>103</v>
      </c>
      <c r="J12" s="10" t="s">
        <v>81</v>
      </c>
      <c r="K12" s="6">
        <f>C5</f>
        <v>2594.5812548797221</v>
      </c>
      <c r="L12" s="6" t="s">
        <v>7</v>
      </c>
      <c r="U12" s="2">
        <v>8</v>
      </c>
      <c r="V12" s="2">
        <f t="shared" si="7"/>
        <v>3.515625E-2</v>
      </c>
      <c r="W12" s="2">
        <f t="shared" si="0"/>
        <v>2.3154434677481808E-3</v>
      </c>
      <c r="X12" s="2">
        <f t="shared" si="8"/>
        <v>3.90625E-2</v>
      </c>
      <c r="Y12" s="2">
        <f t="shared" si="1"/>
        <v>-1.599335816249256E-3</v>
      </c>
      <c r="Z12" s="2">
        <f t="shared" si="3"/>
        <v>3.7109375E-2</v>
      </c>
      <c r="AA12" s="2">
        <f t="shared" si="2"/>
        <v>3.5816340171342803E-4</v>
      </c>
      <c r="AB12" s="2">
        <f t="shared" si="4"/>
        <v>8.2930710888382456E-7</v>
      </c>
      <c r="AC12" s="2">
        <f t="shared" si="5"/>
        <v>-5.7282355642995556E-7</v>
      </c>
      <c r="AD12" s="2">
        <f t="shared" si="6"/>
        <v>3.90625E-3</v>
      </c>
      <c r="AF12" s="2">
        <v>8</v>
      </c>
      <c r="AG12" s="2">
        <f t="shared" si="13"/>
        <v>2575</v>
      </c>
      <c r="AH12" s="2">
        <v>-8.537874302213595</v>
      </c>
      <c r="AI12" s="2">
        <f t="shared" si="14"/>
        <v>2652.34375</v>
      </c>
      <c r="AJ12" s="2">
        <v>24.929640452560079</v>
      </c>
      <c r="AK12" s="2">
        <f t="shared" si="9"/>
        <v>2613.671875</v>
      </c>
      <c r="AL12" s="2">
        <v>8.281707275559711</v>
      </c>
      <c r="AM12" s="2">
        <f t="shared" si="10"/>
        <v>-70.708175726456616</v>
      </c>
      <c r="AN12" s="2">
        <f t="shared" si="11"/>
        <v>206.4599847130545</v>
      </c>
      <c r="AO12" s="2">
        <f t="shared" si="12"/>
        <v>77.34375</v>
      </c>
    </row>
    <row r="13" spans="2:41" x14ac:dyDescent="0.2">
      <c r="B13" s="6" t="s">
        <v>70</v>
      </c>
      <c r="C13" s="6">
        <f>C25*100</f>
        <v>600</v>
      </c>
      <c r="D13" s="6" t="s">
        <v>7</v>
      </c>
      <c r="J13" s="11" t="s">
        <v>54</v>
      </c>
      <c r="K13" s="6">
        <f xml:space="preserve"> K8 * 1000 / ($C$36 * $C$37 * $C$38)</f>
        <v>1151.9800886689761</v>
      </c>
      <c r="L13" s="6" t="s">
        <v>7</v>
      </c>
      <c r="N13" s="34" t="s">
        <v>75</v>
      </c>
      <c r="O13" s="36"/>
      <c r="P13" s="36"/>
      <c r="U13" s="2">
        <v>9</v>
      </c>
      <c r="V13" s="2">
        <f t="shared" si="7"/>
        <v>3.7109375E-2</v>
      </c>
      <c r="W13" s="2">
        <f t="shared" si="0"/>
        <v>3.5816340171342803E-4</v>
      </c>
      <c r="X13" s="2">
        <f t="shared" si="8"/>
        <v>3.90625E-2</v>
      </c>
      <c r="Y13" s="2">
        <f t="shared" si="1"/>
        <v>-1.599335816249256E-3</v>
      </c>
      <c r="Z13" s="2">
        <f t="shared" si="3"/>
        <v>3.80859375E-2</v>
      </c>
      <c r="AA13" s="2">
        <f t="shared" si="2"/>
        <v>-6.2055886527451198E-4</v>
      </c>
      <c r="AB13" s="2">
        <f t="shared" si="4"/>
        <v>-2.2226147415014409E-7</v>
      </c>
      <c r="AC13" s="2">
        <f t="shared" si="5"/>
        <v>9.9248201932452365E-7</v>
      </c>
      <c r="AD13" s="2">
        <f t="shared" si="6"/>
        <v>1.953125E-3</v>
      </c>
      <c r="AF13" s="2">
        <v>9</v>
      </c>
      <c r="AG13" s="2">
        <f t="shared" si="13"/>
        <v>2575</v>
      </c>
      <c r="AH13" s="2">
        <v>-8.537874302213595</v>
      </c>
      <c r="AI13" s="2">
        <f t="shared" si="14"/>
        <v>2613.671875</v>
      </c>
      <c r="AJ13" s="2">
        <v>8.281707275559711</v>
      </c>
      <c r="AK13" s="2">
        <f t="shared" si="9"/>
        <v>2594.3359375</v>
      </c>
      <c r="AL13" s="2">
        <v>-0.10667855056135522</v>
      </c>
      <c r="AM13" s="2">
        <f t="shared" si="10"/>
        <v>0.91080805543518839</v>
      </c>
      <c r="AN13" s="2">
        <f t="shared" si="11"/>
        <v>-0.88348052833014001</v>
      </c>
      <c r="AO13" s="2">
        <f t="shared" si="12"/>
        <v>38.671875</v>
      </c>
    </row>
    <row r="14" spans="2:41" x14ac:dyDescent="0.2">
      <c r="B14" s="6" t="s">
        <v>13</v>
      </c>
      <c r="C14" s="17">
        <v>100000</v>
      </c>
      <c r="D14" s="6" t="s">
        <v>8</v>
      </c>
      <c r="F14" s="34" t="s">
        <v>88</v>
      </c>
      <c r="G14" s="35"/>
      <c r="H14" s="35"/>
      <c r="J14" s="12" t="s">
        <v>134</v>
      </c>
      <c r="K14" s="6">
        <f xml:space="preserve"> $C$54 * $C$18 * (0.0095 * MAX(G9,O19,G28) - 1.9275)</f>
        <v>187.49880731180156</v>
      </c>
      <c r="L14" s="6" t="s">
        <v>7</v>
      </c>
      <c r="N14" s="6" t="s">
        <v>76</v>
      </c>
      <c r="O14" s="6">
        <f xml:space="preserve"> SQRT( ($C$5*$C$50)^2 + O10^2)</f>
        <v>25482.474646289676</v>
      </c>
      <c r="P14" s="6" t="s">
        <v>21</v>
      </c>
      <c r="U14" s="2">
        <v>10</v>
      </c>
      <c r="V14" s="2">
        <f t="shared" si="7"/>
        <v>3.7109375E-2</v>
      </c>
      <c r="W14" s="2">
        <f t="shared" si="0"/>
        <v>3.5816340171342803E-4</v>
      </c>
      <c r="X14" s="2">
        <f t="shared" si="8"/>
        <v>3.80859375E-2</v>
      </c>
      <c r="Y14" s="2">
        <f t="shared" si="1"/>
        <v>-6.2055886527451198E-4</v>
      </c>
      <c r="Z14" s="2">
        <f t="shared" si="3"/>
        <v>3.759765625E-2</v>
      </c>
      <c r="AA14" s="2">
        <f t="shared" si="2"/>
        <v>-1.3119088968339965E-4</v>
      </c>
      <c r="AB14" s="2">
        <f t="shared" si="4"/>
        <v>-4.6987775322817486E-8</v>
      </c>
      <c r="AC14" s="2">
        <f t="shared" si="5"/>
        <v>8.1411669636284167E-8</v>
      </c>
      <c r="AD14" s="2">
        <f t="shared" si="6"/>
        <v>9.765625E-4</v>
      </c>
      <c r="AF14" s="2">
        <v>10</v>
      </c>
      <c r="AG14" s="2">
        <f t="shared" si="13"/>
        <v>2594.3359375</v>
      </c>
      <c r="AH14" s="2">
        <v>-0.10667855056135522</v>
      </c>
      <c r="AI14" s="2">
        <f t="shared" si="14"/>
        <v>2613.671875</v>
      </c>
      <c r="AJ14" s="2">
        <v>8.281707275559711</v>
      </c>
      <c r="AK14" s="2">
        <f t="shared" si="9"/>
        <v>2604.00390625</v>
      </c>
      <c r="AL14" s="2">
        <v>4.0928729374522845</v>
      </c>
      <c r="AM14" s="2">
        <f t="shared" si="10"/>
        <v>-0.43662175259920599</v>
      </c>
      <c r="AN14" s="2">
        <f t="shared" si="11"/>
        <v>33.895975584040031</v>
      </c>
      <c r="AO14" s="2">
        <f t="shared" si="12"/>
        <v>19.3359375</v>
      </c>
    </row>
    <row r="15" spans="2:41" x14ac:dyDescent="0.2">
      <c r="B15" s="6" t="s">
        <v>177</v>
      </c>
      <c r="C15" s="17">
        <v>1</v>
      </c>
      <c r="F15" s="9" t="s">
        <v>91</v>
      </c>
      <c r="G15" s="6">
        <f xml:space="preserve"> $C$14/$C$8</f>
        <v>1500</v>
      </c>
      <c r="H15" s="6" t="s">
        <v>14</v>
      </c>
      <c r="J15" s="12" t="s">
        <v>135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182.13790508262599</v>
      </c>
      <c r="L15" s="6" t="s">
        <v>7</v>
      </c>
      <c r="N15" s="6" t="s">
        <v>77</v>
      </c>
      <c r="O15" s="6">
        <f>$C$5*$C$50/O14</f>
        <v>0.99787533114188431</v>
      </c>
      <c r="U15" s="2">
        <v>11</v>
      </c>
      <c r="V15" s="2">
        <f t="shared" si="7"/>
        <v>3.7109375E-2</v>
      </c>
      <c r="W15" s="2">
        <f t="shared" si="0"/>
        <v>3.5816340171342803E-4</v>
      </c>
      <c r="X15" s="2">
        <f t="shared" si="8"/>
        <v>3.759765625E-2</v>
      </c>
      <c r="Y15" s="2">
        <f t="shared" si="1"/>
        <v>-1.3119088968339965E-4</v>
      </c>
      <c r="Z15" s="2">
        <f t="shared" si="3"/>
        <v>3.7353515625E-2</v>
      </c>
      <c r="AA15" s="2">
        <f t="shared" si="2"/>
        <v>1.1348796735549671E-4</v>
      </c>
      <c r="AB15" s="2">
        <f t="shared" si="4"/>
        <v>4.0647236441587176E-8</v>
      </c>
      <c r="AC15" s="2">
        <f t="shared" si="5"/>
        <v>-1.488858740572823E-8</v>
      </c>
      <c r="AD15" s="2">
        <f t="shared" si="6"/>
        <v>4.8828125E-4</v>
      </c>
      <c r="AF15" s="2">
        <v>11</v>
      </c>
      <c r="AG15" s="2">
        <f t="shared" si="13"/>
        <v>2594.3359375</v>
      </c>
      <c r="AH15" s="2">
        <v>-0.10667855056135522</v>
      </c>
      <c r="AI15" s="2">
        <f t="shared" si="14"/>
        <v>2604.00390625</v>
      </c>
      <c r="AJ15" s="2">
        <v>4.0928729374522845</v>
      </c>
      <c r="AK15" s="2">
        <f t="shared" si="9"/>
        <v>2599.169921875</v>
      </c>
      <c r="AL15" s="2">
        <v>1.994429981866233</v>
      </c>
      <c r="AM15" s="2">
        <f t="shared" si="10"/>
        <v>-0.21276289966159972</v>
      </c>
      <c r="AN15" s="2">
        <f t="shared" si="11"/>
        <v>8.1629484984237557</v>
      </c>
      <c r="AO15" s="2">
        <f t="shared" si="12"/>
        <v>9.66796875</v>
      </c>
    </row>
    <row r="16" spans="2:41" x14ac:dyDescent="0.2">
      <c r="F16" t="s">
        <v>129</v>
      </c>
      <c r="G16" s="8">
        <f>O20*$C$9</f>
        <v>159.77279455149485</v>
      </c>
      <c r="H16" s="6" t="s">
        <v>10</v>
      </c>
      <c r="J16" s="13" t="s">
        <v>55</v>
      </c>
      <c r="K16" s="6">
        <f xml:space="preserve"> $C$54 * 0.2138 * K4</f>
        <v>101.38093357523445</v>
      </c>
      <c r="L16" s="6" t="s">
        <v>7</v>
      </c>
      <c r="U16" s="2">
        <v>12</v>
      </c>
      <c r="V16" s="2">
        <f t="shared" si="7"/>
        <v>3.7353515625E-2</v>
      </c>
      <c r="W16" s="2">
        <f t="shared" si="0"/>
        <v>1.1348796735549671E-4</v>
      </c>
      <c r="X16" s="2">
        <f t="shared" si="8"/>
        <v>3.759765625E-2</v>
      </c>
      <c r="Y16" s="2">
        <f t="shared" si="1"/>
        <v>-1.3119088968339965E-4</v>
      </c>
      <c r="Z16" s="2">
        <f t="shared" si="3"/>
        <v>3.74755859375E-2</v>
      </c>
      <c r="AA16" s="2">
        <f t="shared" si="2"/>
        <v>-8.8510334304639504E-6</v>
      </c>
      <c r="AB16" s="2">
        <f t="shared" si="4"/>
        <v>-1.0044857930189029E-9</v>
      </c>
      <c r="AC16" s="2">
        <f t="shared" si="5"/>
        <v>1.1611749503600785E-9</v>
      </c>
      <c r="AD16" s="2">
        <f t="shared" si="6"/>
        <v>2.44140625E-4</v>
      </c>
      <c r="AF16" s="2">
        <v>12</v>
      </c>
      <c r="AG16" s="2">
        <f t="shared" si="13"/>
        <v>2594.3359375</v>
      </c>
      <c r="AH16" s="2">
        <v>-0.10667855056135522</v>
      </c>
      <c r="AI16" s="2">
        <f t="shared" si="14"/>
        <v>2599.169921875</v>
      </c>
      <c r="AJ16" s="2">
        <v>1.994429981866233</v>
      </c>
      <c r="AK16" s="2">
        <f t="shared" si="9"/>
        <v>2596.7529296875</v>
      </c>
      <c r="AL16" s="2">
        <v>0.94420015983723715</v>
      </c>
      <c r="AM16" s="2">
        <f t="shared" si="10"/>
        <v>-0.10072590449123639</v>
      </c>
      <c r="AN16" s="2">
        <f t="shared" si="11"/>
        <v>1.8831411076622753</v>
      </c>
      <c r="AO16" s="2">
        <f t="shared" si="12"/>
        <v>4.833984375</v>
      </c>
    </row>
    <row r="17" spans="2:41" x14ac:dyDescent="0.2">
      <c r="B17" s="33" t="s">
        <v>114</v>
      </c>
      <c r="C17" s="33"/>
      <c r="D17" s="33"/>
      <c r="F17" s="6" t="s">
        <v>132</v>
      </c>
      <c r="G17" s="6">
        <f>G16/$C$49</f>
        <v>0.48019942645763863</v>
      </c>
      <c r="H17" s="6" t="s">
        <v>130</v>
      </c>
      <c r="J17" s="13" t="s">
        <v>79</v>
      </c>
      <c r="K17" s="6">
        <f xml:space="preserve"> $C$54 * 0.1149 * K4</f>
        <v>54.483953544408038</v>
      </c>
      <c r="L17" s="6" t="s">
        <v>7</v>
      </c>
      <c r="N17" s="34" t="s">
        <v>26</v>
      </c>
      <c r="O17" s="36"/>
      <c r="P17" s="36"/>
      <c r="U17" s="2">
        <v>13</v>
      </c>
      <c r="V17" s="2">
        <f t="shared" si="7"/>
        <v>3.7353515625E-2</v>
      </c>
      <c r="W17" s="2">
        <f t="shared" si="0"/>
        <v>1.1348796735549671E-4</v>
      </c>
      <c r="X17" s="2">
        <f t="shared" si="8"/>
        <v>3.74755859375E-2</v>
      </c>
      <c r="Y17" s="2">
        <f t="shared" si="1"/>
        <v>-8.8510334304639504E-6</v>
      </c>
      <c r="Z17" s="2">
        <f t="shared" si="3"/>
        <v>3.741455078125E-2</v>
      </c>
      <c r="AA17" s="2">
        <f t="shared" si="2"/>
        <v>5.231857390861766E-5</v>
      </c>
      <c r="AB17" s="2">
        <f t="shared" si="4"/>
        <v>5.9375286078273432E-9</v>
      </c>
      <c r="AC17" s="2">
        <f t="shared" si="5"/>
        <v>-4.6307344669937389E-10</v>
      </c>
      <c r="AD17" s="2">
        <f t="shared" si="6"/>
        <v>1.220703125E-4</v>
      </c>
      <c r="AF17" s="2">
        <v>13</v>
      </c>
      <c r="AG17" s="2">
        <f t="shared" si="13"/>
        <v>2594.3359375</v>
      </c>
      <c r="AH17" s="2">
        <v>-0.10667855056135522</v>
      </c>
      <c r="AI17" s="2">
        <f t="shared" si="14"/>
        <v>2596.7529296875</v>
      </c>
      <c r="AJ17" s="2">
        <v>0.94420015983723715</v>
      </c>
      <c r="AK17" s="2">
        <f t="shared" si="9"/>
        <v>2595.54443359375</v>
      </c>
      <c r="AL17" s="2">
        <v>0.41883930815856729</v>
      </c>
      <c r="AM17" s="2">
        <f t="shared" si="10"/>
        <v>-4.4681170312476759E-2</v>
      </c>
      <c r="AN17" s="2">
        <f t="shared" si="11"/>
        <v>0.39546814170943706</v>
      </c>
      <c r="AO17" s="2">
        <f t="shared" si="12"/>
        <v>2.4169921875</v>
      </c>
    </row>
    <row r="18" spans="2:41" x14ac:dyDescent="0.2">
      <c r="B18" s="6" t="s">
        <v>96</v>
      </c>
      <c r="C18" s="17">
        <v>4</v>
      </c>
      <c r="F18" s="9" t="s">
        <v>20</v>
      </c>
      <c r="G18" s="6">
        <f>O19</f>
        <v>6370.6186615724191</v>
      </c>
      <c r="H18" s="6" t="s">
        <v>21</v>
      </c>
      <c r="J18" s="14" t="s">
        <v>62</v>
      </c>
      <c r="K18" s="6">
        <f xml:space="preserve"> $C$55 * (14.86 * ($C$5*2.20462)^0.144 * ($C$26/(PI()*$C$27))^0.778 * ($C$26*3.28084)^0.383 * $C$25^0.455 * 0.453592)</f>
        <v>134.97077694667357</v>
      </c>
      <c r="L18" s="6" t="s">
        <v>7</v>
      </c>
      <c r="N18" s="6" t="s">
        <v>27</v>
      </c>
      <c r="O18" s="6">
        <f xml:space="preserve"> ACOS(O15)/PI()*180</f>
        <v>3.7355984000477451</v>
      </c>
      <c r="P18" s="6" t="s">
        <v>42</v>
      </c>
      <c r="U18" s="2">
        <v>14</v>
      </c>
      <c r="V18" s="2">
        <f t="shared" si="7"/>
        <v>3.741455078125E-2</v>
      </c>
      <c r="W18" s="2">
        <f t="shared" si="0"/>
        <v>5.231857390861766E-5</v>
      </c>
      <c r="X18" s="2">
        <f t="shared" si="8"/>
        <v>3.74755859375E-2</v>
      </c>
      <c r="Y18" s="2">
        <f t="shared" si="1"/>
        <v>-8.8510334304639504E-6</v>
      </c>
      <c r="Z18" s="2">
        <f t="shared" si="3"/>
        <v>3.7445068359375E-2</v>
      </c>
      <c r="AA18" s="2">
        <f t="shared" si="2"/>
        <v>2.1733796974010566E-5</v>
      </c>
      <c r="AB18" s="2">
        <f t="shared" si="4"/>
        <v>1.1370812632996627E-9</v>
      </c>
      <c r="AC18" s="2">
        <f t="shared" si="5"/>
        <v>-1.9236656358788377E-10</v>
      </c>
      <c r="AD18" s="2">
        <f t="shared" si="6"/>
        <v>6.103515625E-5</v>
      </c>
      <c r="AF18" s="2">
        <v>14</v>
      </c>
      <c r="AG18" s="2">
        <f t="shared" si="13"/>
        <v>2594.3359375</v>
      </c>
      <c r="AH18" s="2">
        <v>-0.10667855056135522</v>
      </c>
      <c r="AI18" s="2">
        <f t="shared" si="14"/>
        <v>2595.54443359375</v>
      </c>
      <c r="AJ18" s="2">
        <v>0.41883930815856729</v>
      </c>
      <c r="AK18" s="2">
        <f t="shared" si="9"/>
        <v>2594.940185546875</v>
      </c>
      <c r="AL18" s="2">
        <v>0.15609998246554824</v>
      </c>
      <c r="AM18" s="2">
        <f t="shared" si="10"/>
        <v>-1.6652519872077651E-2</v>
      </c>
      <c r="AN18" s="2">
        <f t="shared" si="11"/>
        <v>6.5380808659434714E-2</v>
      </c>
      <c r="AO18" s="2">
        <f t="shared" si="12"/>
        <v>1.20849609375</v>
      </c>
    </row>
    <row r="19" spans="2:41" x14ac:dyDescent="0.2">
      <c r="B19" t="s">
        <v>113</v>
      </c>
      <c r="C19" s="1">
        <v>3</v>
      </c>
      <c r="D19"/>
      <c r="F19" s="9" t="s">
        <v>99</v>
      </c>
      <c r="G19" s="6">
        <f xml:space="preserve"> 1/1000 * (O24 + O19 * (O26 * O29 + $C$8 * SIN(O18/180*PI())))</f>
        <v>54.416988286844521</v>
      </c>
      <c r="H19" s="6" t="s">
        <v>103</v>
      </c>
      <c r="J19" s="14" t="s">
        <v>63</v>
      </c>
      <c r="K19" s="6">
        <f xml:space="preserve"> $C$55 * C31 * $C$5</f>
        <v>29.05931005465289</v>
      </c>
      <c r="L19" s="6" t="s">
        <v>7</v>
      </c>
      <c r="N19" s="6" t="s">
        <v>20</v>
      </c>
      <c r="O19" s="6">
        <f xml:space="preserve"> O14 / $C$18</f>
        <v>6370.6186615724191</v>
      </c>
      <c r="P19" s="6" t="s">
        <v>21</v>
      </c>
      <c r="U19" s="2">
        <v>15</v>
      </c>
      <c r="V19" s="2">
        <f t="shared" si="7"/>
        <v>3.7445068359375E-2</v>
      </c>
      <c r="W19" s="2">
        <f t="shared" si="0"/>
        <v>2.1733796974010566E-5</v>
      </c>
      <c r="X19" s="2">
        <f t="shared" si="8"/>
        <v>3.74755859375E-2</v>
      </c>
      <c r="Y19" s="2">
        <f t="shared" si="1"/>
        <v>-8.8510334304639504E-6</v>
      </c>
      <c r="Z19" s="2">
        <f t="shared" si="3"/>
        <v>3.74603271484375E-2</v>
      </c>
      <c r="AA19" s="2">
        <f t="shared" si="2"/>
        <v>6.4413884553055079E-6</v>
      </c>
      <c r="AB19" s="2">
        <f t="shared" si="4"/>
        <v>1.3999582891834543E-10</v>
      </c>
      <c r="AC19" s="2">
        <f t="shared" si="5"/>
        <v>-5.7012944556513596E-11</v>
      </c>
      <c r="AD19" s="2">
        <f t="shared" si="6"/>
        <v>3.0517578125E-5</v>
      </c>
      <c r="AF19" s="2">
        <v>15</v>
      </c>
      <c r="AG19" s="2">
        <f t="shared" si="13"/>
        <v>2594.3359375</v>
      </c>
      <c r="AH19" s="2">
        <v>-0.10667855056135522</v>
      </c>
      <c r="AI19" s="2">
        <f t="shared" si="14"/>
        <v>2594.940185546875</v>
      </c>
      <c r="AJ19" s="2">
        <v>0.15609998246554824</v>
      </c>
      <c r="AK19" s="2">
        <f t="shared" si="9"/>
        <v>2594.6380615234375</v>
      </c>
      <c r="AL19" s="2">
        <v>2.4708337955189563E-2</v>
      </c>
      <c r="AM19" s="2">
        <f t="shared" si="10"/>
        <v>-2.6358496798397422E-3</v>
      </c>
      <c r="AN19" s="2">
        <f t="shared" si="11"/>
        <v>3.8569711215579307E-3</v>
      </c>
      <c r="AO19" s="2">
        <f t="shared" si="12"/>
        <v>0.604248046875</v>
      </c>
    </row>
    <row r="20" spans="2:41" x14ac:dyDescent="0.2">
      <c r="B20" s="6" t="s">
        <v>127</v>
      </c>
      <c r="C20" s="6">
        <f>$C$19*$C$10/PI()</f>
        <v>6.1401977044853208E-2</v>
      </c>
      <c r="F20" t="s">
        <v>188</v>
      </c>
      <c r="G20" s="6">
        <f xml:space="preserve"> (G18/$C$50*1000) / ($G$19*1000)</f>
        <v>11.945284460658726</v>
      </c>
      <c r="H20" s="6" t="s">
        <v>189</v>
      </c>
      <c r="J20" s="14" t="s">
        <v>64</v>
      </c>
      <c r="K20" s="6">
        <f xml:space="preserve"> $C$55 * 0</f>
        <v>0</v>
      </c>
      <c r="L20" s="6" t="s">
        <v>7</v>
      </c>
      <c r="N20" s="6" t="s">
        <v>28</v>
      </c>
      <c r="O20" s="6">
        <f>$C$7*2*PI()/60</f>
        <v>52.783012817238649</v>
      </c>
      <c r="P20" s="6" t="s">
        <v>29</v>
      </c>
      <c r="U20" s="2">
        <v>16</v>
      </c>
      <c r="V20" s="2">
        <f t="shared" si="7"/>
        <v>3.74603271484375E-2</v>
      </c>
      <c r="W20" s="2">
        <f t="shared" si="0"/>
        <v>6.4413884553055079E-6</v>
      </c>
      <c r="X20" s="2">
        <f t="shared" si="8"/>
        <v>3.74755859375E-2</v>
      </c>
      <c r="Y20" s="2">
        <f t="shared" si="1"/>
        <v>-8.8510334304639504E-6</v>
      </c>
      <c r="Z20" s="2">
        <f t="shared" si="3"/>
        <v>3.746795654296875E-2</v>
      </c>
      <c r="AA20" s="2">
        <f t="shared" si="2"/>
        <v>-1.2048208167178553E-6</v>
      </c>
      <c r="AB20" s="2">
        <f t="shared" si="4"/>
        <v>-7.7607188995181469E-12</v>
      </c>
      <c r="AC20" s="2">
        <f t="shared" si="5"/>
        <v>1.0663909326488617E-11</v>
      </c>
      <c r="AD20" s="2">
        <f t="shared" si="6"/>
        <v>1.52587890625E-5</v>
      </c>
      <c r="AF20" s="2">
        <v>16</v>
      </c>
      <c r="AG20" s="2">
        <f t="shared" si="13"/>
        <v>2594.3359375</v>
      </c>
      <c r="AH20" s="2">
        <v>-0.10667855056135522</v>
      </c>
      <c r="AI20" s="2">
        <f t="shared" si="14"/>
        <v>2594.6380615234375</v>
      </c>
      <c r="AJ20" s="2">
        <v>2.4708337955189563E-2</v>
      </c>
      <c r="AK20" s="2">
        <f t="shared" si="9"/>
        <v>2594.4869995117188</v>
      </c>
      <c r="AL20" s="2">
        <v>-4.0995401718873836E-2</v>
      </c>
      <c r="AM20" s="2">
        <f t="shared" si="10"/>
        <v>4.3733300350499516E-3</v>
      </c>
      <c r="AN20" s="2">
        <f t="shared" si="11"/>
        <v>-1.0129282402786938E-3</v>
      </c>
      <c r="AO20" s="2">
        <f t="shared" si="12"/>
        <v>0.3021240234375</v>
      </c>
    </row>
    <row r="21" spans="2:41" x14ac:dyDescent="0.2">
      <c r="B21" s="6" t="s">
        <v>128</v>
      </c>
      <c r="C21" s="17">
        <v>0.75</v>
      </c>
      <c r="F21" s="9" t="s">
        <v>190</v>
      </c>
      <c r="G21" s="6">
        <f>O22/ ($C$19*$C$10/PI())</f>
        <v>0.14000106505820101</v>
      </c>
      <c r="J21" s="14" t="s">
        <v>65</v>
      </c>
      <c r="K21" s="6">
        <f xml:space="preserve"> $C$55 * 0</f>
        <v>0</v>
      </c>
      <c r="L21" s="6" t="s">
        <v>7</v>
      </c>
      <c r="N21" s="6" t="s">
        <v>30</v>
      </c>
      <c r="O21" s="6">
        <f xml:space="preserve"> $C$8 * COS(O18/180*PI()) / (O20 * $C$9)</f>
        <v>0.41637265131946211</v>
      </c>
      <c r="U21" s="2">
        <v>17</v>
      </c>
      <c r="V21" s="2">
        <f t="shared" si="7"/>
        <v>3.74603271484375E-2</v>
      </c>
      <c r="W21" s="2">
        <f t="shared" si="0"/>
        <v>6.4413884553055079E-6</v>
      </c>
      <c r="X21" s="2">
        <f t="shared" si="8"/>
        <v>3.746795654296875E-2</v>
      </c>
      <c r="Y21" s="2">
        <f t="shared" si="1"/>
        <v>-1.2048208167178553E-6</v>
      </c>
      <c r="Z21" s="2">
        <f t="shared" si="3"/>
        <v>3.7464141845703125E-2</v>
      </c>
      <c r="AA21" s="2">
        <f t="shared" si="2"/>
        <v>2.6182842370117698E-6</v>
      </c>
      <c r="AB21" s="2">
        <f t="shared" si="4"/>
        <v>1.6865385856996006E-11</v>
      </c>
      <c r="AC21" s="2">
        <f t="shared" si="5"/>
        <v>-3.1545633528360071E-12</v>
      </c>
      <c r="AD21" s="2">
        <f t="shared" si="6"/>
        <v>7.62939453125E-6</v>
      </c>
      <c r="AF21" s="2">
        <v>17</v>
      </c>
      <c r="AG21" s="2">
        <f t="shared" si="13"/>
        <v>2594.4869995117188</v>
      </c>
      <c r="AH21" s="2">
        <v>-4.0995401718873836E-2</v>
      </c>
      <c r="AI21" s="2">
        <f t="shared" si="14"/>
        <v>2594.6380615234375</v>
      </c>
      <c r="AJ21" s="2">
        <v>2.4708337955189563E-2</v>
      </c>
      <c r="AK21" s="2">
        <f t="shared" si="9"/>
        <v>2594.5625305175781</v>
      </c>
      <c r="AL21" s="2">
        <v>-8.1339794469386106E-3</v>
      </c>
      <c r="AM21" s="2">
        <f t="shared" si="10"/>
        <v>3.3345575500031159E-4</v>
      </c>
      <c r="AN21" s="2">
        <f t="shared" si="11"/>
        <v>-2.0097711309552508E-4</v>
      </c>
      <c r="AO21" s="2">
        <f t="shared" si="12"/>
        <v>0.15106201171875</v>
      </c>
    </row>
    <row r="22" spans="2:41" x14ac:dyDescent="0.2">
      <c r="B22" s="6" t="s">
        <v>192</v>
      </c>
      <c r="C22" s="17">
        <v>50</v>
      </c>
      <c r="D22" s="6" t="s">
        <v>60</v>
      </c>
      <c r="F22" s="26" t="s">
        <v>139</v>
      </c>
      <c r="G22" s="25">
        <f>$C$18 * G19</f>
        <v>217.66795314737809</v>
      </c>
      <c r="H22" s="25" t="s">
        <v>103</v>
      </c>
      <c r="J22" s="14" t="s">
        <v>116</v>
      </c>
      <c r="K22" s="6">
        <f>$C$55*(0.14*$G$12*1000/745.7)*0.453592</f>
        <v>26.920715915479434</v>
      </c>
      <c r="L22" s="6" t="s">
        <v>7</v>
      </c>
      <c r="N22" s="6" t="s">
        <v>31</v>
      </c>
      <c r="O22" s="6">
        <f xml:space="preserve"> O19 / ($C$47 * PI() * $C$9^2 * O20^2 * $C$9^2)</f>
        <v>8.5963421829586585E-3</v>
      </c>
      <c r="U22" s="2">
        <v>18</v>
      </c>
      <c r="V22" s="2">
        <f t="shared" si="7"/>
        <v>3.7464141845703125E-2</v>
      </c>
      <c r="W22" s="2">
        <f t="shared" si="0"/>
        <v>2.6182842370117698E-6</v>
      </c>
      <c r="X22" s="2">
        <f t="shared" si="8"/>
        <v>3.746795654296875E-2</v>
      </c>
      <c r="Y22" s="2">
        <f t="shared" si="1"/>
        <v>-1.2048208167178553E-6</v>
      </c>
      <c r="Z22" s="2">
        <f t="shared" si="3"/>
        <v>3.7466049194335938E-2</v>
      </c>
      <c r="AA22" s="2">
        <f t="shared" si="2"/>
        <v>7.0673181457731049E-7</v>
      </c>
      <c r="AB22" s="2">
        <f t="shared" si="4"/>
        <v>1.8504247699024971E-12</v>
      </c>
      <c r="AC22" s="2">
        <f t="shared" si="5"/>
        <v>-8.5148520203952709E-13</v>
      </c>
      <c r="AD22" s="2">
        <f t="shared" si="6"/>
        <v>3.814697265625E-6</v>
      </c>
      <c r="AF22" s="2">
        <v>18</v>
      </c>
      <c r="AG22" s="2">
        <f t="shared" si="13"/>
        <v>2594.5625305175781</v>
      </c>
      <c r="AH22" s="2">
        <v>-8.1339794469386106E-3</v>
      </c>
      <c r="AI22" s="2">
        <f t="shared" si="14"/>
        <v>2594.6380615234375</v>
      </c>
      <c r="AJ22" s="2">
        <v>2.4708337955189563E-2</v>
      </c>
      <c r="AK22" s="2">
        <f t="shared" si="9"/>
        <v>2594.6002960205078</v>
      </c>
      <c r="AL22" s="2">
        <v>8.2871421379877575E-3</v>
      </c>
      <c r="AM22" s="2">
        <f t="shared" si="10"/>
        <v>-6.7407443824251317E-5</v>
      </c>
      <c r="AN22" s="2">
        <f t="shared" si="11"/>
        <v>2.0476150862809369E-4</v>
      </c>
      <c r="AO22" s="2">
        <f t="shared" si="12"/>
        <v>7.5531005859375E-2</v>
      </c>
    </row>
    <row r="23" spans="2:41" x14ac:dyDescent="0.2">
      <c r="J23" s="15" t="s">
        <v>66</v>
      </c>
      <c r="K23" s="6">
        <f xml:space="preserve"> $C$56 * (0.0268 * $C$5)</f>
        <v>55.627822104621252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3.7466049194335938E-2</v>
      </c>
      <c r="W23" s="2">
        <f t="shared" si="0"/>
        <v>7.0673181457731049E-7</v>
      </c>
      <c r="X23" s="2">
        <f t="shared" si="8"/>
        <v>3.746795654296875E-2</v>
      </c>
      <c r="Y23" s="2">
        <f t="shared" si="1"/>
        <v>-1.2048208167178553E-6</v>
      </c>
      <c r="Z23" s="2">
        <f t="shared" si="3"/>
        <v>3.7467002868652344E-2</v>
      </c>
      <c r="AA23" s="2">
        <f t="shared" si="2"/>
        <v>-2.4904447496615356E-7</v>
      </c>
      <c r="AB23" s="2">
        <f t="shared" si="4"/>
        <v>-1.7600765370328329E-13</v>
      </c>
      <c r="AC23" s="2">
        <f t="shared" si="5"/>
        <v>3.0005396772779059E-13</v>
      </c>
      <c r="AD23" s="2">
        <f t="shared" si="6"/>
        <v>1.9073486328125E-6</v>
      </c>
      <c r="AF23" s="2">
        <v>19</v>
      </c>
      <c r="AG23" s="2">
        <f t="shared" si="13"/>
        <v>2594.5625305175781</v>
      </c>
      <c r="AH23" s="2">
        <v>-8.1339794469386106E-3</v>
      </c>
      <c r="AI23" s="2">
        <f t="shared" si="14"/>
        <v>2594.6002960205078</v>
      </c>
      <c r="AJ23" s="2">
        <v>8.2871421379877575E-3</v>
      </c>
      <c r="AK23" s="2">
        <f t="shared" si="9"/>
        <v>2594.581413269043</v>
      </c>
      <c r="AL23" s="2">
        <v>6.687078098366328E-5</v>
      </c>
      <c r="AM23" s="2">
        <f t="shared" si="10"/>
        <v>-5.4392555812185041E-7</v>
      </c>
      <c r="AN23" s="2">
        <f t="shared" si="11"/>
        <v>5.5416766688986639E-7</v>
      </c>
      <c r="AO23" s="2">
        <f t="shared" si="12"/>
        <v>3.77655029296875E-2</v>
      </c>
    </row>
    <row r="24" spans="2:41" x14ac:dyDescent="0.2">
      <c r="B24" s="33" t="s">
        <v>106</v>
      </c>
      <c r="C24" s="33"/>
      <c r="D24" s="33"/>
      <c r="F24" s="34" t="s">
        <v>83</v>
      </c>
      <c r="G24" s="35"/>
      <c r="H24" s="35"/>
      <c r="J24" s="15" t="s">
        <v>67</v>
      </c>
      <c r="K24" s="6">
        <f xml:space="preserve"> $C$56 * (11.5 * ($C$5*2.20462/1000)^0.4 * 0.453592)</f>
        <v>8.3832732345410186</v>
      </c>
      <c r="L24" s="6" t="s">
        <v>7</v>
      </c>
      <c r="N24" s="6" t="s">
        <v>32</v>
      </c>
      <c r="O24" s="6">
        <f xml:space="preserve"> ($C$20 * O23 / 8) * (1 + 4.65 *O21^ 2) * ( PI() * $C$47 * O20^3 *$C$9^ 5)</f>
        <v>14608.566431958867</v>
      </c>
      <c r="P24" s="6" t="s">
        <v>19</v>
      </c>
      <c r="U24" s="2">
        <v>20</v>
      </c>
      <c r="V24" s="2">
        <f t="shared" si="7"/>
        <v>3.7466049194335938E-2</v>
      </c>
      <c r="W24" s="2">
        <f t="shared" si="0"/>
        <v>7.0673181457731049E-7</v>
      </c>
      <c r="X24" s="2">
        <f t="shared" si="8"/>
        <v>3.7467002868652344E-2</v>
      </c>
      <c r="Y24" s="2">
        <f t="shared" si="1"/>
        <v>-2.4904447496615356E-7</v>
      </c>
      <c r="Z24" s="2">
        <f t="shared" si="3"/>
        <v>3.7466526031494141E-2</v>
      </c>
      <c r="AA24" s="2">
        <f t="shared" si="2"/>
        <v>2.2884367633507763E-7</v>
      </c>
      <c r="AB24" s="2">
        <f t="shared" si="4"/>
        <v>1.6173110663083215E-13</v>
      </c>
      <c r="AC24" s="2">
        <f t="shared" si="5"/>
        <v>-5.6992253222193791E-14</v>
      </c>
      <c r="AD24" s="2">
        <f t="shared" si="6"/>
        <v>9.5367431640625E-7</v>
      </c>
      <c r="AF24" s="2">
        <v>20</v>
      </c>
      <c r="AG24" s="2">
        <f t="shared" si="13"/>
        <v>2594.5625305175781</v>
      </c>
      <c r="AH24" s="2">
        <v>-8.1339794469386106E-3</v>
      </c>
      <c r="AI24" s="2">
        <f t="shared" si="14"/>
        <v>2594.581413269043</v>
      </c>
      <c r="AJ24" s="2">
        <v>6.687078098366328E-5</v>
      </c>
      <c r="AK24" s="2">
        <f t="shared" si="9"/>
        <v>2594.5719718933105</v>
      </c>
      <c r="AL24" s="2">
        <v>-4.0238553874587524E-3</v>
      </c>
      <c r="AM24" s="2">
        <f t="shared" si="10"/>
        <v>3.2729957019042692E-5</v>
      </c>
      <c r="AN24" s="2">
        <f t="shared" si="11"/>
        <v>-2.6907835232468777E-7</v>
      </c>
      <c r="AO24" s="2">
        <f t="shared" si="12"/>
        <v>1.888275146484375E-2</v>
      </c>
    </row>
    <row r="25" spans="2:41" x14ac:dyDescent="0.2">
      <c r="B25" t="s">
        <v>107</v>
      </c>
      <c r="C25" s="1">
        <v>6</v>
      </c>
      <c r="D25"/>
      <c r="F25" t="s">
        <v>87</v>
      </c>
      <c r="G25" s="1">
        <f>300*0.3048/60</f>
        <v>1.524</v>
      </c>
      <c r="H25" t="s">
        <v>10</v>
      </c>
      <c r="J25" s="15" t="s">
        <v>68</v>
      </c>
      <c r="K25" s="6">
        <f xml:space="preserve"> $C$56 * (8 * ($C$5/1000))</f>
        <v>16.605320031230221</v>
      </c>
      <c r="L25" s="6" t="s">
        <v>7</v>
      </c>
      <c r="N25" s="6" t="s">
        <v>33</v>
      </c>
      <c r="O25" s="18">
        <f>Z34</f>
        <v>3.7466754671186209E-2</v>
      </c>
      <c r="U25" s="2">
        <v>21</v>
      </c>
      <c r="V25" s="2">
        <f t="shared" si="7"/>
        <v>3.7466526031494141E-2</v>
      </c>
      <c r="W25" s="2">
        <f t="shared" si="0"/>
        <v>2.2884367633507763E-7</v>
      </c>
      <c r="X25" s="2">
        <f t="shared" si="8"/>
        <v>3.7467002868652344E-2</v>
      </c>
      <c r="Y25" s="2">
        <f t="shared" si="1"/>
        <v>-2.4904447496615356E-7</v>
      </c>
      <c r="Z25" s="2">
        <f t="shared" si="3"/>
        <v>3.7466764450073242E-2</v>
      </c>
      <c r="AA25" s="2">
        <f t="shared" si="2"/>
        <v>-1.0100397684897899E-8</v>
      </c>
      <c r="AB25" s="2">
        <f t="shared" si="4"/>
        <v>-2.3114121386583423E-15</v>
      </c>
      <c r="AC25" s="2">
        <f t="shared" si="5"/>
        <v>2.5154482383847503E-15</v>
      </c>
      <c r="AD25" s="2">
        <f t="shared" si="6"/>
        <v>4.76837158203125E-7</v>
      </c>
      <c r="AF25" s="2">
        <v>21</v>
      </c>
      <c r="AG25" s="2">
        <f t="shared" si="13"/>
        <v>2594.5719718933105</v>
      </c>
      <c r="AH25" s="2">
        <v>-4.0238553874587524E-3</v>
      </c>
      <c r="AI25" s="2">
        <f t="shared" si="14"/>
        <v>2594.581413269043</v>
      </c>
      <c r="AJ25" s="2">
        <v>6.687078098366328E-5</v>
      </c>
      <c r="AK25" s="2">
        <f t="shared" si="9"/>
        <v>2594.5766925811768</v>
      </c>
      <c r="AL25" s="2">
        <v>-1.9687916044404119E-3</v>
      </c>
      <c r="AM25" s="2">
        <f t="shared" si="10"/>
        <v>7.9221327043111118E-6</v>
      </c>
      <c r="AN25" s="2">
        <f t="shared" si="11"/>
        <v>-1.3165463218300982E-7</v>
      </c>
      <c r="AO25" s="2">
        <f t="shared" si="12"/>
        <v>9.441375732421875E-3</v>
      </c>
    </row>
    <row r="26" spans="2:41" x14ac:dyDescent="0.2">
      <c r="B26" t="s">
        <v>108</v>
      </c>
      <c r="C26" s="1">
        <v>6.4008000000000003</v>
      </c>
      <c r="D26" t="s">
        <v>8</v>
      </c>
      <c r="F26" t="s">
        <v>93</v>
      </c>
      <c r="G26" s="1">
        <f>1000*0.3048</f>
        <v>304.8</v>
      </c>
      <c r="H26" t="s">
        <v>8</v>
      </c>
      <c r="J26" s="15" t="s">
        <v>69</v>
      </c>
      <c r="K26" s="6">
        <f xml:space="preserve"> $C$56 * (13 * ($C$5*2.20462/1000)^1.3 * 0.453592)</f>
        <v>45.532348410230597</v>
      </c>
      <c r="L26" s="6" t="s">
        <v>7</v>
      </c>
      <c r="N26" s="6" t="s">
        <v>34</v>
      </c>
      <c r="O26" s="6">
        <f xml:space="preserve"> O20 * $C$9 * O25 - $C$8 * SIN(O18/180*PI())</f>
        <v>1.6426807631864353</v>
      </c>
      <c r="P26" s="6" t="s">
        <v>10</v>
      </c>
      <c r="U26" s="2">
        <v>22</v>
      </c>
      <c r="V26" s="2">
        <f t="shared" si="7"/>
        <v>3.7466526031494141E-2</v>
      </c>
      <c r="W26" s="2">
        <f t="shared" si="0"/>
        <v>2.2884367633507763E-7</v>
      </c>
      <c r="X26" s="2">
        <f t="shared" si="8"/>
        <v>3.7466764450073242E-2</v>
      </c>
      <c r="Y26" s="2">
        <f t="shared" si="1"/>
        <v>-1.0100397684897899E-8</v>
      </c>
      <c r="Z26" s="2">
        <f t="shared" si="3"/>
        <v>3.7466645240783691E-2</v>
      </c>
      <c r="AA26" s="2">
        <f t="shared" si="2"/>
        <v>1.0937163973101516E-7</v>
      </c>
      <c r="AB26" s="2">
        <f t="shared" si="4"/>
        <v>2.5029008122841149E-14</v>
      </c>
      <c r="AC26" s="2">
        <f t="shared" si="5"/>
        <v>-1.1046970567326325E-15</v>
      </c>
      <c r="AD26" s="2">
        <f t="shared" si="6"/>
        <v>2.384185791015625E-7</v>
      </c>
      <c r="AF26" s="2">
        <v>22</v>
      </c>
      <c r="AG26" s="2">
        <f t="shared" si="13"/>
        <v>2594.5766925811768</v>
      </c>
      <c r="AH26" s="2">
        <v>-1.9687916044404119E-3</v>
      </c>
      <c r="AI26" s="2">
        <f t="shared" si="14"/>
        <v>2594.581413269043</v>
      </c>
      <c r="AJ26" s="2">
        <v>6.687078098366328E-5</v>
      </c>
      <c r="AK26" s="2">
        <f t="shared" si="9"/>
        <v>2594.5790529251099</v>
      </c>
      <c r="AL26" s="2">
        <v>-9.509605488347006E-4</v>
      </c>
      <c r="AM26" s="2">
        <f t="shared" si="10"/>
        <v>1.8722431446998049E-6</v>
      </c>
      <c r="AN26" s="2">
        <f t="shared" si="11"/>
        <v>-6.3591474585229492E-8</v>
      </c>
      <c r="AO26" s="2">
        <f t="shared" si="12"/>
        <v>4.7206878662109375E-3</v>
      </c>
    </row>
    <row r="27" spans="2:41" x14ac:dyDescent="0.2">
      <c r="B27" t="s">
        <v>109</v>
      </c>
      <c r="C27" s="1">
        <v>2.0560284000000002</v>
      </c>
      <c r="D27" t="s">
        <v>8</v>
      </c>
      <c r="F27" t="s">
        <v>92</v>
      </c>
      <c r="G27" s="8">
        <f>$G$26/$G$25</f>
        <v>200</v>
      </c>
      <c r="H27" t="s">
        <v>14</v>
      </c>
      <c r="J27" s="10" t="s">
        <v>56</v>
      </c>
      <c r="K27" s="10">
        <f>$C$5 - $C$13 - SUM(K13:K26)</f>
        <v>-7.5283423939254135E-10</v>
      </c>
      <c r="L27" s="10" t="s">
        <v>7</v>
      </c>
      <c r="N27" s="6" t="s">
        <v>35</v>
      </c>
      <c r="O27" s="6">
        <f xml:space="preserve"> 1/$C$21 - O24 * SQRT( (2*$C$47*PI()*$C$9^2) / O19^3 )</f>
        <v>1.1144154151518058</v>
      </c>
      <c r="U27" s="2">
        <v>23</v>
      </c>
      <c r="V27" s="2">
        <f t="shared" si="7"/>
        <v>3.7466645240783691E-2</v>
      </c>
      <c r="W27" s="2">
        <f t="shared" si="0"/>
        <v>1.0937163973101516E-7</v>
      </c>
      <c r="X27" s="2">
        <f t="shared" si="8"/>
        <v>3.7466764450073242E-2</v>
      </c>
      <c r="Y27" s="2">
        <f t="shared" si="1"/>
        <v>-1.0100397684897899E-8</v>
      </c>
      <c r="Z27" s="2">
        <f t="shared" si="3"/>
        <v>3.7466704845428467E-2</v>
      </c>
      <c r="AA27" s="2">
        <f t="shared" si="2"/>
        <v>4.9635621127142038E-8</v>
      </c>
      <c r="AB27" s="2">
        <f t="shared" si="4"/>
        <v>5.4287292717429435E-15</v>
      </c>
      <c r="AC27" s="2">
        <f t="shared" si="5"/>
        <v>-5.0133951272105467E-16</v>
      </c>
      <c r="AD27" s="2">
        <f t="shared" si="6"/>
        <v>1.1920928955078125E-7</v>
      </c>
      <c r="AF27" s="2">
        <v>23</v>
      </c>
      <c r="AG27" s="2">
        <f t="shared" si="13"/>
        <v>2594.5790529251099</v>
      </c>
      <c r="AH27" s="2">
        <v>-9.509605488347006E-4</v>
      </c>
      <c r="AI27" s="2">
        <f t="shared" si="14"/>
        <v>2594.581413269043</v>
      </c>
      <c r="AJ27" s="2">
        <v>6.687078098366328E-5</v>
      </c>
      <c r="AK27" s="2">
        <f t="shared" si="9"/>
        <v>2594.5802330970764</v>
      </c>
      <c r="AL27" s="2">
        <v>-4.4204491950949887E-4</v>
      </c>
      <c r="AM27" s="2">
        <f t="shared" si="10"/>
        <v>4.2036727926634408E-7</v>
      </c>
      <c r="AN27" s="2">
        <f t="shared" si="11"/>
        <v>-2.9559888997460763E-8</v>
      </c>
      <c r="AO27" s="2">
        <f t="shared" si="12"/>
        <v>2.3603439331054688E-3</v>
      </c>
    </row>
    <row r="28" spans="2:41" x14ac:dyDescent="0.2">
      <c r="F28" t="s">
        <v>20</v>
      </c>
      <c r="G28" s="6">
        <f xml:space="preserve"> $C$5 * $C$44 / $C$18</f>
        <v>6357.691329418044</v>
      </c>
      <c r="H28" t="s">
        <v>21</v>
      </c>
      <c r="J28" s="6" t="s">
        <v>57</v>
      </c>
      <c r="K28" s="4" t="str">
        <f>IF(ABS(K27)&lt;1, "TRUE", "FALSE")</f>
        <v>TRUE</v>
      </c>
      <c r="N28" s="6" t="s">
        <v>36</v>
      </c>
      <c r="O28" s="17">
        <v>1.1499999999999999</v>
      </c>
      <c r="U28" s="2">
        <v>24</v>
      </c>
      <c r="V28" s="2">
        <f t="shared" si="7"/>
        <v>3.7466704845428467E-2</v>
      </c>
      <c r="W28" s="2">
        <f t="shared" si="0"/>
        <v>4.9635621127142038E-8</v>
      </c>
      <c r="X28" s="2">
        <f t="shared" si="8"/>
        <v>3.7466764450073242E-2</v>
      </c>
      <c r="Y28" s="2">
        <f t="shared" si="1"/>
        <v>-1.0100397684897899E-8</v>
      </c>
      <c r="Z28" s="2">
        <f t="shared" si="3"/>
        <v>3.7466734647750854E-2</v>
      </c>
      <c r="AA28" s="2">
        <f t="shared" si="2"/>
        <v>1.9767611741938751E-8</v>
      </c>
      <c r="AB28" s="2">
        <f t="shared" si="4"/>
        <v>9.8117768701131617E-16</v>
      </c>
      <c r="AC28" s="2">
        <f t="shared" si="5"/>
        <v>-1.996607398742387E-16</v>
      </c>
      <c r="AD28" s="2">
        <f t="shared" si="6"/>
        <v>5.9604644775390625E-8</v>
      </c>
      <c r="AF28" s="2">
        <v>24</v>
      </c>
      <c r="AG28" s="2">
        <f t="shared" si="13"/>
        <v>2594.5802330970764</v>
      </c>
      <c r="AH28" s="2">
        <v>-4.4204491950949887E-4</v>
      </c>
      <c r="AI28" s="2">
        <f t="shared" si="14"/>
        <v>2594.581413269043</v>
      </c>
      <c r="AJ28" s="2">
        <v>6.687078098366328E-5</v>
      </c>
      <c r="AK28" s="2">
        <f t="shared" si="9"/>
        <v>2594.5808231830597</v>
      </c>
      <c r="AL28" s="2">
        <v>-1.8758708006316738E-4</v>
      </c>
      <c r="AM28" s="2">
        <f t="shared" si="10"/>
        <v>8.2921915707544742E-8</v>
      </c>
      <c r="AN28" s="2">
        <f t="shared" si="11"/>
        <v>-1.2544094546268975E-8</v>
      </c>
      <c r="AO28" s="2">
        <f t="shared" si="12"/>
        <v>1.1801719665527344E-3</v>
      </c>
    </row>
    <row r="29" spans="2:41" x14ac:dyDescent="0.2">
      <c r="B29" s="33" t="s">
        <v>110</v>
      </c>
      <c r="C29" s="33"/>
      <c r="D29" s="33"/>
      <c r="F29" t="s">
        <v>99</v>
      </c>
      <c r="G29" s="6">
        <f>G31/$C$18</f>
        <v>87.362195384509192</v>
      </c>
      <c r="H29" t="s">
        <v>19</v>
      </c>
      <c r="N29" s="6" t="s">
        <v>37</v>
      </c>
      <c r="O29" s="6">
        <f xml:space="preserve"> 1/$C$53 * LN( EXP($C$53 * O27) + EXP($C$53 * O28) )</f>
        <v>1.1598513918298838</v>
      </c>
      <c r="U29" s="2">
        <v>25</v>
      </c>
      <c r="V29" s="2">
        <f t="shared" si="7"/>
        <v>3.7466734647750854E-2</v>
      </c>
      <c r="W29" s="2">
        <f t="shared" si="0"/>
        <v>1.9767611741938751E-8</v>
      </c>
      <c r="X29" s="2">
        <f t="shared" si="8"/>
        <v>3.7466764450073242E-2</v>
      </c>
      <c r="Y29" s="2">
        <f t="shared" si="1"/>
        <v>-1.0100397684897899E-8</v>
      </c>
      <c r="Z29" s="2">
        <f t="shared" si="3"/>
        <v>3.7466749548912048E-2</v>
      </c>
      <c r="AA29" s="2">
        <f t="shared" si="2"/>
        <v>4.8336070354593197E-9</v>
      </c>
      <c r="AB29" s="2">
        <f t="shared" si="4"/>
        <v>9.5548867190063405E-17</v>
      </c>
      <c r="AC29" s="2">
        <f t="shared" si="5"/>
        <v>-4.8821353310659511E-17</v>
      </c>
      <c r="AD29" s="2">
        <f t="shared" si="6"/>
        <v>2.9802322387695312E-8</v>
      </c>
      <c r="AF29" s="2">
        <v>25</v>
      </c>
      <c r="AG29" s="2">
        <f t="shared" si="13"/>
        <v>2594.5808231830597</v>
      </c>
      <c r="AH29" s="2">
        <v>-1.8758708006316738E-4</v>
      </c>
      <c r="AI29" s="2">
        <f t="shared" si="14"/>
        <v>2594.581413269043</v>
      </c>
      <c r="AJ29" s="2">
        <v>6.687078098366328E-5</v>
      </c>
      <c r="AK29" s="2">
        <f t="shared" si="9"/>
        <v>2594.5811182260513</v>
      </c>
      <c r="AL29" s="2">
        <v>-6.0358150676620426E-5</v>
      </c>
      <c r="AM29" s="2">
        <f t="shared" si="10"/>
        <v>1.1322409243439916E-8</v>
      </c>
      <c r="AN29" s="2">
        <f t="shared" si="11"/>
        <v>-4.0361966744752324E-9</v>
      </c>
      <c r="AO29" s="2">
        <f t="shared" si="12"/>
        <v>5.9008598327636719E-4</v>
      </c>
    </row>
    <row r="30" spans="2:41" x14ac:dyDescent="0.2">
      <c r="B30" s="6" t="s">
        <v>123</v>
      </c>
      <c r="C30" s="21" t="s">
        <v>174</v>
      </c>
      <c r="F30" t="s">
        <v>188</v>
      </c>
      <c r="G30" s="6">
        <f xml:space="preserve"> (G28/$C$44*1000) / (G29*1000)</f>
        <v>7.4247826633137288</v>
      </c>
      <c r="H30" s="6" t="s">
        <v>189</v>
      </c>
      <c r="J30" s="31" t="s">
        <v>115</v>
      </c>
      <c r="K30" s="31"/>
      <c r="L30" s="31"/>
      <c r="U30" s="2">
        <v>26</v>
      </c>
      <c r="V30" s="2">
        <f t="shared" si="7"/>
        <v>3.7466749548912048E-2</v>
      </c>
      <c r="W30" s="2">
        <f t="shared" si="0"/>
        <v>4.8336070354593197E-9</v>
      </c>
      <c r="X30" s="2">
        <f t="shared" si="8"/>
        <v>3.7466764450073242E-2</v>
      </c>
      <c r="Y30" s="2">
        <f t="shared" si="1"/>
        <v>-1.0100397684897899E-8</v>
      </c>
      <c r="Z30" s="2">
        <f t="shared" si="3"/>
        <v>3.7466756999492645E-2</v>
      </c>
      <c r="AA30" s="2">
        <f t="shared" si="2"/>
        <v>-2.6333953212498429E-9</v>
      </c>
      <c r="AB30" s="2">
        <f t="shared" si="4"/>
        <v>-1.2728798151938896E-17</v>
      </c>
      <c r="AC30" s="2">
        <f t="shared" si="5"/>
        <v>2.6598340006172874E-17</v>
      </c>
      <c r="AD30" s="2">
        <f t="shared" si="6"/>
        <v>1.4901161193847656E-8</v>
      </c>
      <c r="AF30" s="2">
        <v>26</v>
      </c>
      <c r="AG30" s="2">
        <f t="shared" si="13"/>
        <v>2594.5811182260513</v>
      </c>
      <c r="AH30" s="2">
        <v>-6.0358150676620426E-5</v>
      </c>
      <c r="AI30" s="2">
        <f t="shared" si="14"/>
        <v>2594.581413269043</v>
      </c>
      <c r="AJ30" s="2">
        <v>6.687078098366328E-5</v>
      </c>
      <c r="AK30" s="2">
        <f t="shared" si="9"/>
        <v>2594.5812657475471</v>
      </c>
      <c r="AL30" s="2">
        <v>3.2563123113504844E-6</v>
      </c>
      <c r="AM30" s="2">
        <f t="shared" si="10"/>
        <v>-1.9654498913862666E-10</v>
      </c>
      <c r="AN30" s="2">
        <f t="shared" si="11"/>
        <v>2.1775214738672459E-10</v>
      </c>
      <c r="AO30" s="2">
        <f t="shared" si="12"/>
        <v>2.9504299163818359E-4</v>
      </c>
    </row>
    <row r="31" spans="2:41" x14ac:dyDescent="0.2">
      <c r="B31" s="6" t="s">
        <v>125</v>
      </c>
      <c r="C31" s="6">
        <f>IF(C30="wheeled",0.0325,0.014)</f>
        <v>1.4E-2</v>
      </c>
      <c r="F31" s="24" t="s">
        <v>85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349.44878153803677</v>
      </c>
      <c r="H31" s="24" t="s">
        <v>103</v>
      </c>
      <c r="J31" s="6" t="s">
        <v>59</v>
      </c>
      <c r="K31" s="6">
        <f>ROUND($C$13,2)</f>
        <v>600</v>
      </c>
      <c r="L31" s="6" t="s">
        <v>7</v>
      </c>
      <c r="U31" s="2">
        <v>27</v>
      </c>
      <c r="V31" s="2">
        <f t="shared" si="7"/>
        <v>3.7466749548912048E-2</v>
      </c>
      <c r="W31" s="2">
        <f t="shared" si="0"/>
        <v>4.8336070354593197E-9</v>
      </c>
      <c r="X31" s="2">
        <f t="shared" si="8"/>
        <v>3.7466756999492645E-2</v>
      </c>
      <c r="Y31" s="2">
        <f t="shared" si="1"/>
        <v>-2.6333953212498429E-9</v>
      </c>
      <c r="Z31" s="2">
        <f t="shared" si="3"/>
        <v>3.7466753274202347E-2</v>
      </c>
      <c r="AA31" s="2">
        <f t="shared" si="2"/>
        <v>1.1001058605741854E-9</v>
      </c>
      <c r="AB31" s="2">
        <f t="shared" si="4"/>
        <v>5.3174794274214121E-18</v>
      </c>
      <c r="AC31" s="2">
        <f t="shared" si="5"/>
        <v>-2.8970136261155916E-18</v>
      </c>
      <c r="AD31" s="2">
        <f t="shared" si="6"/>
        <v>7.4505805969238281E-9</v>
      </c>
      <c r="AF31" s="2">
        <v>27</v>
      </c>
      <c r="AG31" s="2">
        <f t="shared" si="13"/>
        <v>2594.5811182260513</v>
      </c>
      <c r="AH31" s="2">
        <v>-6.0358150676620426E-5</v>
      </c>
      <c r="AI31" s="2">
        <f t="shared" si="14"/>
        <v>2594.5812657475471</v>
      </c>
      <c r="AJ31" s="2">
        <v>3.2563123113504844E-6</v>
      </c>
      <c r="AK31" s="2">
        <f t="shared" si="9"/>
        <v>2594.5811919867992</v>
      </c>
      <c r="AL31" s="2">
        <v>-1.8849633988793357E-5</v>
      </c>
      <c r="AM31" s="2">
        <f t="shared" si="10"/>
        <v>1.1377290484947353E-9</v>
      </c>
      <c r="AN31" s="2">
        <f t="shared" si="11"/>
        <v>-6.1380295222158348E-11</v>
      </c>
      <c r="AO31" s="2">
        <f t="shared" si="12"/>
        <v>1.475214958190918E-4</v>
      </c>
    </row>
    <row r="32" spans="2:41" x14ac:dyDescent="0.2">
      <c r="B32" t="s">
        <v>175</v>
      </c>
      <c r="C32" s="1">
        <v>2.8540374719999999</v>
      </c>
      <c r="D32" t="s">
        <v>8</v>
      </c>
      <c r="J32" s="11" t="s">
        <v>54</v>
      </c>
      <c r="K32" s="6">
        <f>ROUND(K13,2)</f>
        <v>1151.98</v>
      </c>
      <c r="L32" s="6" t="s">
        <v>7</v>
      </c>
      <c r="U32" s="2">
        <v>28</v>
      </c>
      <c r="V32" s="2">
        <f t="shared" si="7"/>
        <v>3.7466753274202347E-2</v>
      </c>
      <c r="W32" s="2">
        <f t="shared" si="0"/>
        <v>1.1001058605741854E-9</v>
      </c>
      <c r="X32" s="2">
        <f t="shared" si="8"/>
        <v>3.7466756999492645E-2</v>
      </c>
      <c r="Y32" s="2">
        <f t="shared" si="1"/>
        <v>-2.6333953212498429E-9</v>
      </c>
      <c r="Z32" s="2">
        <f t="shared" si="3"/>
        <v>3.7466755136847496E-2</v>
      </c>
      <c r="AA32" s="2">
        <f t="shared" si="2"/>
        <v>-7.6664473380727571E-10</v>
      </c>
      <c r="AB32" s="2">
        <f t="shared" si="4"/>
        <v>-8.433903646397203E-19</v>
      </c>
      <c r="AC32" s="2">
        <f t="shared" si="5"/>
        <v>2.0188786550689109E-18</v>
      </c>
      <c r="AD32" s="2">
        <f t="shared" si="6"/>
        <v>3.7252902984619141E-9</v>
      </c>
      <c r="AF32" s="2">
        <v>28</v>
      </c>
      <c r="AG32" s="2">
        <f t="shared" si="13"/>
        <v>2594.5811919867992</v>
      </c>
      <c r="AH32" s="2">
        <v>-1.8849633988793357E-5</v>
      </c>
      <c r="AI32" s="2">
        <f t="shared" si="14"/>
        <v>2594.5812657475471</v>
      </c>
      <c r="AJ32" s="2">
        <v>3.2563123113504844E-6</v>
      </c>
      <c r="AK32" s="2">
        <f t="shared" si="9"/>
        <v>2594.5812288671732</v>
      </c>
      <c r="AL32" s="2">
        <v>-7.796660611347761E-6</v>
      </c>
      <c r="AM32" s="2">
        <f t="shared" si="10"/>
        <v>1.4696419885874715E-10</v>
      </c>
      <c r="AN32" s="2">
        <f t="shared" si="11"/>
        <v>-2.5388361936153108E-11</v>
      </c>
      <c r="AO32" s="2">
        <f t="shared" si="12"/>
        <v>7.3760747909545898E-5</v>
      </c>
    </row>
    <row r="33" spans="2:41" x14ac:dyDescent="0.2">
      <c r="B33" t="s">
        <v>176</v>
      </c>
      <c r="C33" s="1">
        <f>(0.750222528+0.849998808)/2</f>
        <v>0.80011066800000008</v>
      </c>
      <c r="D33"/>
      <c r="F33" s="34" t="s">
        <v>193</v>
      </c>
      <c r="G33" s="35"/>
      <c r="H33" s="35"/>
      <c r="J33" s="19" t="s">
        <v>80</v>
      </c>
      <c r="K33" s="6">
        <f>ROUND(SUM(K14:K17),2)</f>
        <v>525.5</v>
      </c>
      <c r="L33" s="6" t="s">
        <v>7</v>
      </c>
      <c r="U33" s="2">
        <v>29</v>
      </c>
      <c r="V33" s="2">
        <f t="shared" si="7"/>
        <v>3.7466753274202347E-2</v>
      </c>
      <c r="W33" s="2">
        <f t="shared" si="0"/>
        <v>1.1001058605741854E-9</v>
      </c>
      <c r="X33" s="2">
        <f t="shared" si="8"/>
        <v>3.7466755136847496E-2</v>
      </c>
      <c r="Y33" s="2">
        <f t="shared" si="1"/>
        <v>-7.6664473380727571E-10</v>
      </c>
      <c r="Z33" s="2">
        <f t="shared" si="3"/>
        <v>3.7466754205524921E-2</v>
      </c>
      <c r="AA33" s="2">
        <f t="shared" si="2"/>
        <v>1.6673055991400787E-10</v>
      </c>
      <c r="AB33" s="2">
        <f t="shared" si="4"/>
        <v>1.834212660982154E-19</v>
      </c>
      <c r="AC33" s="2">
        <f t="shared" si="5"/>
        <v>-1.278231057228126E-19</v>
      </c>
      <c r="AD33" s="2">
        <f t="shared" si="6"/>
        <v>1.862645149230957E-9</v>
      </c>
      <c r="AF33" s="2">
        <v>29</v>
      </c>
      <c r="AG33" s="2">
        <f t="shared" si="13"/>
        <v>2594.5812288671732</v>
      </c>
      <c r="AH33" s="2">
        <v>-7.796660611347761E-6</v>
      </c>
      <c r="AI33" s="2">
        <f t="shared" si="14"/>
        <v>2594.5812657475471</v>
      </c>
      <c r="AJ33" s="2">
        <v>3.2563123113504844E-6</v>
      </c>
      <c r="AK33" s="2">
        <f t="shared" si="9"/>
        <v>2594.5812473073602</v>
      </c>
      <c r="AL33" s="2">
        <v>-2.2701758553012041E-6</v>
      </c>
      <c r="AM33" s="2">
        <f t="shared" si="10"/>
        <v>1.7699790671859612E-11</v>
      </c>
      <c r="AN33" s="2">
        <f t="shared" si="11"/>
        <v>-7.3924015865479268E-12</v>
      </c>
      <c r="AO33" s="2">
        <f t="shared" si="12"/>
        <v>3.6880373954772949E-5</v>
      </c>
    </row>
    <row r="34" spans="2:41" x14ac:dyDescent="0.2">
      <c r="F34" s="9" t="s">
        <v>194</v>
      </c>
      <c r="G34" s="17">
        <f>20*60</f>
        <v>1200</v>
      </c>
      <c r="H34" s="6" t="s">
        <v>14</v>
      </c>
      <c r="J34" s="20" t="s">
        <v>71</v>
      </c>
      <c r="K34" s="6">
        <f>ROUND(SUM(K18:K22),2)</f>
        <v>190.95</v>
      </c>
      <c r="L34" s="6" t="s">
        <v>7</v>
      </c>
      <c r="U34" s="2">
        <v>30</v>
      </c>
      <c r="V34" s="2">
        <f t="shared" si="7"/>
        <v>3.7466754205524921E-2</v>
      </c>
      <c r="W34" s="2">
        <f t="shared" si="0"/>
        <v>1.6673055991400787E-10</v>
      </c>
      <c r="X34" s="2">
        <f t="shared" si="8"/>
        <v>3.7466755136847496E-2</v>
      </c>
      <c r="Y34" s="2">
        <f t="shared" si="1"/>
        <v>-7.6664473380727571E-10</v>
      </c>
      <c r="Z34" s="2">
        <f t="shared" si="3"/>
        <v>3.7466754671186209E-2</v>
      </c>
      <c r="AA34" s="2">
        <f t="shared" si="2"/>
        <v>-2.9995708694663392E-10</v>
      </c>
      <c r="AB34" s="2">
        <f t="shared" si="4"/>
        <v>-5.0012013056787015E-20</v>
      </c>
      <c r="AC34" s="2">
        <f t="shared" si="5"/>
        <v>2.2996052107580802E-19</v>
      </c>
      <c r="AD34" s="2">
        <f>X34-V34</f>
        <v>9.3132257461547852E-10</v>
      </c>
      <c r="AF34" s="2">
        <v>30</v>
      </c>
      <c r="AG34" s="2">
        <f t="shared" si="13"/>
        <v>2594.5812473073602</v>
      </c>
      <c r="AH34" s="2">
        <v>-2.2701758553012041E-6</v>
      </c>
      <c r="AI34" s="2">
        <f t="shared" si="14"/>
        <v>2594.5812657475471</v>
      </c>
      <c r="AJ34" s="2">
        <v>3.2563123113504844E-6</v>
      </c>
      <c r="AK34" s="2">
        <f t="shared" si="9"/>
        <v>2594.5812565274537</v>
      </c>
      <c r="AL34" s="2">
        <v>4.9306572691421025E-7</v>
      </c>
      <c r="AM34" s="2">
        <f t="shared" si="10"/>
        <v>-1.1193459083171772E-12</v>
      </c>
      <c r="AN34" s="2">
        <f t="shared" si="11"/>
        <v>1.6055759968557187E-12</v>
      </c>
      <c r="AO34" s="2">
        <f t="shared" si="12"/>
        <v>1.8440186977386475E-5</v>
      </c>
    </row>
    <row r="35" spans="2:41" x14ac:dyDescent="0.2">
      <c r="B35" s="31" t="s">
        <v>2</v>
      </c>
      <c r="C35" s="31"/>
      <c r="D35" s="31"/>
      <c r="F35" s="26" t="s">
        <v>139</v>
      </c>
      <c r="G35" s="25">
        <f xml:space="preserve"> G22</f>
        <v>217.66795314737809</v>
      </c>
      <c r="H35" s="25" t="s">
        <v>103</v>
      </c>
      <c r="J35" s="15" t="s">
        <v>72</v>
      </c>
      <c r="K35" s="6">
        <f>ROUND(SUM(K23:K26),2)</f>
        <v>126.15</v>
      </c>
      <c r="L35" s="6" t="s">
        <v>7</v>
      </c>
      <c r="AF35" s="2">
        <v>31</v>
      </c>
      <c r="AG35" s="2">
        <f t="shared" si="13"/>
        <v>2594.5812473073602</v>
      </c>
      <c r="AH35" s="2">
        <v>-2.2701758553012041E-6</v>
      </c>
      <c r="AI35" s="2">
        <f t="shared" si="14"/>
        <v>2594.5812565274537</v>
      </c>
      <c r="AJ35" s="2">
        <v>4.9306572691421025E-7</v>
      </c>
      <c r="AK35" s="2">
        <f t="shared" si="9"/>
        <v>2594.5812519174069</v>
      </c>
      <c r="AL35" s="2">
        <v>-8.8855131252785213E-7</v>
      </c>
      <c r="AM35" s="2">
        <f t="shared" si="10"/>
        <v>2.0171677358969243E-12</v>
      </c>
      <c r="AN35" s="2">
        <f t="shared" si="11"/>
        <v>-4.3811419881212102E-13</v>
      </c>
      <c r="AO35" s="2">
        <f t="shared" si="12"/>
        <v>9.2200934886932373E-6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61</v>
      </c>
      <c r="K36" s="10">
        <f>SUM(K31:K35)</f>
        <v>2594.58</v>
      </c>
      <c r="L36" s="6" t="s">
        <v>7</v>
      </c>
      <c r="AF36" s="2">
        <v>32</v>
      </c>
      <c r="AG36" s="2">
        <f t="shared" si="13"/>
        <v>2594.5812519174069</v>
      </c>
      <c r="AH36" s="2">
        <v>-8.8855131252785213E-7</v>
      </c>
      <c r="AI36" s="2">
        <f t="shared" si="14"/>
        <v>2594.5812565274537</v>
      </c>
      <c r="AJ36" s="2">
        <v>4.9306572691421025E-7</v>
      </c>
      <c r="AK36" s="2">
        <f t="shared" si="9"/>
        <v>2594.5812542224303</v>
      </c>
      <c r="AL36" s="2">
        <v>-1.977409738174174E-7</v>
      </c>
      <c r="AM36" s="2">
        <f t="shared" si="10"/>
        <v>1.7570300182600187E-13</v>
      </c>
      <c r="AN36" s="2">
        <f t="shared" si="11"/>
        <v>-9.7499296996008725E-14</v>
      </c>
      <c r="AO36" s="2">
        <f t="shared" si="12"/>
        <v>4.6100467443466187E-6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2594.5812542224303</v>
      </c>
      <c r="AH37" s="2">
        <v>-1.977409738174174E-7</v>
      </c>
      <c r="AI37" s="2">
        <f t="shared" si="14"/>
        <v>2594.5812565274537</v>
      </c>
      <c r="AJ37" s="2">
        <v>4.9306572691421025E-7</v>
      </c>
      <c r="AK37" s="2">
        <f t="shared" si="9"/>
        <v>2594.581255374942</v>
      </c>
      <c r="AL37" s="2">
        <v>1.4766510503250174E-7</v>
      </c>
      <c r="AM37" s="2">
        <f t="shared" si="10"/>
        <v>-2.9199441667978117E-14</v>
      </c>
      <c r="AN37" s="2">
        <f t="shared" si="11"/>
        <v>7.2808602352713677E-14</v>
      </c>
      <c r="AO37" s="2">
        <f t="shared" si="12"/>
        <v>2.3050233721733093E-6</v>
      </c>
    </row>
    <row r="38" spans="2:41" x14ac:dyDescent="0.2">
      <c r="B38" s="6" t="s">
        <v>6</v>
      </c>
      <c r="C38" s="17">
        <v>0.8</v>
      </c>
      <c r="J38" s="31" t="s">
        <v>58</v>
      </c>
      <c r="K38" s="31"/>
      <c r="L38" s="31"/>
      <c r="AF38" s="2">
        <v>34</v>
      </c>
      <c r="AG38" s="2">
        <f t="shared" si="13"/>
        <v>2594.5812542224303</v>
      </c>
      <c r="AH38" s="2">
        <v>-1.977409738174174E-7</v>
      </c>
      <c r="AI38" s="2">
        <f t="shared" si="14"/>
        <v>2594.581255374942</v>
      </c>
      <c r="AJ38" s="2">
        <v>1.4766510503250174E-7</v>
      </c>
      <c r="AK38" s="2">
        <f t="shared" si="9"/>
        <v>2594.5812547986861</v>
      </c>
      <c r="AL38" s="2">
        <v>-2.5038389139808714E-8</v>
      </c>
      <c r="AM38" s="2">
        <f t="shared" si="10"/>
        <v>4.9511154513252231E-15</v>
      </c>
      <c r="AN38" s="2">
        <f t="shared" si="11"/>
        <v>-3.6972963621745048E-15</v>
      </c>
      <c r="AO38" s="2">
        <f t="shared" si="12"/>
        <v>1.1525116860866547E-6</v>
      </c>
    </row>
    <row r="39" spans="2:41" x14ac:dyDescent="0.2">
      <c r="J39" s="6" t="s">
        <v>59</v>
      </c>
      <c r="K39" s="6">
        <f>ROUND($C$13/$C$5 * 100, 2)</f>
        <v>23.13</v>
      </c>
      <c r="L39" s="6" t="s">
        <v>60</v>
      </c>
      <c r="AF39" s="2">
        <v>35</v>
      </c>
      <c r="AG39" s="2">
        <f t="shared" si="13"/>
        <v>2594.5812547986861</v>
      </c>
      <c r="AH39" s="2">
        <v>-2.5038389139808714E-8</v>
      </c>
      <c r="AI39" s="2">
        <f t="shared" si="14"/>
        <v>2594.581255374942</v>
      </c>
      <c r="AJ39" s="2">
        <v>1.4766510503250174E-7</v>
      </c>
      <c r="AK39" s="2">
        <f t="shared" si="9"/>
        <v>2594.5812550868141</v>
      </c>
      <c r="AL39" s="2">
        <v>6.1311993704293855E-8</v>
      </c>
      <c r="AM39" s="2">
        <f t="shared" si="10"/>
        <v>-1.5351535573056115E-15</v>
      </c>
      <c r="AN39" s="2">
        <f t="shared" si="11"/>
        <v>9.0536419900966376E-15</v>
      </c>
      <c r="AO39" s="2">
        <f t="shared" si="12"/>
        <v>5.7625584304332733E-7</v>
      </c>
    </row>
    <row r="40" spans="2:41" x14ac:dyDescent="0.2">
      <c r="B40" s="31" t="s">
        <v>186</v>
      </c>
      <c r="C40" s="32"/>
      <c r="D40" s="32"/>
      <c r="J40" s="11" t="s">
        <v>54</v>
      </c>
      <c r="K40" s="6">
        <f>ROUND(K13/$C$5 * 100, 2)</f>
        <v>44.4</v>
      </c>
      <c r="L40" s="6" t="s">
        <v>60</v>
      </c>
      <c r="AF40" s="2">
        <v>36</v>
      </c>
      <c r="AG40" s="2">
        <f t="shared" si="13"/>
        <v>2594.5812547986861</v>
      </c>
      <c r="AH40" s="2">
        <v>-2.5038389139808714E-8</v>
      </c>
      <c r="AI40" s="2">
        <f t="shared" si="14"/>
        <v>2594.5812550868141</v>
      </c>
      <c r="AJ40" s="2">
        <v>6.1311993704293855E-8</v>
      </c>
      <c r="AK40" s="2">
        <f t="shared" si="9"/>
        <v>2594.5812549427501</v>
      </c>
      <c r="AL40" s="2">
        <v>1.8136006474378519E-8</v>
      </c>
      <c r="AM40" s="2">
        <f t="shared" si="10"/>
        <v>-4.5409638754757964E-16</v>
      </c>
      <c r="AN40" s="2">
        <f t="shared" si="11"/>
        <v>1.1119547147781283E-15</v>
      </c>
      <c r="AO40" s="2">
        <f t="shared" si="12"/>
        <v>2.8812792152166367E-7</v>
      </c>
    </row>
    <row r="41" spans="2:41" x14ac:dyDescent="0.2">
      <c r="B41" s="6" t="s">
        <v>15</v>
      </c>
      <c r="C41" s="17">
        <v>1.0397562309141399</v>
      </c>
      <c r="D41" s="6" t="s">
        <v>16</v>
      </c>
      <c r="J41" s="19" t="s">
        <v>80</v>
      </c>
      <c r="K41" s="6">
        <f>ROUND(SUM(K14:K17)/$C$5 * 100, 2)</f>
        <v>20.25</v>
      </c>
      <c r="L41" s="6" t="s">
        <v>60</v>
      </c>
      <c r="AF41" s="2">
        <v>37</v>
      </c>
      <c r="AG41" s="2">
        <f t="shared" si="13"/>
        <v>2594.5812547986861</v>
      </c>
      <c r="AH41" s="2">
        <v>-2.5038389139808714E-8</v>
      </c>
      <c r="AI41" s="2">
        <f t="shared" si="14"/>
        <v>2594.5812549427501</v>
      </c>
      <c r="AJ41" s="2">
        <v>1.8136006474378519E-8</v>
      </c>
      <c r="AK41" s="2">
        <f t="shared" si="9"/>
        <v>2594.5812548707181</v>
      </c>
      <c r="AL41" s="2">
        <v>-3.4503955248510465E-9</v>
      </c>
      <c r="AM41" s="2">
        <f t="shared" si="10"/>
        <v>8.6392345837475032E-17</v>
      </c>
      <c r="AN41" s="2">
        <f t="shared" si="11"/>
        <v>-6.2576395577865247E-17</v>
      </c>
      <c r="AO41" s="2">
        <f t="shared" si="12"/>
        <v>1.4406396076083183E-7</v>
      </c>
    </row>
    <row r="42" spans="2:41" x14ac:dyDescent="0.2">
      <c r="B42" s="6" t="s">
        <v>137</v>
      </c>
      <c r="C42" s="23">
        <v>1.7363179204150701E-5</v>
      </c>
      <c r="D42" s="6" t="s">
        <v>136</v>
      </c>
      <c r="J42" s="20" t="s">
        <v>71</v>
      </c>
      <c r="K42" s="6">
        <f>ROUND(SUM(K18:K22)/$C$5 * 100, 2)</f>
        <v>7.36</v>
      </c>
      <c r="L42" s="6" t="s">
        <v>60</v>
      </c>
      <c r="AF42" s="2">
        <v>38</v>
      </c>
      <c r="AG42" s="2">
        <f t="shared" si="13"/>
        <v>2594.5812548707181</v>
      </c>
      <c r="AH42" s="2">
        <v>-3.4503955248510465E-9</v>
      </c>
      <c r="AI42" s="2">
        <f t="shared" si="14"/>
        <v>2594.5812549427501</v>
      </c>
      <c r="AJ42" s="2">
        <v>1.8136006474378519E-8</v>
      </c>
      <c r="AK42" s="2">
        <f t="shared" si="9"/>
        <v>2594.5812549067341</v>
      </c>
      <c r="AL42" s="2">
        <v>7.3443970904918388E-9</v>
      </c>
      <c r="AM42" s="2">
        <f t="shared" si="10"/>
        <v>-2.5341074853762087E-17</v>
      </c>
      <c r="AN42" s="2">
        <f t="shared" si="11"/>
        <v>1.3319803318356674E-16</v>
      </c>
      <c r="AO42" s="2">
        <f t="shared" si="12"/>
        <v>7.2031980380415916E-8</v>
      </c>
    </row>
    <row r="43" spans="2:41" x14ac:dyDescent="0.2">
      <c r="B43" s="6" t="s">
        <v>131</v>
      </c>
      <c r="C43" s="17">
        <v>333.91694458017901</v>
      </c>
      <c r="D43" s="6" t="s">
        <v>10</v>
      </c>
      <c r="J43" s="15" t="s">
        <v>72</v>
      </c>
      <c r="K43" s="6">
        <f>ROUND(SUM(K23:K26)/$C$5*100, 2)</f>
        <v>4.8600000000000003</v>
      </c>
      <c r="L43" s="6" t="s">
        <v>60</v>
      </c>
      <c r="AF43" s="2">
        <v>39</v>
      </c>
      <c r="AG43" s="2">
        <f t="shared" si="13"/>
        <v>2594.5812548707181</v>
      </c>
      <c r="AH43" s="2">
        <v>-3.4503955248510465E-9</v>
      </c>
      <c r="AI43" s="2">
        <f t="shared" si="14"/>
        <v>2594.5812549067341</v>
      </c>
      <c r="AJ43" s="2">
        <v>7.3443970904918388E-9</v>
      </c>
      <c r="AK43" s="2">
        <f t="shared" si="9"/>
        <v>2594.5812548887261</v>
      </c>
      <c r="AL43" s="2">
        <v>1.9440449250396341E-9</v>
      </c>
      <c r="AM43" s="2">
        <f t="shared" si="10"/>
        <v>-6.7077239094661417E-18</v>
      </c>
      <c r="AN43" s="2">
        <f t="shared" si="11"/>
        <v>1.4277837891246514E-17</v>
      </c>
      <c r="AO43" s="2">
        <f t="shared" si="12"/>
        <v>3.6015990190207958E-8</v>
      </c>
    </row>
    <row r="44" spans="2:41" x14ac:dyDescent="0.2">
      <c r="B44" s="6" t="s">
        <v>17</v>
      </c>
      <c r="C44" s="1">
        <v>9.80149119240094</v>
      </c>
      <c r="D44" s="6" t="s">
        <v>18</v>
      </c>
      <c r="J44" s="10" t="s">
        <v>61</v>
      </c>
      <c r="K44" s="10">
        <f>SUM(K39:K43)</f>
        <v>100</v>
      </c>
      <c r="L44" s="10" t="s">
        <v>60</v>
      </c>
      <c r="AF44" s="2">
        <v>40</v>
      </c>
      <c r="AG44" s="2">
        <f t="shared" si="13"/>
        <v>2594.5812548707181</v>
      </c>
      <c r="AH44" s="2">
        <v>-3.4503955248510465E-9</v>
      </c>
      <c r="AI44" s="2">
        <f t="shared" si="14"/>
        <v>2594.5812548887261</v>
      </c>
      <c r="AJ44" s="2">
        <v>1.9440449250396341E-9</v>
      </c>
      <c r="AK44" s="5">
        <f>(AG44+AI44)/2</f>
        <v>2594.5812548797221</v>
      </c>
      <c r="AL44" s="2">
        <v>-7.5283423939254135E-10</v>
      </c>
      <c r="AM44" s="2">
        <f t="shared" si="10"/>
        <v>2.5975758905546661E-18</v>
      </c>
      <c r="AN44" s="2">
        <f t="shared" si="11"/>
        <v>-1.463543582487143E-18</v>
      </c>
      <c r="AO44" s="2">
        <f t="shared" si="12"/>
        <v>1.8007995095103979E-8</v>
      </c>
    </row>
    <row r="46" spans="2:41" x14ac:dyDescent="0.2">
      <c r="B46" s="31" t="s">
        <v>187</v>
      </c>
      <c r="C46" s="32"/>
      <c r="D46" s="32"/>
      <c r="J46" s="31" t="s">
        <v>58</v>
      </c>
      <c r="K46" s="31"/>
      <c r="L46" s="31"/>
    </row>
    <row r="47" spans="2:41" x14ac:dyDescent="0.2">
      <c r="B47" s="6" t="s">
        <v>15</v>
      </c>
      <c r="C47" s="17">
        <v>1.00854450666398</v>
      </c>
      <c r="D47" s="6" t="s">
        <v>16</v>
      </c>
      <c r="J47" s="6" t="s">
        <v>59</v>
      </c>
      <c r="K47" s="6">
        <f>ROUND($C$13/$C$5 * 100, 2)</f>
        <v>23.13</v>
      </c>
      <c r="L47" s="6" t="s">
        <v>60</v>
      </c>
    </row>
    <row r="48" spans="2:41" x14ac:dyDescent="0.2">
      <c r="B48" s="6" t="s">
        <v>137</v>
      </c>
      <c r="C48" s="23">
        <v>1.7265641515845801E-5</v>
      </c>
      <c r="D48" s="6" t="s">
        <v>136</v>
      </c>
      <c r="J48" s="11" t="s">
        <v>54</v>
      </c>
      <c r="K48" s="6">
        <f>ROUND(K13/$C$5 * 100, 2)</f>
        <v>44.4</v>
      </c>
      <c r="L48" s="6" t="s">
        <v>60</v>
      </c>
    </row>
    <row r="49" spans="2:12" x14ac:dyDescent="0.2">
      <c r="B49" s="6" t="s">
        <v>131</v>
      </c>
      <c r="C49" s="17">
        <v>332.721752148093</v>
      </c>
      <c r="D49" s="6" t="s">
        <v>10</v>
      </c>
      <c r="J49" s="20" t="s">
        <v>191</v>
      </c>
      <c r="K49" s="6">
        <f>ROUND(SUM(K14:K26)/$C$5 * 100, 2)</f>
        <v>32.479999999999997</v>
      </c>
      <c r="L49" s="6" t="s">
        <v>60</v>
      </c>
    </row>
    <row r="50" spans="2:12" x14ac:dyDescent="0.2">
      <c r="B50" s="6" t="s">
        <v>17</v>
      </c>
      <c r="C50" s="1">
        <v>9.8005536647414697</v>
      </c>
      <c r="D50" s="6" t="s">
        <v>18</v>
      </c>
      <c r="J50" s="10" t="s">
        <v>61</v>
      </c>
      <c r="K50" s="10">
        <f>SUM(K47:K49)</f>
        <v>100.00999999999999</v>
      </c>
      <c r="L50" s="10" t="s">
        <v>60</v>
      </c>
    </row>
    <row r="52" spans="2:12" x14ac:dyDescent="0.2">
      <c r="B52" s="31" t="s">
        <v>73</v>
      </c>
      <c r="C52" s="31"/>
      <c r="D52" s="31"/>
    </row>
    <row r="53" spans="2:12" x14ac:dyDescent="0.2">
      <c r="B53" s="6" t="s">
        <v>178</v>
      </c>
      <c r="C53" s="17">
        <v>30</v>
      </c>
    </row>
    <row r="54" spans="2:12" x14ac:dyDescent="0.2">
      <c r="B54" s="6" t="s">
        <v>180</v>
      </c>
      <c r="C54" s="17">
        <v>0.8</v>
      </c>
    </row>
    <row r="55" spans="2:12" x14ac:dyDescent="0.2">
      <c r="B55" s="6" t="s">
        <v>181</v>
      </c>
      <c r="C55" s="17">
        <v>0.8</v>
      </c>
    </row>
    <row r="56" spans="2:12" x14ac:dyDescent="0.2">
      <c r="B56" s="6" t="s">
        <v>182</v>
      </c>
      <c r="C56" s="17">
        <v>0.8</v>
      </c>
    </row>
  </sheetData>
  <mergeCells count="23">
    <mergeCell ref="N17:P17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3:P13"/>
    <mergeCell ref="B17:D17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0F76-78A6-0640-851E-C88493A667AB}">
  <dimension ref="B1:AO56"/>
  <sheetViews>
    <sheetView topLeftCell="B1" workbookViewId="0">
      <selection activeCell="O9" sqref="O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7" t="s">
        <v>0</v>
      </c>
      <c r="C1" s="37"/>
      <c r="D1" s="37"/>
    </row>
    <row r="2" spans="2:41" x14ac:dyDescent="0.2">
      <c r="U2" s="16" t="s">
        <v>95</v>
      </c>
      <c r="AF2" s="16" t="s">
        <v>78</v>
      </c>
    </row>
    <row r="3" spans="2:41" x14ac:dyDescent="0.2">
      <c r="B3" s="34" t="s">
        <v>126</v>
      </c>
      <c r="C3" s="35"/>
      <c r="D3" s="35"/>
      <c r="F3" s="34" t="s">
        <v>82</v>
      </c>
      <c r="G3" s="35"/>
      <c r="H3" s="35"/>
      <c r="J3" s="31" t="s">
        <v>100</v>
      </c>
      <c r="K3" s="31"/>
      <c r="L3" s="31"/>
      <c r="N3" s="31" t="s">
        <v>94</v>
      </c>
      <c r="O3" s="31"/>
      <c r="P3" s="31"/>
      <c r="U3" s="7" t="s">
        <v>43</v>
      </c>
      <c r="V3" s="7" t="s">
        <v>44</v>
      </c>
      <c r="W3" s="7" t="s">
        <v>45</v>
      </c>
      <c r="X3" s="7" t="s">
        <v>46</v>
      </c>
      <c r="Y3" s="7" t="s">
        <v>47</v>
      </c>
      <c r="Z3" s="7" t="s">
        <v>48</v>
      </c>
      <c r="AA3" s="7" t="s">
        <v>49</v>
      </c>
      <c r="AB3" s="7" t="s">
        <v>50</v>
      </c>
      <c r="AC3" s="7" t="s">
        <v>51</v>
      </c>
      <c r="AD3" s="7" t="s">
        <v>52</v>
      </c>
      <c r="AF3" s="7" t="s">
        <v>43</v>
      </c>
      <c r="AG3" s="7" t="s">
        <v>44</v>
      </c>
      <c r="AH3" s="7" t="s">
        <v>45</v>
      </c>
      <c r="AI3" s="7" t="s">
        <v>46</v>
      </c>
      <c r="AJ3" s="7" t="s">
        <v>47</v>
      </c>
      <c r="AK3" s="7" t="s">
        <v>48</v>
      </c>
      <c r="AL3" s="7" t="s">
        <v>49</v>
      </c>
      <c r="AM3" s="7" t="s">
        <v>50</v>
      </c>
      <c r="AN3" s="7" t="s">
        <v>51</v>
      </c>
      <c r="AO3" s="7" t="s">
        <v>52</v>
      </c>
    </row>
    <row r="4" spans="2:41" x14ac:dyDescent="0.2">
      <c r="B4" s="6" t="s">
        <v>38</v>
      </c>
      <c r="C4" s="22" t="s">
        <v>74</v>
      </c>
      <c r="F4" t="s">
        <v>86</v>
      </c>
      <c r="G4" s="1">
        <f>500*0.3048/60</f>
        <v>2.54</v>
      </c>
      <c r="H4" t="s">
        <v>10</v>
      </c>
      <c r="J4" t="s">
        <v>101</v>
      </c>
      <c r="K4" s="6">
        <f>(1+$C$22/100)*MAX(G12,G22,G31,G35)</f>
        <v>587.56127644173682</v>
      </c>
      <c r="L4" s="6" t="s">
        <v>103</v>
      </c>
      <c r="N4" s="6" t="s">
        <v>24</v>
      </c>
      <c r="O4" s="6">
        <f xml:space="preserve"> 0.5 * $C$47 * $C$8^2</f>
        <v>2246.5564689788753</v>
      </c>
      <c r="P4" s="6" t="s">
        <v>25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3.7271458892049844E-2</v>
      </c>
      <c r="X4" s="3">
        <v>1</v>
      </c>
      <c r="Y4" s="2">
        <f t="shared" ref="Y4:Y34" si="1" xml:space="preserve"> $O$21 * TAN($O$18/180*PI()) + $O$22 / (2 * SQRT($O$21^2 + X4^2)) - X4</f>
        <v>-0.96906663675549243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-0.4664324701507564</v>
      </c>
      <c r="AB4" s="2">
        <f>W4*AA4</f>
        <v>-1.7384618637141185E-2</v>
      </c>
      <c r="AC4" s="2">
        <f>Y4*AA4</f>
        <v>0.45200414512255011</v>
      </c>
      <c r="AD4" s="2">
        <f>X4-V4</f>
        <v>1</v>
      </c>
      <c r="AF4" s="2">
        <v>0</v>
      </c>
      <c r="AG4" s="2"/>
      <c r="AH4" s="2">
        <f>K27</f>
        <v>-2.4751898308750242E-9</v>
      </c>
      <c r="AI4" s="2"/>
      <c r="AJ4" s="2">
        <f>K27</f>
        <v>-2.4751898308750242E-9</v>
      </c>
      <c r="AK4" s="2"/>
      <c r="AL4" s="2">
        <f>K27</f>
        <v>-2.4751898308750242E-9</v>
      </c>
      <c r="AM4" s="2"/>
      <c r="AN4" s="2"/>
      <c r="AO4" s="2"/>
    </row>
    <row r="5" spans="2:41" x14ac:dyDescent="0.2">
      <c r="B5" s="10" t="s">
        <v>39</v>
      </c>
      <c r="C5" s="10">
        <f>AK44</f>
        <v>2573.023407225719</v>
      </c>
      <c r="D5" s="10" t="s">
        <v>7</v>
      </c>
      <c r="F5" t="s">
        <v>89</v>
      </c>
      <c r="G5" s="1">
        <f>1000*0.3048</f>
        <v>304.8</v>
      </c>
      <c r="H5" t="s">
        <v>8</v>
      </c>
      <c r="J5" t="s">
        <v>102</v>
      </c>
      <c r="K5" s="6">
        <f>K4/$C$18</f>
        <v>146.89031911043421</v>
      </c>
      <c r="L5" s="6" t="s">
        <v>103</v>
      </c>
      <c r="N5" s="6" t="s">
        <v>118</v>
      </c>
      <c r="O5" s="6">
        <f xml:space="preserve"> $C$18 * 0.85 * ($C$5/$C$18 *2.20462/1000)^(2/3) * 0.3048^2</f>
        <v>0.39870697642108455</v>
      </c>
      <c r="P5" s="6" t="s">
        <v>119</v>
      </c>
      <c r="U5" s="2">
        <v>1</v>
      </c>
      <c r="V5" s="2">
        <f>IF(AB4&gt;0, Z4, V4)</f>
        <v>0</v>
      </c>
      <c r="W5" s="2">
        <f t="shared" si="0"/>
        <v>3.7271458892049844E-2</v>
      </c>
      <c r="X5" s="2">
        <f>IF(AC4&gt;0, Z4, X4)</f>
        <v>0.5</v>
      </c>
      <c r="Y5" s="2">
        <f t="shared" si="1"/>
        <v>-0.4664324701507564</v>
      </c>
      <c r="Z5" s="2">
        <f t="shared" ref="Z5:Z34" si="3" xml:space="preserve"> (V5 + X5)/2</f>
        <v>0.25</v>
      </c>
      <c r="AA5" s="2">
        <f t="shared" si="2"/>
        <v>-0.21419469148128512</v>
      </c>
      <c r="AB5" s="2">
        <f t="shared" ref="AB5:AB34" si="4">W5*AA5</f>
        <v>-7.9833486384400174E-3</v>
      </c>
      <c r="AC5" s="2">
        <f t="shared" ref="AC5:AC34" si="5">Y5*AA5</f>
        <v>9.9907359040794994E-2</v>
      </c>
      <c r="AD5" s="2">
        <f t="shared" ref="AD5:AD33" si="6">X5-V5</f>
        <v>0.5</v>
      </c>
      <c r="AF5" s="2">
        <v>1</v>
      </c>
      <c r="AG5" s="3">
        <v>100</v>
      </c>
      <c r="AH5" s="2">
        <f t="dataTable" ref="AH5:AH44" dt2D="0" dtr="0" r1="C5"/>
        <v>-1350.9629113931755</v>
      </c>
      <c r="AI5" s="3">
        <v>10000</v>
      </c>
      <c r="AJ5" s="2">
        <f t="dataTable" ref="AJ5:AJ44" dt2D="0" dtr="0" r1="C5" ca="1"/>
        <v>412.95680968116721</v>
      </c>
      <c r="AK5" s="2">
        <f>(AG5+AI5)/2</f>
        <v>5050</v>
      </c>
      <c r="AL5" s="2">
        <f t="dataTable" ref="AL5:AL44" dt2D="0" dtr="0" r1="C5" ca="1"/>
        <v>741.9094852525368</v>
      </c>
      <c r="AM5" s="2">
        <f>AH5*AL5</f>
        <v>-1002292.1981869794</v>
      </c>
      <c r="AN5" s="2">
        <f>AJ5*AL5</f>
        <v>306376.57410208456</v>
      </c>
      <c r="AO5" s="2">
        <f>AI5-AG5</f>
        <v>9900</v>
      </c>
    </row>
    <row r="6" spans="2:41" x14ac:dyDescent="0.2">
      <c r="B6" s="6" t="s">
        <v>184</v>
      </c>
      <c r="C6" s="17">
        <v>400</v>
      </c>
      <c r="D6" s="6" t="s">
        <v>133</v>
      </c>
      <c r="F6" t="s">
        <v>90</v>
      </c>
      <c r="G6" s="8">
        <f>$G$5/$G$4</f>
        <v>120</v>
      </c>
      <c r="H6" s="6" t="s">
        <v>14</v>
      </c>
      <c r="N6" t="s">
        <v>120</v>
      </c>
      <c r="O6">
        <f xml:space="preserve"> O5 / (PI() * $C$9^2)</f>
        <v>1.3953902881953344E-2</v>
      </c>
      <c r="U6" s="2">
        <v>2</v>
      </c>
      <c r="V6" s="2">
        <f t="shared" ref="V6:V34" si="7">IF(AB5&gt;0, Z5, V5)</f>
        <v>0</v>
      </c>
      <c r="W6" s="2">
        <f t="shared" si="0"/>
        <v>3.7271458892049844E-2</v>
      </c>
      <c r="X6" s="2">
        <f t="shared" ref="X6:X34" si="8">IF(AC5&gt;0, Z5, X5)</f>
        <v>0.25</v>
      </c>
      <c r="Y6" s="2">
        <f t="shared" si="1"/>
        <v>-0.21419469148128512</v>
      </c>
      <c r="Z6" s="2">
        <f t="shared" si="3"/>
        <v>0.125</v>
      </c>
      <c r="AA6" s="2">
        <f t="shared" si="2"/>
        <v>-8.8162310399299088E-2</v>
      </c>
      <c r="AB6" s="2">
        <f t="shared" si="4"/>
        <v>-3.2859379278756145E-3</v>
      </c>
      <c r="AC6" s="2">
        <f t="shared" si="5"/>
        <v>1.8883898876255162E-2</v>
      </c>
      <c r="AD6" s="2">
        <f t="shared" si="6"/>
        <v>0.25</v>
      </c>
      <c r="AF6" s="2">
        <v>2</v>
      </c>
      <c r="AG6" s="2">
        <f>IF(AM5&gt;0, AK5, AG5)</f>
        <v>100</v>
      </c>
      <c r="AH6" s="2">
        <v>-1350.9629113931755</v>
      </c>
      <c r="AI6" s="2">
        <f>IF(AN5&gt;0, AK5, AI5)</f>
        <v>5050</v>
      </c>
      <c r="AJ6" s="2">
        <v>741.9094852525368</v>
      </c>
      <c r="AK6" s="2">
        <f t="shared" ref="AK6:AK43" si="9">(AG6+AI6)/2</f>
        <v>2575</v>
      </c>
      <c r="AL6" s="2">
        <v>0.86087270542498118</v>
      </c>
      <c r="AM6" s="2">
        <f t="shared" ref="AM6:AM44" si="10">AH6*AL6</f>
        <v>-1163.0070964598522</v>
      </c>
      <c r="AN6" s="2">
        <f t="shared" ref="AN6:AN44" si="11">AJ6*AL6</f>
        <v>638.68962574980651</v>
      </c>
      <c r="AO6" s="2">
        <f t="shared" ref="AO6:AO44" si="12">AI6-AG6</f>
        <v>4950</v>
      </c>
    </row>
    <row r="7" spans="2:41" x14ac:dyDescent="0.2">
      <c r="B7" s="6" t="s">
        <v>183</v>
      </c>
      <c r="C7" s="17">
        <v>505.65636628708501</v>
      </c>
      <c r="D7" s="6" t="s">
        <v>133</v>
      </c>
      <c r="F7" t="s">
        <v>129</v>
      </c>
      <c r="G7" s="8">
        <f>$C$6*2*PI()/60*$C$9</f>
        <v>126.32599929274515</v>
      </c>
      <c r="H7" s="6" t="s">
        <v>10</v>
      </c>
      <c r="J7" s="31" t="s">
        <v>22</v>
      </c>
      <c r="K7" s="31"/>
      <c r="L7" s="31"/>
      <c r="N7" t="s">
        <v>122</v>
      </c>
      <c r="O7" s="6">
        <f>$O$8-O6</f>
        <v>1.1444741460945557E-2</v>
      </c>
      <c r="U7" s="2">
        <v>3</v>
      </c>
      <c r="V7" s="2">
        <f t="shared" si="7"/>
        <v>0</v>
      </c>
      <c r="W7" s="2">
        <f t="shared" si="0"/>
        <v>3.7271458892049844E-2</v>
      </c>
      <c r="X7" s="2">
        <f t="shared" si="8"/>
        <v>0.125</v>
      </c>
      <c r="Y7" s="2">
        <f t="shared" si="1"/>
        <v>-8.8162310399299088E-2</v>
      </c>
      <c r="Z7" s="2">
        <f t="shared" si="3"/>
        <v>6.25E-2</v>
      </c>
      <c r="AA7" s="2">
        <f t="shared" si="2"/>
        <v>-2.5342323394309328E-2</v>
      </c>
      <c r="AB7" s="2">
        <f t="shared" si="4"/>
        <v>-9.4454536462003314E-4</v>
      </c>
      <c r="AC7" s="2">
        <f t="shared" si="5"/>
        <v>2.234237781328518E-3</v>
      </c>
      <c r="AD7" s="2">
        <f t="shared" si="6"/>
        <v>0.125</v>
      </c>
      <c r="AF7" s="2">
        <v>3</v>
      </c>
      <c r="AG7" s="2">
        <f t="shared" ref="AG7:AG44" si="13">IF(AM6&gt;0, AK6, AG6)</f>
        <v>100</v>
      </c>
      <c r="AH7" s="2">
        <v>-1350.9629113931755</v>
      </c>
      <c r="AI7" s="2">
        <f t="shared" ref="AI7:AI44" si="14">IF(AN6&gt;0, AK6, AI6)</f>
        <v>2575</v>
      </c>
      <c r="AJ7" s="2">
        <v>0.86087270542498118</v>
      </c>
      <c r="AK7" s="2">
        <f t="shared" si="9"/>
        <v>1337.5</v>
      </c>
      <c r="AL7" s="2">
        <v>-627.72105314433884</v>
      </c>
      <c r="AM7" s="2">
        <f t="shared" si="10"/>
        <v>848027.86149866623</v>
      </c>
      <c r="AN7" s="2">
        <f t="shared" si="11"/>
        <v>-540.38792127258534</v>
      </c>
      <c r="AO7" s="2">
        <f t="shared" si="12"/>
        <v>2475</v>
      </c>
    </row>
    <row r="8" spans="2:41" x14ac:dyDescent="0.2">
      <c r="B8" s="6" t="s">
        <v>9</v>
      </c>
      <c r="C8" s="17">
        <f>240.286092034865*1000/3600</f>
        <v>66.746136676351384</v>
      </c>
      <c r="D8" s="6" t="s">
        <v>10</v>
      </c>
      <c r="F8" t="s">
        <v>132</v>
      </c>
      <c r="G8" s="8">
        <f>G7/$C$43</f>
        <v>0.37831563010846903</v>
      </c>
      <c r="H8" s="6" t="s">
        <v>130</v>
      </c>
      <c r="J8" s="6" t="s">
        <v>98</v>
      </c>
      <c r="K8" s="6">
        <f xml:space="preserve"> $C$15 * (G12*G6 + G22*G15 + G31*G27 +G35*G34)/3600</f>
        <v>193.34335339903188</v>
      </c>
      <c r="L8" s="6" t="s">
        <v>104</v>
      </c>
      <c r="N8" s="6" t="s">
        <v>121</v>
      </c>
      <c r="O8" s="17">
        <v>2.5398644342898902E-2</v>
      </c>
      <c r="U8" s="2">
        <v>4</v>
      </c>
      <c r="V8" s="2">
        <f t="shared" si="7"/>
        <v>0</v>
      </c>
      <c r="W8" s="2">
        <f t="shared" si="0"/>
        <v>3.7271458892049844E-2</v>
      </c>
      <c r="X8" s="2">
        <f t="shared" si="8"/>
        <v>6.25E-2</v>
      </c>
      <c r="Y8" s="2">
        <f t="shared" si="1"/>
        <v>-2.5342323394309328E-2</v>
      </c>
      <c r="Z8" s="2">
        <f t="shared" si="3"/>
        <v>3.125E-2</v>
      </c>
      <c r="AA8" s="2">
        <f t="shared" si="2"/>
        <v>5.9926563731566851E-3</v>
      </c>
      <c r="AB8" s="2">
        <f t="shared" si="4"/>
        <v>2.233550456662899E-4</v>
      </c>
      <c r="AC8" s="2">
        <f t="shared" si="5"/>
        <v>-1.5186783579950556E-4</v>
      </c>
      <c r="AD8" s="2">
        <f t="shared" si="6"/>
        <v>6.25E-2</v>
      </c>
      <c r="AF8" s="2">
        <v>4</v>
      </c>
      <c r="AG8" s="2">
        <f t="shared" si="13"/>
        <v>1337.5</v>
      </c>
      <c r="AH8" s="2">
        <v>-627.72105314433884</v>
      </c>
      <c r="AI8" s="2">
        <f t="shared" si="14"/>
        <v>2575</v>
      </c>
      <c r="AJ8" s="2">
        <v>0.86087270542498118</v>
      </c>
      <c r="AK8" s="2">
        <f t="shared" si="9"/>
        <v>1956.25</v>
      </c>
      <c r="AL8" s="2">
        <v>-289.44383823489534</v>
      </c>
      <c r="AM8" s="2">
        <f t="shared" si="10"/>
        <v>181689.99096294816</v>
      </c>
      <c r="AN8" s="2">
        <f t="shared" si="11"/>
        <v>-249.17430008986497</v>
      </c>
      <c r="AO8" s="2">
        <f t="shared" si="12"/>
        <v>1237.5</v>
      </c>
    </row>
    <row r="9" spans="2:41" x14ac:dyDescent="0.2">
      <c r="B9" s="6" t="s">
        <v>97</v>
      </c>
      <c r="C9" s="17">
        <v>3.0158110842695498</v>
      </c>
      <c r="D9" s="6" t="s">
        <v>8</v>
      </c>
      <c r="F9" t="s">
        <v>20</v>
      </c>
      <c r="G9" s="6">
        <f xml:space="preserve"> $C$5 * $C$44 / $C$18</f>
        <v>6304.8665659410854</v>
      </c>
      <c r="H9" s="6" t="s">
        <v>21</v>
      </c>
      <c r="J9" s="6" t="s">
        <v>179</v>
      </c>
      <c r="K9" s="6">
        <f xml:space="preserve"> $C$15 * (G6 + G15 + G27 + G34)/60</f>
        <v>50.303567561993617</v>
      </c>
      <c r="L9" s="6" t="s">
        <v>105</v>
      </c>
      <c r="N9" s="6" t="s">
        <v>40</v>
      </c>
      <c r="O9" s="6">
        <f xml:space="preserve"> O4 *O8 * PI() * $C$9 * $C$9</f>
        <v>1630.3693976399272</v>
      </c>
      <c r="P9" s="6" t="s">
        <v>21</v>
      </c>
      <c r="U9" s="2">
        <v>5</v>
      </c>
      <c r="V9" s="2">
        <f t="shared" si="7"/>
        <v>3.125E-2</v>
      </c>
      <c r="W9" s="2">
        <f t="shared" si="0"/>
        <v>5.9926563731566851E-3</v>
      </c>
      <c r="X9" s="2">
        <f t="shared" si="8"/>
        <v>6.25E-2</v>
      </c>
      <c r="Y9" s="2">
        <f t="shared" si="1"/>
        <v>-2.5342323394309328E-2</v>
      </c>
      <c r="Z9" s="2">
        <f t="shared" si="3"/>
        <v>4.6875E-2</v>
      </c>
      <c r="AA9" s="2">
        <f t="shared" si="2"/>
        <v>-9.6680094309372078E-3</v>
      </c>
      <c r="AB9" s="2">
        <f t="shared" si="4"/>
        <v>-5.7937058332044792E-5</v>
      </c>
      <c r="AC9" s="2">
        <f t="shared" si="5"/>
        <v>2.450098215780432E-4</v>
      </c>
      <c r="AD9" s="2">
        <f t="shared" si="6"/>
        <v>3.125E-2</v>
      </c>
      <c r="AF9" s="2">
        <v>5</v>
      </c>
      <c r="AG9" s="2">
        <f t="shared" si="13"/>
        <v>1956.25</v>
      </c>
      <c r="AH9" s="2">
        <v>-289.44383823489534</v>
      </c>
      <c r="AI9" s="2">
        <f t="shared" si="14"/>
        <v>2575</v>
      </c>
      <c r="AJ9" s="2">
        <v>0.86087270542498118</v>
      </c>
      <c r="AK9" s="2">
        <f t="shared" si="9"/>
        <v>2265.625</v>
      </c>
      <c r="AL9" s="2">
        <v>-139.22572505817561</v>
      </c>
      <c r="AM9" s="2">
        <f t="shared" si="10"/>
        <v>40298.028241874599</v>
      </c>
      <c r="AN9" s="2">
        <f t="shared" si="11"/>
        <v>-119.85562659558623</v>
      </c>
      <c r="AO9" s="2">
        <f t="shared" si="12"/>
        <v>618.75</v>
      </c>
    </row>
    <row r="10" spans="2:41" x14ac:dyDescent="0.2">
      <c r="B10" s="6" t="s">
        <v>138</v>
      </c>
      <c r="C10" s="17">
        <f>(0.071475+0.069425+0.067375+0.065325+0.063275+0.061225+0.059175+0.057125)/8</f>
        <v>6.4299999999999982E-2</v>
      </c>
      <c r="F10" t="s">
        <v>99</v>
      </c>
      <c r="G10" s="6">
        <f>G12/$C$18</f>
        <v>97.926879406956132</v>
      </c>
      <c r="H10" s="6" t="s">
        <v>103</v>
      </c>
      <c r="N10" s="6" t="s">
        <v>41</v>
      </c>
      <c r="O10" s="6">
        <f xml:space="preserve"> O9</f>
        <v>1630.3693976399272</v>
      </c>
      <c r="P10" s="6" t="s">
        <v>21</v>
      </c>
      <c r="U10" s="2">
        <v>6</v>
      </c>
      <c r="V10" s="2">
        <f t="shared" si="7"/>
        <v>3.125E-2</v>
      </c>
      <c r="W10" s="2">
        <f t="shared" si="0"/>
        <v>5.9926563731566851E-3</v>
      </c>
      <c r="X10" s="2">
        <f t="shared" si="8"/>
        <v>4.6875E-2</v>
      </c>
      <c r="Y10" s="2">
        <f t="shared" si="1"/>
        <v>-9.6680094309372078E-3</v>
      </c>
      <c r="Z10" s="2">
        <f t="shared" si="3"/>
        <v>3.90625E-2</v>
      </c>
      <c r="AA10" s="2">
        <f t="shared" si="2"/>
        <v>-1.8359392873524144E-3</v>
      </c>
      <c r="AB10" s="2">
        <f t="shared" si="4"/>
        <v>-1.1002153271081188E-5</v>
      </c>
      <c r="AC10" s="2">
        <f t="shared" si="5"/>
        <v>1.774987834475128E-5</v>
      </c>
      <c r="AD10" s="2">
        <f t="shared" si="6"/>
        <v>1.5625E-2</v>
      </c>
      <c r="AF10" s="2">
        <v>6</v>
      </c>
      <c r="AG10" s="2">
        <f t="shared" si="13"/>
        <v>2265.625</v>
      </c>
      <c r="AH10" s="2">
        <v>-139.22572505817561</v>
      </c>
      <c r="AI10" s="2">
        <f t="shared" si="14"/>
        <v>2575</v>
      </c>
      <c r="AJ10" s="2">
        <v>0.86087270542498118</v>
      </c>
      <c r="AK10" s="2">
        <f t="shared" si="9"/>
        <v>2420.3125</v>
      </c>
      <c r="AL10" s="2">
        <v>-67.855537465208045</v>
      </c>
      <c r="AM10" s="2">
        <f t="shared" si="10"/>
        <v>9447.2364028057891</v>
      </c>
      <c r="AN10" s="2">
        <f t="shared" si="11"/>
        <v>-58.414980115739816</v>
      </c>
      <c r="AO10" s="2">
        <f t="shared" si="12"/>
        <v>309.375</v>
      </c>
    </row>
    <row r="11" spans="2:41" x14ac:dyDescent="0.2">
      <c r="F11" t="s">
        <v>188</v>
      </c>
      <c r="G11" s="6">
        <f xml:space="preserve"> (G9/$C$44*1000) / ($G$10*1000)</f>
        <v>6.5687363439127093</v>
      </c>
      <c r="H11" s="6" t="s">
        <v>189</v>
      </c>
      <c r="J11" s="34" t="s">
        <v>53</v>
      </c>
      <c r="K11" s="34"/>
      <c r="L11" s="34"/>
      <c r="N11" s="6" t="s">
        <v>117</v>
      </c>
      <c r="O11" s="6">
        <f>($O$8*PI()*$C$9^2)/(0.3048^2)/($C$5*2.20462/1000)^(2/3) + 0.85</f>
        <v>3.3059551421654993</v>
      </c>
      <c r="U11" s="2">
        <v>7</v>
      </c>
      <c r="V11" s="2">
        <f t="shared" si="7"/>
        <v>3.125E-2</v>
      </c>
      <c r="W11" s="2">
        <f t="shared" si="0"/>
        <v>5.9926563731566851E-3</v>
      </c>
      <c r="X11" s="2">
        <f t="shared" si="8"/>
        <v>3.90625E-2</v>
      </c>
      <c r="Y11" s="2">
        <f t="shared" si="1"/>
        <v>-1.8359392873524144E-3</v>
      </c>
      <c r="Z11" s="2">
        <f t="shared" si="3"/>
        <v>3.515625E-2</v>
      </c>
      <c r="AA11" s="2">
        <f t="shared" si="2"/>
        <v>2.0787962116843098E-3</v>
      </c>
      <c r="AB11" s="2">
        <f t="shared" si="4"/>
        <v>1.2457511366443952E-5</v>
      </c>
      <c r="AC11" s="2">
        <f t="shared" si="5"/>
        <v>-3.8165436354305907E-6</v>
      </c>
      <c r="AD11" s="2">
        <f t="shared" si="6"/>
        <v>7.8125E-3</v>
      </c>
      <c r="AF11" s="2">
        <v>7</v>
      </c>
      <c r="AG11" s="2">
        <f t="shared" si="13"/>
        <v>2420.3125</v>
      </c>
      <c r="AH11" s="2">
        <v>-67.855537465208045</v>
      </c>
      <c r="AI11" s="2">
        <f t="shared" si="14"/>
        <v>2575</v>
      </c>
      <c r="AJ11" s="2">
        <v>0.86087270542498118</v>
      </c>
      <c r="AK11" s="2">
        <f t="shared" si="9"/>
        <v>2497.65625</v>
      </c>
      <c r="AL11" s="2">
        <v>-33.158524472151839</v>
      </c>
      <c r="AM11" s="2">
        <f t="shared" si="10"/>
        <v>2249.989499611117</v>
      </c>
      <c r="AN11" s="2">
        <f t="shared" si="11"/>
        <v>-28.5452686702418</v>
      </c>
      <c r="AO11" s="2">
        <f t="shared" si="12"/>
        <v>154.6875</v>
      </c>
    </row>
    <row r="12" spans="2:41" x14ac:dyDescent="0.2">
      <c r="B12" s="31" t="s">
        <v>12</v>
      </c>
      <c r="C12" s="31"/>
      <c r="D12" s="31"/>
      <c r="F12" s="24" t="s">
        <v>84</v>
      </c>
      <c r="G12" s="25">
        <f xml:space="preserve"> 1/1000 * (($C$5*$C$44)/$C$21 * ( ($G$4/2) + SQRT( ($G$4/2)^2 + ($C$5*$C$44) / (2*$C$41*PI()*$C$9^2 * $C$18) ) ) )</f>
        <v>391.70751762782453</v>
      </c>
      <c r="H12" s="25" t="s">
        <v>103</v>
      </c>
      <c r="J12" s="10" t="s">
        <v>81</v>
      </c>
      <c r="K12" s="6">
        <f>C5</f>
        <v>2573.023407225719</v>
      </c>
      <c r="L12" s="6" t="s">
        <v>7</v>
      </c>
      <c r="U12" s="2">
        <v>8</v>
      </c>
      <c r="V12" s="2">
        <f t="shared" si="7"/>
        <v>3.515625E-2</v>
      </c>
      <c r="W12" s="2">
        <f t="shared" si="0"/>
        <v>2.0787962116843098E-3</v>
      </c>
      <c r="X12" s="2">
        <f t="shared" si="8"/>
        <v>3.90625E-2</v>
      </c>
      <c r="Y12" s="2">
        <f t="shared" si="1"/>
        <v>-1.8359392873524144E-3</v>
      </c>
      <c r="Z12" s="2">
        <f t="shared" si="3"/>
        <v>3.7109375E-2</v>
      </c>
      <c r="AA12" s="2">
        <f t="shared" si="2"/>
        <v>1.215374846457451E-4</v>
      </c>
      <c r="AB12" s="2">
        <f t="shared" si="4"/>
        <v>2.5265166265921485E-7</v>
      </c>
      <c r="AC12" s="2">
        <f t="shared" si="5"/>
        <v>-2.2313544294711427E-7</v>
      </c>
      <c r="AD12" s="2">
        <f t="shared" si="6"/>
        <v>3.90625E-3</v>
      </c>
      <c r="AF12" s="2">
        <v>8</v>
      </c>
      <c r="AG12" s="2">
        <f t="shared" si="13"/>
        <v>2497.65625</v>
      </c>
      <c r="AH12" s="2">
        <v>-33.158524472151839</v>
      </c>
      <c r="AI12" s="2">
        <f t="shared" si="14"/>
        <v>2575</v>
      </c>
      <c r="AJ12" s="2">
        <v>0.86087270542498118</v>
      </c>
      <c r="AK12" s="2">
        <f t="shared" si="9"/>
        <v>2536.328125</v>
      </c>
      <c r="AL12" s="2">
        <v>-16.063382952062739</v>
      </c>
      <c r="AM12" s="2">
        <f t="shared" si="10"/>
        <v>532.63807672151893</v>
      </c>
      <c r="AN12" s="2">
        <f t="shared" si="11"/>
        <v>-13.82852794021977</v>
      </c>
      <c r="AO12" s="2">
        <f t="shared" si="12"/>
        <v>77.34375</v>
      </c>
    </row>
    <row r="13" spans="2:41" x14ac:dyDescent="0.2">
      <c r="B13" s="6" t="s">
        <v>70</v>
      </c>
      <c r="C13" s="6">
        <f>C25*100</f>
        <v>600</v>
      </c>
      <c r="D13" s="6" t="s">
        <v>7</v>
      </c>
      <c r="J13" s="11" t="s">
        <v>54</v>
      </c>
      <c r="K13" s="6">
        <f xml:space="preserve"> K8 * 1000 / ($C$36 * $C$37 * $C$38)</f>
        <v>1137.313843523717</v>
      </c>
      <c r="L13" s="6" t="s">
        <v>7</v>
      </c>
      <c r="N13" s="34" t="s">
        <v>75</v>
      </c>
      <c r="O13" s="36"/>
      <c r="P13" s="36"/>
      <c r="U13" s="2">
        <v>9</v>
      </c>
      <c r="V13" s="2">
        <f t="shared" si="7"/>
        <v>3.7109375E-2</v>
      </c>
      <c r="W13" s="2">
        <f t="shared" si="0"/>
        <v>1.215374846457451E-4</v>
      </c>
      <c r="X13" s="2">
        <f t="shared" si="8"/>
        <v>3.90625E-2</v>
      </c>
      <c r="Y13" s="2">
        <f t="shared" si="1"/>
        <v>-1.8359392873524144E-3</v>
      </c>
      <c r="Z13" s="2">
        <f t="shared" si="3"/>
        <v>3.80859375E-2</v>
      </c>
      <c r="AA13" s="2">
        <f t="shared" si="2"/>
        <v>-8.5717369728952747E-4</v>
      </c>
      <c r="AB13" s="2">
        <f t="shared" si="4"/>
        <v>-1.041787350730625E-7</v>
      </c>
      <c r="AC13" s="2">
        <f t="shared" si="5"/>
        <v>1.5737188669389692E-6</v>
      </c>
      <c r="AD13" s="2">
        <f t="shared" si="6"/>
        <v>1.953125E-3</v>
      </c>
      <c r="AF13" s="2">
        <v>9</v>
      </c>
      <c r="AG13" s="2">
        <f t="shared" si="13"/>
        <v>2536.328125</v>
      </c>
      <c r="AH13" s="2">
        <v>-16.063382952062739</v>
      </c>
      <c r="AI13" s="2">
        <f t="shared" si="14"/>
        <v>2575</v>
      </c>
      <c r="AJ13" s="2">
        <v>0.86087270542498118</v>
      </c>
      <c r="AK13" s="2">
        <f t="shared" si="9"/>
        <v>2555.6640625</v>
      </c>
      <c r="AL13" s="2">
        <v>-7.5798176363362018</v>
      </c>
      <c r="AM13" s="2">
        <f t="shared" si="10"/>
        <v>121.75751339926742</v>
      </c>
      <c r="AN13" s="2">
        <f t="shared" si="11"/>
        <v>-6.5252581152207325</v>
      </c>
      <c r="AO13" s="2">
        <f t="shared" si="12"/>
        <v>38.671875</v>
      </c>
    </row>
    <row r="14" spans="2:41" x14ac:dyDescent="0.2">
      <c r="B14" s="6" t="s">
        <v>13</v>
      </c>
      <c r="C14" s="17">
        <v>100000</v>
      </c>
      <c r="D14" s="6" t="s">
        <v>8</v>
      </c>
      <c r="F14" s="34" t="s">
        <v>88</v>
      </c>
      <c r="G14" s="35"/>
      <c r="H14" s="35"/>
      <c r="J14" s="12" t="s">
        <v>134</v>
      </c>
      <c r="K14" s="6">
        <f xml:space="preserve"> $C$54 * $C$18 * (0.0095 * MAX(G9,O19,G28) - 1.9275)</f>
        <v>185.88174674797625</v>
      </c>
      <c r="L14" s="6" t="s">
        <v>7</v>
      </c>
      <c r="N14" s="6" t="s">
        <v>76</v>
      </c>
      <c r="O14" s="6">
        <f xml:space="preserve"> SQRT( ($C$5*$C$50)^2 + O10^2)</f>
        <v>25269.70351947056</v>
      </c>
      <c r="P14" s="6" t="s">
        <v>21</v>
      </c>
      <c r="U14" s="2">
        <v>10</v>
      </c>
      <c r="V14" s="2">
        <f t="shared" si="7"/>
        <v>3.7109375E-2</v>
      </c>
      <c r="W14" s="2">
        <f t="shared" si="0"/>
        <v>1.215374846457451E-4</v>
      </c>
      <c r="X14" s="2">
        <f t="shared" si="8"/>
        <v>3.80859375E-2</v>
      </c>
      <c r="Y14" s="2">
        <f t="shared" si="1"/>
        <v>-8.5717369728952747E-4</v>
      </c>
      <c r="Z14" s="2">
        <f t="shared" si="3"/>
        <v>3.759765625E-2</v>
      </c>
      <c r="AA14" s="2">
        <f t="shared" si="2"/>
        <v>-3.6781129876314184E-4</v>
      </c>
      <c r="AB14" s="2">
        <f t="shared" si="4"/>
        <v>-4.4702860075956914E-8</v>
      </c>
      <c r="AC14" s="2">
        <f t="shared" si="5"/>
        <v>3.1527817086566527E-7</v>
      </c>
      <c r="AD14" s="2">
        <f t="shared" si="6"/>
        <v>9.765625E-4</v>
      </c>
      <c r="AF14" s="2">
        <v>10</v>
      </c>
      <c r="AG14" s="2">
        <f t="shared" si="13"/>
        <v>2555.6640625</v>
      </c>
      <c r="AH14" s="2">
        <v>-7.5798176363362018</v>
      </c>
      <c r="AI14" s="2">
        <f t="shared" si="14"/>
        <v>2575</v>
      </c>
      <c r="AJ14" s="2">
        <v>0.86087270542498118</v>
      </c>
      <c r="AK14" s="2">
        <f t="shared" si="9"/>
        <v>2565.33203125</v>
      </c>
      <c r="AL14" s="2">
        <v>-3.3540985791541971</v>
      </c>
      <c r="AM14" s="2">
        <f t="shared" si="10"/>
        <v>25.423455564283177</v>
      </c>
      <c r="AN14" s="2">
        <f t="shared" si="11"/>
        <v>-2.8874519180985589</v>
      </c>
      <c r="AO14" s="2">
        <f t="shared" si="12"/>
        <v>19.3359375</v>
      </c>
    </row>
    <row r="15" spans="2:41" x14ac:dyDescent="0.2">
      <c r="B15" s="6" t="s">
        <v>177</v>
      </c>
      <c r="C15" s="17">
        <v>1</v>
      </c>
      <c r="F15" s="9" t="s">
        <v>91</v>
      </c>
      <c r="G15" s="6">
        <f xml:space="preserve"> $C$14/$C$8</f>
        <v>1498.2140537196169</v>
      </c>
      <c r="H15" s="6" t="s">
        <v>14</v>
      </c>
      <c r="J15" s="12" t="s">
        <v>135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179.9808107704813</v>
      </c>
      <c r="L15" s="6" t="s">
        <v>7</v>
      </c>
      <c r="N15" s="6" t="s">
        <v>77</v>
      </c>
      <c r="O15" s="6">
        <f>$C$5*$C$50/O14</f>
        <v>0.9979164956851041</v>
      </c>
      <c r="U15" s="2">
        <v>11</v>
      </c>
      <c r="V15" s="2">
        <f t="shared" si="7"/>
        <v>3.7109375E-2</v>
      </c>
      <c r="W15" s="2">
        <f t="shared" si="0"/>
        <v>1.215374846457451E-4</v>
      </c>
      <c r="X15" s="2">
        <f t="shared" si="8"/>
        <v>3.759765625E-2</v>
      </c>
      <c r="Y15" s="2">
        <f t="shared" si="1"/>
        <v>-3.6781129876314184E-4</v>
      </c>
      <c r="Z15" s="2">
        <f t="shared" si="3"/>
        <v>3.7353515625E-2</v>
      </c>
      <c r="AA15" s="2">
        <f t="shared" si="2"/>
        <v>-1.2313520435973391E-4</v>
      </c>
      <c r="AB15" s="2">
        <f t="shared" si="4"/>
        <v>-1.4965543009221846E-8</v>
      </c>
      <c r="AC15" s="2">
        <f t="shared" si="5"/>
        <v>4.5290519439018613E-8</v>
      </c>
      <c r="AD15" s="2">
        <f t="shared" si="6"/>
        <v>4.8828125E-4</v>
      </c>
      <c r="AF15" s="2">
        <v>11</v>
      </c>
      <c r="AG15" s="2">
        <f t="shared" si="13"/>
        <v>2565.33203125</v>
      </c>
      <c r="AH15" s="2">
        <v>-3.3540985791541971</v>
      </c>
      <c r="AI15" s="2">
        <f t="shared" si="14"/>
        <v>2575</v>
      </c>
      <c r="AJ15" s="2">
        <v>0.86087270542498118</v>
      </c>
      <c r="AK15" s="2">
        <f t="shared" si="9"/>
        <v>2570.166015625</v>
      </c>
      <c r="AL15" s="2">
        <v>-1.245278932896781</v>
      </c>
      <c r="AM15" s="2">
        <f t="shared" si="10"/>
        <v>4.1767882994797478</v>
      </c>
      <c r="AN15" s="2">
        <f t="shared" si="11"/>
        <v>-1.0720266439715855</v>
      </c>
      <c r="AO15" s="2">
        <f t="shared" si="12"/>
        <v>9.66796875</v>
      </c>
    </row>
    <row r="16" spans="2:41" x14ac:dyDescent="0.2">
      <c r="F16" t="s">
        <v>129</v>
      </c>
      <c r="G16" s="8">
        <f>O20*$C$9</f>
        <v>159.69386442488596</v>
      </c>
      <c r="H16" s="6" t="s">
        <v>10</v>
      </c>
      <c r="J16" s="13" t="s">
        <v>55</v>
      </c>
      <c r="K16" s="6">
        <f xml:space="preserve"> $C$54 * 0.2138 * K4</f>
        <v>100.49648072259467</v>
      </c>
      <c r="L16" s="6" t="s">
        <v>7</v>
      </c>
      <c r="U16" s="2">
        <v>12</v>
      </c>
      <c r="V16" s="2">
        <f t="shared" si="7"/>
        <v>3.7109375E-2</v>
      </c>
      <c r="W16" s="2">
        <f t="shared" si="0"/>
        <v>1.215374846457451E-4</v>
      </c>
      <c r="X16" s="2">
        <f t="shared" si="8"/>
        <v>3.7353515625E-2</v>
      </c>
      <c r="Y16" s="2">
        <f t="shared" si="1"/>
        <v>-1.2313520435973391E-4</v>
      </c>
      <c r="Z16" s="2">
        <f t="shared" si="3"/>
        <v>3.72314453125E-2</v>
      </c>
      <c r="AA16" s="2">
        <f t="shared" si="2"/>
        <v>-7.9843408163499108E-7</v>
      </c>
      <c r="AB16" s="2">
        <f t="shared" si="4"/>
        <v>-9.7039669937352312E-11</v>
      </c>
      <c r="AC16" s="2">
        <f t="shared" si="5"/>
        <v>9.831534380990109E-11</v>
      </c>
      <c r="AD16" s="2">
        <f t="shared" si="6"/>
        <v>2.44140625E-4</v>
      </c>
      <c r="AF16" s="2">
        <v>12</v>
      </c>
      <c r="AG16" s="2">
        <f t="shared" si="13"/>
        <v>2570.166015625</v>
      </c>
      <c r="AH16" s="2">
        <v>-1.245278932896781</v>
      </c>
      <c r="AI16" s="2">
        <f t="shared" si="14"/>
        <v>2575</v>
      </c>
      <c r="AJ16" s="2">
        <v>0.86087270542498118</v>
      </c>
      <c r="AK16" s="2">
        <f t="shared" si="9"/>
        <v>2572.5830078125</v>
      </c>
      <c r="AL16" s="2">
        <v>-0.19187291904177073</v>
      </c>
      <c r="AM16" s="2">
        <f t="shared" si="10"/>
        <v>0.23893530387612671</v>
      </c>
      <c r="AN16" s="2">
        <f t="shared" si="11"/>
        <v>-0.16517815891327756</v>
      </c>
      <c r="AO16" s="2">
        <f t="shared" si="12"/>
        <v>4.833984375</v>
      </c>
    </row>
    <row r="17" spans="2:41" x14ac:dyDescent="0.2">
      <c r="B17" s="33" t="s">
        <v>114</v>
      </c>
      <c r="C17" s="33"/>
      <c r="D17" s="33"/>
      <c r="F17" s="6" t="s">
        <v>132</v>
      </c>
      <c r="G17" s="6">
        <f>G16/$C$49</f>
        <v>0.47996220082961971</v>
      </c>
      <c r="H17" s="6" t="s">
        <v>130</v>
      </c>
      <c r="J17" s="13" t="s">
        <v>79</v>
      </c>
      <c r="K17" s="6">
        <f xml:space="preserve"> $C$54 * 0.1149 * K4</f>
        <v>54.008632530524451</v>
      </c>
      <c r="L17" s="6" t="s">
        <v>7</v>
      </c>
      <c r="N17" s="34" t="s">
        <v>26</v>
      </c>
      <c r="O17" s="36"/>
      <c r="P17" s="36"/>
      <c r="U17" s="2">
        <v>13</v>
      </c>
      <c r="V17" s="2">
        <f t="shared" si="7"/>
        <v>3.7109375E-2</v>
      </c>
      <c r="W17" s="2">
        <f t="shared" si="0"/>
        <v>1.215374846457451E-4</v>
      </c>
      <c r="X17" s="2">
        <f t="shared" si="8"/>
        <v>3.72314453125E-2</v>
      </c>
      <c r="Y17" s="2">
        <f t="shared" si="1"/>
        <v>-7.9843408163499108E-7</v>
      </c>
      <c r="Z17" s="2">
        <f t="shared" si="3"/>
        <v>3.717041015625E-2</v>
      </c>
      <c r="AA17" s="2">
        <f t="shared" si="2"/>
        <v>6.0369631738443896E-5</v>
      </c>
      <c r="AB17" s="2">
        <f t="shared" si="4"/>
        <v>7.3371731904804114E-9</v>
      </c>
      <c r="AC17" s="2">
        <f t="shared" si="5"/>
        <v>-4.8201171475727063E-11</v>
      </c>
      <c r="AD17" s="2">
        <f t="shared" si="6"/>
        <v>1.220703125E-4</v>
      </c>
      <c r="AF17" s="2">
        <v>13</v>
      </c>
      <c r="AG17" s="2">
        <f t="shared" si="13"/>
        <v>2572.5830078125</v>
      </c>
      <c r="AH17" s="2">
        <v>-0.19187291904177073</v>
      </c>
      <c r="AI17" s="2">
        <f t="shared" si="14"/>
        <v>2575</v>
      </c>
      <c r="AJ17" s="2">
        <v>0.86087270542498118</v>
      </c>
      <c r="AK17" s="2">
        <f t="shared" si="9"/>
        <v>2573.79150390625</v>
      </c>
      <c r="AL17" s="2">
        <v>0.3345874327940237</v>
      </c>
      <c r="AM17" s="2">
        <f t="shared" si="10"/>
        <v>-6.4198267404881618E-2</v>
      </c>
      <c r="AN17" s="2">
        <f t="shared" si="11"/>
        <v>0.28803718847059023</v>
      </c>
      <c r="AO17" s="2">
        <f t="shared" si="12"/>
        <v>2.4169921875</v>
      </c>
    </row>
    <row r="18" spans="2:41" x14ac:dyDescent="0.2">
      <c r="B18" s="6" t="s">
        <v>96</v>
      </c>
      <c r="C18" s="17">
        <v>4</v>
      </c>
      <c r="F18" s="9" t="s">
        <v>20</v>
      </c>
      <c r="G18" s="6">
        <f>O19</f>
        <v>6317.4258798676401</v>
      </c>
      <c r="H18" s="6" t="s">
        <v>21</v>
      </c>
      <c r="J18" s="14" t="s">
        <v>62</v>
      </c>
      <c r="K18" s="6">
        <f xml:space="preserve"> $C$55 * (14.86 * ($C$5*2.20462)^0.144 * ($C$26/(PI()*$C$27))^0.778 * ($C$26*3.28084)^0.383 * $C$25^0.455 * 0.453592)</f>
        <v>134.80871165936068</v>
      </c>
      <c r="L18" s="6" t="s">
        <v>7</v>
      </c>
      <c r="N18" s="6" t="s">
        <v>27</v>
      </c>
      <c r="O18" s="6">
        <f xml:space="preserve"> ACOS(O15)/PI()*180</f>
        <v>3.6992208965568585</v>
      </c>
      <c r="P18" s="6" t="s">
        <v>42</v>
      </c>
      <c r="U18" s="2">
        <v>14</v>
      </c>
      <c r="V18" s="2">
        <f t="shared" si="7"/>
        <v>3.717041015625E-2</v>
      </c>
      <c r="W18" s="2">
        <f t="shared" si="0"/>
        <v>6.0369631738443896E-5</v>
      </c>
      <c r="X18" s="2">
        <f t="shared" si="8"/>
        <v>3.72314453125E-2</v>
      </c>
      <c r="Y18" s="2">
        <f t="shared" si="1"/>
        <v>-7.9843408163499108E-7</v>
      </c>
      <c r="Z18" s="2">
        <f t="shared" si="3"/>
        <v>3.7200927734375E-2</v>
      </c>
      <c r="AA18" s="2">
        <f t="shared" si="2"/>
        <v>2.9785625440932606E-5</v>
      </c>
      <c r="AB18" s="2">
        <f t="shared" si="4"/>
        <v>1.7981472389683271E-9</v>
      </c>
      <c r="AC18" s="2">
        <f t="shared" si="5"/>
        <v>-2.378185849485485E-11</v>
      </c>
      <c r="AD18" s="2">
        <f t="shared" si="6"/>
        <v>6.103515625E-5</v>
      </c>
      <c r="AF18" s="2">
        <v>14</v>
      </c>
      <c r="AG18" s="2">
        <f t="shared" si="13"/>
        <v>2572.5830078125</v>
      </c>
      <c r="AH18" s="2">
        <v>-0.19187291904177073</v>
      </c>
      <c r="AI18" s="2">
        <f t="shared" si="14"/>
        <v>2573.79150390625</v>
      </c>
      <c r="AJ18" s="2">
        <v>0.3345874327940237</v>
      </c>
      <c r="AK18" s="2">
        <f t="shared" si="9"/>
        <v>2573.187255859375</v>
      </c>
      <c r="AL18" s="2">
        <v>7.1386324563036396E-2</v>
      </c>
      <c r="AM18" s="2">
        <f t="shared" si="10"/>
        <v>-1.3697102473573051E-2</v>
      </c>
      <c r="AN18" s="2">
        <f t="shared" si="11"/>
        <v>2.3884967072147302E-2</v>
      </c>
      <c r="AO18" s="2">
        <f t="shared" si="12"/>
        <v>1.20849609375</v>
      </c>
    </row>
    <row r="19" spans="2:41" x14ac:dyDescent="0.2">
      <c r="B19" t="s">
        <v>113</v>
      </c>
      <c r="C19" s="1">
        <v>3</v>
      </c>
      <c r="D19"/>
      <c r="F19" s="9" t="s">
        <v>99</v>
      </c>
      <c r="G19" s="6">
        <f xml:space="preserve"> 1/1000 * (O24 + O19 * (O26 * O29 + $C$8 * SIN(O18/180*PI())))</f>
        <v>53.716566652188824</v>
      </c>
      <c r="H19" s="6" t="s">
        <v>103</v>
      </c>
      <c r="J19" s="14" t="s">
        <v>63</v>
      </c>
      <c r="K19" s="6">
        <f xml:space="preserve"> $C$55 * C31 * $C$5</f>
        <v>28.817862160928058</v>
      </c>
      <c r="L19" s="6" t="s">
        <v>7</v>
      </c>
      <c r="N19" s="6" t="s">
        <v>20</v>
      </c>
      <c r="O19" s="6">
        <f xml:space="preserve"> O14 / $C$18</f>
        <v>6317.4258798676401</v>
      </c>
      <c r="P19" s="6" t="s">
        <v>21</v>
      </c>
      <c r="U19" s="2">
        <v>15</v>
      </c>
      <c r="V19" s="2">
        <f t="shared" si="7"/>
        <v>3.7200927734375E-2</v>
      </c>
      <c r="W19" s="2">
        <f t="shared" si="0"/>
        <v>2.9785625440932606E-5</v>
      </c>
      <c r="X19" s="2">
        <f t="shared" si="8"/>
        <v>3.72314453125E-2</v>
      </c>
      <c r="Y19" s="2">
        <f t="shared" si="1"/>
        <v>-7.9843408163499108E-7</v>
      </c>
      <c r="Z19" s="2">
        <f t="shared" si="3"/>
        <v>3.72161865234375E-2</v>
      </c>
      <c r="AA19" s="2">
        <f t="shared" si="2"/>
        <v>1.4493602332583955E-5</v>
      </c>
      <c r="AB19" s="2">
        <f t="shared" si="4"/>
        <v>4.3170101036817279E-10</v>
      </c>
      <c r="AC19" s="2">
        <f t="shared" si="5"/>
        <v>-1.1572186067999434E-11</v>
      </c>
      <c r="AD19" s="2">
        <f t="shared" si="6"/>
        <v>3.0517578125E-5</v>
      </c>
      <c r="AF19" s="2">
        <v>15</v>
      </c>
      <c r="AG19" s="2">
        <f t="shared" si="13"/>
        <v>2572.5830078125</v>
      </c>
      <c r="AH19" s="2">
        <v>-0.19187291904177073</v>
      </c>
      <c r="AI19" s="2">
        <f t="shared" si="14"/>
        <v>2573.187255859375</v>
      </c>
      <c r="AJ19" s="2">
        <v>7.1386324563036396E-2</v>
      </c>
      <c r="AK19" s="2">
        <f t="shared" si="9"/>
        <v>2572.8851318359375</v>
      </c>
      <c r="AL19" s="2">
        <v>-6.023603400058164E-2</v>
      </c>
      <c r="AM19" s="2">
        <f t="shared" si="10"/>
        <v>1.1557663675190949E-2</v>
      </c>
      <c r="AN19" s="2">
        <f t="shared" si="11"/>
        <v>-4.3000290735556168E-3</v>
      </c>
      <c r="AO19" s="2">
        <f t="shared" si="12"/>
        <v>0.604248046875</v>
      </c>
    </row>
    <row r="20" spans="2:41" x14ac:dyDescent="0.2">
      <c r="B20" s="6" t="s">
        <v>127</v>
      </c>
      <c r="C20" s="6">
        <f>$C$19*$C$10/PI()</f>
        <v>6.1401977044853208E-2</v>
      </c>
      <c r="F20" t="s">
        <v>188</v>
      </c>
      <c r="G20" s="6">
        <f xml:space="preserve"> (G18/$C$50*1000) / ($G$19*1000)</f>
        <v>12.000001424521594</v>
      </c>
      <c r="H20" s="6" t="s">
        <v>189</v>
      </c>
      <c r="J20" s="14" t="s">
        <v>64</v>
      </c>
      <c r="K20" s="6">
        <f xml:space="preserve"> $C$55 * 0</f>
        <v>0</v>
      </c>
      <c r="L20" s="6" t="s">
        <v>7</v>
      </c>
      <c r="N20" s="6" t="s">
        <v>28</v>
      </c>
      <c r="O20" s="6">
        <f>$C$7*2*PI()/60</f>
        <v>52.952210852280523</v>
      </c>
      <c r="P20" s="6" t="s">
        <v>29</v>
      </c>
      <c r="U20" s="2">
        <v>16</v>
      </c>
      <c r="V20" s="2">
        <f t="shared" si="7"/>
        <v>3.72161865234375E-2</v>
      </c>
      <c r="W20" s="2">
        <f t="shared" si="0"/>
        <v>1.4493602332583955E-5</v>
      </c>
      <c r="X20" s="2">
        <f t="shared" si="8"/>
        <v>3.72314453125E-2</v>
      </c>
      <c r="Y20" s="2">
        <f t="shared" si="1"/>
        <v>-7.9843408163499108E-7</v>
      </c>
      <c r="Z20" s="2">
        <f t="shared" si="3"/>
        <v>3.722381591796875E-2</v>
      </c>
      <c r="AA20" s="2">
        <f t="shared" si="2"/>
        <v>6.8475857886857172E-6</v>
      </c>
      <c r="AB20" s="2">
        <f t="shared" si="4"/>
        <v>9.9246185359464048E-11</v>
      </c>
      <c r="AC20" s="2">
        <f t="shared" si="5"/>
        <v>-5.4673458706060967E-12</v>
      </c>
      <c r="AD20" s="2">
        <f t="shared" si="6"/>
        <v>1.52587890625E-5</v>
      </c>
      <c r="AF20" s="2">
        <v>16</v>
      </c>
      <c r="AG20" s="2">
        <f t="shared" si="13"/>
        <v>2572.8851318359375</v>
      </c>
      <c r="AH20" s="2">
        <v>-6.023603400058164E-2</v>
      </c>
      <c r="AI20" s="2">
        <f t="shared" si="14"/>
        <v>2573.187255859375</v>
      </c>
      <c r="AJ20" s="2">
        <v>7.1386324563036396E-2</v>
      </c>
      <c r="AK20" s="2">
        <f t="shared" si="9"/>
        <v>2573.0361938476562</v>
      </c>
      <c r="AL20" s="2">
        <v>5.574559424758263E-3</v>
      </c>
      <c r="AM20" s="2">
        <f t="shared" si="10"/>
        <v>-3.3578935104800156E-4</v>
      </c>
      <c r="AN20" s="2">
        <f t="shared" si="11"/>
        <v>3.9794730839172682E-4</v>
      </c>
      <c r="AO20" s="2">
        <f t="shared" si="12"/>
        <v>0.3021240234375</v>
      </c>
    </row>
    <row r="21" spans="2:41" x14ac:dyDescent="0.2">
      <c r="B21" s="6" t="s">
        <v>128</v>
      </c>
      <c r="C21" s="17">
        <v>0.75</v>
      </c>
      <c r="F21" s="9" t="s">
        <v>190</v>
      </c>
      <c r="G21" s="6">
        <f>O22/ ($C$19*$C$10/PI())</f>
        <v>0.14000003111554413</v>
      </c>
      <c r="J21" s="14" t="s">
        <v>65</v>
      </c>
      <c r="K21" s="6">
        <f xml:space="preserve"> $C$55 * 0</f>
        <v>0</v>
      </c>
      <c r="L21" s="6" t="s">
        <v>7</v>
      </c>
      <c r="N21" s="6" t="s">
        <v>30</v>
      </c>
      <c r="O21" s="6">
        <f xml:space="preserve"> $C$8 * COS(O18/180*PI()) / (O20 * $C$9)</f>
        <v>0.41709223489868674</v>
      </c>
      <c r="U21" s="2">
        <v>17</v>
      </c>
      <c r="V21" s="2">
        <f t="shared" si="7"/>
        <v>3.722381591796875E-2</v>
      </c>
      <c r="W21" s="2">
        <f t="shared" si="0"/>
        <v>6.8475857886857172E-6</v>
      </c>
      <c r="X21" s="2">
        <f t="shared" si="8"/>
        <v>3.72314453125E-2</v>
      </c>
      <c r="Y21" s="2">
        <f t="shared" si="1"/>
        <v>-7.9843408163499108E-7</v>
      </c>
      <c r="Z21" s="2">
        <f t="shared" si="3"/>
        <v>3.7227630615234375E-2</v>
      </c>
      <c r="AA21" s="2">
        <f t="shared" si="2"/>
        <v>3.0245762693281719E-6</v>
      </c>
      <c r="AB21" s="2">
        <f t="shared" si="4"/>
        <v>2.0711045478647655E-11</v>
      </c>
      <c r="AC21" s="2">
        <f t="shared" si="5"/>
        <v>-2.4149247759360263E-12</v>
      </c>
      <c r="AD21" s="2">
        <f t="shared" si="6"/>
        <v>7.62939453125E-6</v>
      </c>
      <c r="AF21" s="2">
        <v>17</v>
      </c>
      <c r="AG21" s="2">
        <f t="shared" si="13"/>
        <v>2572.8851318359375</v>
      </c>
      <c r="AH21" s="2">
        <v>-6.023603400058164E-2</v>
      </c>
      <c r="AI21" s="2">
        <f t="shared" si="14"/>
        <v>2573.0361938476562</v>
      </c>
      <c r="AJ21" s="2">
        <v>5.574559424758263E-3</v>
      </c>
      <c r="AK21" s="2">
        <f t="shared" si="9"/>
        <v>2572.9606628417969</v>
      </c>
      <c r="AL21" s="2">
        <v>-2.7340491952827506E-2</v>
      </c>
      <c r="AM21" s="2">
        <f t="shared" si="10"/>
        <v>1.6468828028631463E-3</v>
      </c>
      <c r="AN21" s="2">
        <f t="shared" si="11"/>
        <v>-1.5241119709316202E-4</v>
      </c>
      <c r="AO21" s="2">
        <f t="shared" si="12"/>
        <v>0.15106201171875</v>
      </c>
    </row>
    <row r="22" spans="2:41" x14ac:dyDescent="0.2">
      <c r="B22" s="6" t="s">
        <v>192</v>
      </c>
      <c r="C22" s="17">
        <v>50</v>
      </c>
      <c r="D22" s="6" t="s">
        <v>60</v>
      </c>
      <c r="F22" s="26" t="s">
        <v>139</v>
      </c>
      <c r="G22" s="25">
        <f>$C$18 * G19</f>
        <v>214.8662666087553</v>
      </c>
      <c r="H22" s="25" t="s">
        <v>103</v>
      </c>
      <c r="J22" s="14" t="s">
        <v>116</v>
      </c>
      <c r="K22" s="6">
        <f>$C$55*(0.14*$G$12*1000/745.7)*0.453592</f>
        <v>26.685858105959635</v>
      </c>
      <c r="L22" s="6" t="s">
        <v>7</v>
      </c>
      <c r="N22" s="6" t="s">
        <v>31</v>
      </c>
      <c r="O22" s="6">
        <f xml:space="preserve"> O19 / ($C$47 * PI() * $C$9^2 * O20^2 * $C$9^2)</f>
        <v>8.5962786968353747E-3</v>
      </c>
      <c r="U22" s="2">
        <v>18</v>
      </c>
      <c r="V22" s="2">
        <f t="shared" si="7"/>
        <v>3.7227630615234375E-2</v>
      </c>
      <c r="W22" s="2">
        <f t="shared" si="0"/>
        <v>3.0245762693281719E-6</v>
      </c>
      <c r="X22" s="2">
        <f t="shared" si="8"/>
        <v>3.72314453125E-2</v>
      </c>
      <c r="Y22" s="2">
        <f t="shared" si="1"/>
        <v>-7.9843408163499108E-7</v>
      </c>
      <c r="Z22" s="2">
        <f t="shared" si="3"/>
        <v>3.7229537963867188E-2</v>
      </c>
      <c r="AA22" s="2">
        <f t="shared" si="2"/>
        <v>1.1130711977946905E-6</v>
      </c>
      <c r="AB22" s="2">
        <f t="shared" si="4"/>
        <v>3.3665687309225049E-12</v>
      </c>
      <c r="AC22" s="2">
        <f t="shared" si="5"/>
        <v>-8.8871397960556326E-13</v>
      </c>
      <c r="AD22" s="2">
        <f t="shared" si="6"/>
        <v>3.814697265625E-6</v>
      </c>
      <c r="AF22" s="2">
        <v>18</v>
      </c>
      <c r="AG22" s="2">
        <f t="shared" si="13"/>
        <v>2572.9606628417969</v>
      </c>
      <c r="AH22" s="2">
        <v>-2.7340491952827506E-2</v>
      </c>
      <c r="AI22" s="2">
        <f t="shared" si="14"/>
        <v>2573.0361938476562</v>
      </c>
      <c r="AJ22" s="2">
        <v>5.574559424758263E-3</v>
      </c>
      <c r="AK22" s="2">
        <f t="shared" si="9"/>
        <v>2572.9984283447266</v>
      </c>
      <c r="AL22" s="2">
        <v>-1.0873394603095221E-2</v>
      </c>
      <c r="AM22" s="2">
        <f t="shared" si="10"/>
        <v>2.9728395764584291E-4</v>
      </c>
      <c r="AN22" s="2">
        <f t="shared" si="11"/>
        <v>-6.0614384363800098E-5</v>
      </c>
      <c r="AO22" s="2">
        <f t="shared" si="12"/>
        <v>7.5531005859375E-2</v>
      </c>
    </row>
    <row r="23" spans="2:41" x14ac:dyDescent="0.2">
      <c r="J23" s="15" t="s">
        <v>66</v>
      </c>
      <c r="K23" s="6">
        <f xml:space="preserve"> $C$56 * (0.0268 * $C$5)</f>
        <v>55.165621850919422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3.7229537963867188E-2</v>
      </c>
      <c r="W23" s="2">
        <f t="shared" si="0"/>
        <v>1.1130711977946905E-6</v>
      </c>
      <c r="X23" s="2">
        <f t="shared" si="8"/>
        <v>3.72314453125E-2</v>
      </c>
      <c r="Y23" s="2">
        <f t="shared" si="1"/>
        <v>-7.9843408163499108E-7</v>
      </c>
      <c r="Z23" s="2">
        <f t="shared" si="3"/>
        <v>3.7230491638183594E-2</v>
      </c>
      <c r="AA23" s="2">
        <f t="shared" si="2"/>
        <v>1.5731858406947685E-7</v>
      </c>
      <c r="AB23" s="2">
        <f t="shared" si="4"/>
        <v>1.7510678480557733E-13</v>
      </c>
      <c r="AC23" s="2">
        <f t="shared" si="5"/>
        <v>-1.2560851919562988E-13</v>
      </c>
      <c r="AD23" s="2">
        <f t="shared" si="6"/>
        <v>1.9073486328125E-6</v>
      </c>
      <c r="AF23" s="2">
        <v>19</v>
      </c>
      <c r="AG23" s="2">
        <f t="shared" si="13"/>
        <v>2572.9984283447266</v>
      </c>
      <c r="AH23" s="2">
        <v>-1.0873394603095221E-2</v>
      </c>
      <c r="AI23" s="2">
        <f t="shared" si="14"/>
        <v>2573.0361938476562</v>
      </c>
      <c r="AJ23" s="2">
        <v>5.574559424758263E-3</v>
      </c>
      <c r="AK23" s="2">
        <f t="shared" si="9"/>
        <v>2573.0173110961914</v>
      </c>
      <c r="AL23" s="2">
        <v>-2.6494267242469505E-3</v>
      </c>
      <c r="AM23" s="2">
        <f t="shared" si="10"/>
        <v>2.8808262244723041E-5</v>
      </c>
      <c r="AN23" s="2">
        <f t="shared" si="11"/>
        <v>-1.4769386715857249E-5</v>
      </c>
      <c r="AO23" s="2">
        <f t="shared" si="12"/>
        <v>3.77655029296875E-2</v>
      </c>
    </row>
    <row r="24" spans="2:41" x14ac:dyDescent="0.2">
      <c r="B24" s="33" t="s">
        <v>106</v>
      </c>
      <c r="C24" s="33"/>
      <c r="D24" s="33"/>
      <c r="F24" s="34" t="s">
        <v>83</v>
      </c>
      <c r="G24" s="35"/>
      <c r="H24" s="35"/>
      <c r="J24" s="15" t="s">
        <v>67</v>
      </c>
      <c r="K24" s="6">
        <f xml:space="preserve"> $C$56 * (11.5 * ($C$5*2.20462/1000)^0.4 * 0.453592)</f>
        <v>8.3553415107641751</v>
      </c>
      <c r="L24" s="6" t="s">
        <v>7</v>
      </c>
      <c r="N24" s="6" t="s">
        <v>32</v>
      </c>
      <c r="O24" s="6">
        <f xml:space="preserve"> ($C$20 * O23 / 8) * (1 + 4.65 *O21^ 2) * ( PI() * $C$47 * O20^3 *$C$9^ 5)</f>
        <v>14501.896992912874</v>
      </c>
      <c r="P24" s="6" t="s">
        <v>19</v>
      </c>
      <c r="U24" s="2">
        <v>20</v>
      </c>
      <c r="V24" s="2">
        <f t="shared" si="7"/>
        <v>3.7230491638183594E-2</v>
      </c>
      <c r="W24" s="2">
        <f t="shared" si="0"/>
        <v>1.5731858406947685E-7</v>
      </c>
      <c r="X24" s="2">
        <f t="shared" si="8"/>
        <v>3.72314453125E-2</v>
      </c>
      <c r="Y24" s="2">
        <f t="shared" si="1"/>
        <v>-7.9843408163499108E-7</v>
      </c>
      <c r="Z24" s="2">
        <f t="shared" si="3"/>
        <v>3.7230968475341797E-2</v>
      </c>
      <c r="AA24" s="2">
        <f t="shared" si="2"/>
        <v>-3.2055774228795242E-7</v>
      </c>
      <c r="AB24" s="2">
        <f t="shared" si="4"/>
        <v>-5.0429690129248938E-14</v>
      </c>
      <c r="AC24" s="2">
        <f t="shared" si="5"/>
        <v>2.5594422657466743E-13</v>
      </c>
      <c r="AD24" s="2">
        <f t="shared" si="6"/>
        <v>9.5367431640625E-7</v>
      </c>
      <c r="AF24" s="2">
        <v>20</v>
      </c>
      <c r="AG24" s="2">
        <f t="shared" si="13"/>
        <v>2573.0173110961914</v>
      </c>
      <c r="AH24" s="2">
        <v>-2.6494267242469505E-3</v>
      </c>
      <c r="AI24" s="2">
        <f t="shared" si="14"/>
        <v>2573.0361938476562</v>
      </c>
      <c r="AJ24" s="2">
        <v>5.574559424758263E-3</v>
      </c>
      <c r="AK24" s="2">
        <f t="shared" si="9"/>
        <v>2573.0267524719238</v>
      </c>
      <c r="AL24" s="2">
        <v>1.4529556037814473E-3</v>
      </c>
      <c r="AM24" s="2">
        <f t="shared" si="10"/>
        <v>-3.8494994058029301E-6</v>
      </c>
      <c r="AN24" s="2">
        <f t="shared" si="11"/>
        <v>8.0995873548151989E-6</v>
      </c>
      <c r="AO24" s="2">
        <f t="shared" si="12"/>
        <v>1.888275146484375E-2</v>
      </c>
    </row>
    <row r="25" spans="2:41" x14ac:dyDescent="0.2">
      <c r="B25" t="s">
        <v>107</v>
      </c>
      <c r="C25" s="1">
        <v>6</v>
      </c>
      <c r="D25"/>
      <c r="F25" t="s">
        <v>87</v>
      </c>
      <c r="G25" s="1">
        <f>300*0.3048/60</f>
        <v>1.524</v>
      </c>
      <c r="H25" t="s">
        <v>10</v>
      </c>
      <c r="J25" s="15" t="s">
        <v>68</v>
      </c>
      <c r="K25" s="6">
        <f xml:space="preserve"> $C$56 * (8 * ($C$5/1000))</f>
        <v>16.467349806244602</v>
      </c>
      <c r="L25" s="6" t="s">
        <v>7</v>
      </c>
      <c r="N25" s="6" t="s">
        <v>33</v>
      </c>
      <c r="O25" s="18">
        <f>Z34</f>
        <v>3.7230648566037416E-2</v>
      </c>
      <c r="U25" s="2">
        <v>21</v>
      </c>
      <c r="V25" s="2">
        <f t="shared" si="7"/>
        <v>3.7230491638183594E-2</v>
      </c>
      <c r="W25" s="2">
        <f t="shared" si="0"/>
        <v>1.5731858406947685E-7</v>
      </c>
      <c r="X25" s="2">
        <f t="shared" si="8"/>
        <v>3.7230968475341797E-2</v>
      </c>
      <c r="Y25" s="2">
        <f t="shared" si="1"/>
        <v>-3.2055774228795242E-7</v>
      </c>
      <c r="Z25" s="2">
        <f t="shared" si="3"/>
        <v>3.7230730056762695E-2</v>
      </c>
      <c r="AA25" s="2">
        <f t="shared" si="2"/>
        <v>-8.161957748553661E-8</v>
      </c>
      <c r="AB25" s="2">
        <f t="shared" si="4"/>
        <v>-1.2840276362373572E-14</v>
      </c>
      <c r="AC25" s="2">
        <f t="shared" si="5"/>
        <v>2.6163787485260208E-14</v>
      </c>
      <c r="AD25" s="2">
        <f t="shared" si="6"/>
        <v>4.76837158203125E-7</v>
      </c>
      <c r="AF25" s="2">
        <v>21</v>
      </c>
      <c r="AG25" s="2">
        <f t="shared" si="13"/>
        <v>2573.0173110961914</v>
      </c>
      <c r="AH25" s="2">
        <v>-2.6494267242469505E-3</v>
      </c>
      <c r="AI25" s="2">
        <f t="shared" si="14"/>
        <v>2573.0267524719238</v>
      </c>
      <c r="AJ25" s="2">
        <v>1.4529556037814473E-3</v>
      </c>
      <c r="AK25" s="2">
        <f t="shared" si="9"/>
        <v>2573.0220317840576</v>
      </c>
      <c r="AL25" s="2">
        <v>-6.0784456809415133E-4</v>
      </c>
      <c r="AM25" s="2">
        <f t="shared" si="10"/>
        <v>1.6104396428969898E-6</v>
      </c>
      <c r="AN25" s="2">
        <f t="shared" si="11"/>
        <v>-8.8317117144051071E-7</v>
      </c>
      <c r="AO25" s="2">
        <f t="shared" si="12"/>
        <v>9.441375732421875E-3</v>
      </c>
    </row>
    <row r="26" spans="2:41" x14ac:dyDescent="0.2">
      <c r="B26" t="s">
        <v>108</v>
      </c>
      <c r="C26" s="1">
        <v>6.4008000000000003</v>
      </c>
      <c r="D26" t="s">
        <v>8</v>
      </c>
      <c r="F26" t="s">
        <v>93</v>
      </c>
      <c r="G26" s="1">
        <f>1000*0.3048</f>
        <v>304.8</v>
      </c>
      <c r="H26" t="s">
        <v>8</v>
      </c>
      <c r="J26" s="15" t="s">
        <v>69</v>
      </c>
      <c r="K26" s="6">
        <f xml:space="preserve"> $C$56 * (13 * ($C$5*2.20462/1000)^1.3 * 0.453592)</f>
        <v>45.041147838723987</v>
      </c>
      <c r="L26" s="6" t="s">
        <v>7</v>
      </c>
      <c r="N26" s="6" t="s">
        <v>34</v>
      </c>
      <c r="O26" s="6">
        <f xml:space="preserve"> O20 * $C$9 * O25 - $C$8 * SIN(O18/180*PI())</f>
        <v>1.6391295951049125</v>
      </c>
      <c r="P26" s="6" t="s">
        <v>10</v>
      </c>
      <c r="U26" s="2">
        <v>22</v>
      </c>
      <c r="V26" s="2">
        <f t="shared" si="7"/>
        <v>3.7230491638183594E-2</v>
      </c>
      <c r="W26" s="2">
        <f t="shared" si="0"/>
        <v>1.5731858406947685E-7</v>
      </c>
      <c r="X26" s="2">
        <f t="shared" si="8"/>
        <v>3.7230730056762695E-2</v>
      </c>
      <c r="Y26" s="2">
        <f t="shared" si="1"/>
        <v>-8.161957748553661E-8</v>
      </c>
      <c r="Z26" s="2">
        <f t="shared" si="3"/>
        <v>3.7230610847473145E-2</v>
      </c>
      <c r="AA26" s="2">
        <f t="shared" si="2"/>
        <v>3.7849503697895415E-8</v>
      </c>
      <c r="AB26" s="2">
        <f t="shared" si="4"/>
        <v>5.9544303294853345E-15</v>
      </c>
      <c r="AC26" s="2">
        <f t="shared" si="5"/>
        <v>-3.0892604998594794E-15</v>
      </c>
      <c r="AD26" s="2">
        <f t="shared" si="6"/>
        <v>2.384185791015625E-7</v>
      </c>
      <c r="AF26" s="2">
        <v>22</v>
      </c>
      <c r="AG26" s="2">
        <f t="shared" si="13"/>
        <v>2573.0220317840576</v>
      </c>
      <c r="AH26" s="2">
        <v>-6.0784456809415133E-4</v>
      </c>
      <c r="AI26" s="2">
        <f t="shared" si="14"/>
        <v>2573.0267524719238</v>
      </c>
      <c r="AJ26" s="2">
        <v>1.4529556037814473E-3</v>
      </c>
      <c r="AK26" s="2">
        <f t="shared" si="9"/>
        <v>2573.0243921279907</v>
      </c>
      <c r="AL26" s="2">
        <v>4.3216382709942991E-4</v>
      </c>
      <c r="AM26" s="2">
        <f t="shared" si="10"/>
        <v>-2.6268843482916846E-7</v>
      </c>
      <c r="AN26" s="2">
        <f t="shared" si="11"/>
        <v>6.2791485433575321E-7</v>
      </c>
      <c r="AO26" s="2">
        <f t="shared" si="12"/>
        <v>4.7206878662109375E-3</v>
      </c>
    </row>
    <row r="27" spans="2:41" x14ac:dyDescent="0.2">
      <c r="B27" t="s">
        <v>109</v>
      </c>
      <c r="C27" s="1">
        <v>2.0560284000000002</v>
      </c>
      <c r="D27" t="s">
        <v>8</v>
      </c>
      <c r="F27" t="s">
        <v>92</v>
      </c>
      <c r="G27" s="8">
        <f>$G$26/$G$25</f>
        <v>200</v>
      </c>
      <c r="H27" t="s">
        <v>14</v>
      </c>
      <c r="J27" s="10" t="s">
        <v>56</v>
      </c>
      <c r="K27" s="10">
        <f>$C$5 - $C$13 - SUM(K13:K26)</f>
        <v>-2.4751898308750242E-9</v>
      </c>
      <c r="L27" s="10" t="s">
        <v>7</v>
      </c>
      <c r="N27" s="6" t="s">
        <v>35</v>
      </c>
      <c r="O27" s="6">
        <f xml:space="preserve"> 1/$C$21 - O24 * SQRT( (2*$C$47*PI()*$C$9^2) / O19^3 )</f>
        <v>1.1140749616181453</v>
      </c>
      <c r="U27" s="2">
        <v>23</v>
      </c>
      <c r="V27" s="2">
        <f t="shared" si="7"/>
        <v>3.7230610847473145E-2</v>
      </c>
      <c r="W27" s="2">
        <f t="shared" si="0"/>
        <v>3.7849503697895415E-8</v>
      </c>
      <c r="X27" s="2">
        <f t="shared" si="8"/>
        <v>3.7230730056762695E-2</v>
      </c>
      <c r="Y27" s="2">
        <f t="shared" si="1"/>
        <v>-8.161957748553661E-8</v>
      </c>
      <c r="Z27" s="2">
        <f t="shared" si="3"/>
        <v>3.723067045211792E-2</v>
      </c>
      <c r="AA27" s="2">
        <f t="shared" si="2"/>
        <v>-2.1885036796676083E-8</v>
      </c>
      <c r="AB27" s="2">
        <f t="shared" si="4"/>
        <v>-8.2833778116436863E-16</v>
      </c>
      <c r="AC27" s="2">
        <f t="shared" si="5"/>
        <v>1.7862474566001233E-15</v>
      </c>
      <c r="AD27" s="2">
        <f t="shared" si="6"/>
        <v>1.1920928955078125E-7</v>
      </c>
      <c r="AF27" s="2">
        <v>23</v>
      </c>
      <c r="AG27" s="2">
        <f t="shared" si="13"/>
        <v>2573.0220317840576</v>
      </c>
      <c r="AH27" s="2">
        <v>-6.0784456809415133E-4</v>
      </c>
      <c r="AI27" s="2">
        <f t="shared" si="14"/>
        <v>2573.0243921279907</v>
      </c>
      <c r="AJ27" s="2">
        <v>4.3216382709942991E-4</v>
      </c>
      <c r="AK27" s="2">
        <f t="shared" si="9"/>
        <v>2573.0232119560242</v>
      </c>
      <c r="AL27" s="2">
        <v>-7.8231961197161581E-5</v>
      </c>
      <c r="AM27" s="2">
        <f t="shared" si="10"/>
        <v>4.7552872665047086E-8</v>
      </c>
      <c r="AN27" s="2">
        <f t="shared" si="11"/>
        <v>-3.3809023752459448E-8</v>
      </c>
      <c r="AO27" s="2">
        <f t="shared" si="12"/>
        <v>2.3603439331054688E-3</v>
      </c>
    </row>
    <row r="28" spans="2:41" x14ac:dyDescent="0.2">
      <c r="F28" t="s">
        <v>20</v>
      </c>
      <c r="G28" s="6">
        <f xml:space="preserve"> $C$5 * $C$44 / $C$18</f>
        <v>6304.8665659410854</v>
      </c>
      <c r="H28" t="s">
        <v>21</v>
      </c>
      <c r="J28" s="6" t="s">
        <v>57</v>
      </c>
      <c r="K28" s="4" t="str">
        <f>IF(ABS(K27)&lt;1, "TRUE", "FALSE")</f>
        <v>TRUE</v>
      </c>
      <c r="N28" s="6" t="s">
        <v>36</v>
      </c>
      <c r="O28" s="17">
        <v>1.1499999999999999</v>
      </c>
      <c r="U28" s="2">
        <v>24</v>
      </c>
      <c r="V28" s="2">
        <f t="shared" si="7"/>
        <v>3.7230610847473145E-2</v>
      </c>
      <c r="W28" s="2">
        <f t="shared" si="0"/>
        <v>3.7849503697895415E-8</v>
      </c>
      <c r="X28" s="2">
        <f t="shared" si="8"/>
        <v>3.723067045211792E-2</v>
      </c>
      <c r="Y28" s="2">
        <f t="shared" si="1"/>
        <v>-2.1885036796676083E-8</v>
      </c>
      <c r="Z28" s="2">
        <f t="shared" si="3"/>
        <v>3.7230640649795532E-2</v>
      </c>
      <c r="AA28" s="2">
        <f t="shared" si="2"/>
        <v>7.9822334783652416E-9</v>
      </c>
      <c r="AB28" s="2">
        <f t="shared" si="4"/>
        <v>3.0212357555684978E-16</v>
      </c>
      <c r="AC28" s="2">
        <f t="shared" si="5"/>
        <v>-1.7469147339368303E-16</v>
      </c>
      <c r="AD28" s="2">
        <f t="shared" si="6"/>
        <v>5.9604644775390625E-8</v>
      </c>
      <c r="AF28" s="2">
        <v>24</v>
      </c>
      <c r="AG28" s="2">
        <f t="shared" si="13"/>
        <v>2573.0232119560242</v>
      </c>
      <c r="AH28" s="2">
        <v>-7.8231961197161581E-5</v>
      </c>
      <c r="AI28" s="2">
        <f t="shared" si="14"/>
        <v>2573.0243921279907</v>
      </c>
      <c r="AJ28" s="2">
        <v>4.3216382709942991E-4</v>
      </c>
      <c r="AK28" s="2">
        <f t="shared" si="9"/>
        <v>2573.0238020420074</v>
      </c>
      <c r="AL28" s="2">
        <v>1.7696592476568185E-4</v>
      </c>
      <c r="AM28" s="2">
        <f t="shared" si="10"/>
        <v>-1.3844391359488638E-8</v>
      </c>
      <c r="AN28" s="2">
        <f t="shared" si="11"/>
        <v>7.6478271312926855E-8</v>
      </c>
      <c r="AO28" s="2">
        <f t="shared" si="12"/>
        <v>1.1801719665527344E-3</v>
      </c>
    </row>
    <row r="29" spans="2:41" x14ac:dyDescent="0.2">
      <c r="B29" s="33" t="s">
        <v>110</v>
      </c>
      <c r="C29" s="33"/>
      <c r="D29" s="33"/>
      <c r="F29" t="s">
        <v>99</v>
      </c>
      <c r="G29" s="6">
        <f>G31/$C$18</f>
        <v>86.594987358957795</v>
      </c>
      <c r="H29" t="s">
        <v>19</v>
      </c>
      <c r="N29" s="6" t="s">
        <v>37</v>
      </c>
      <c r="O29" s="6">
        <f xml:space="preserve"> 1/$C$53 * LN( EXP($C$53 * O27) + EXP($C$53 * O28) )</f>
        <v>1.1597646099067711</v>
      </c>
      <c r="U29" s="2">
        <v>25</v>
      </c>
      <c r="V29" s="2">
        <f t="shared" si="7"/>
        <v>3.7230640649795532E-2</v>
      </c>
      <c r="W29" s="2">
        <f t="shared" si="0"/>
        <v>7.9822334783652416E-9</v>
      </c>
      <c r="X29" s="2">
        <f t="shared" si="8"/>
        <v>3.723067045211792E-2</v>
      </c>
      <c r="Y29" s="2">
        <f t="shared" si="1"/>
        <v>-2.1885036796676083E-8</v>
      </c>
      <c r="Z29" s="2">
        <f t="shared" si="3"/>
        <v>3.7230655550956726E-2</v>
      </c>
      <c r="AA29" s="2">
        <f t="shared" si="2"/>
        <v>-6.9514016487470798E-9</v>
      </c>
      <c r="AB29" s="2">
        <f t="shared" si="4"/>
        <v>-5.5487710962192279E-17</v>
      </c>
      <c r="AC29" s="2">
        <f t="shared" si="5"/>
        <v>1.5213168087130462E-16</v>
      </c>
      <c r="AD29" s="2">
        <f t="shared" si="6"/>
        <v>2.9802322387695312E-8</v>
      </c>
      <c r="AF29" s="2">
        <v>25</v>
      </c>
      <c r="AG29" s="2">
        <f t="shared" si="13"/>
        <v>2573.0232119560242</v>
      </c>
      <c r="AH29" s="2">
        <v>-7.8231961197161581E-5</v>
      </c>
      <c r="AI29" s="2">
        <f t="shared" si="14"/>
        <v>2573.0238020420074</v>
      </c>
      <c r="AJ29" s="2">
        <v>1.7696592476568185E-4</v>
      </c>
      <c r="AK29" s="2">
        <f t="shared" si="9"/>
        <v>2573.0235069990158</v>
      </c>
      <c r="AL29" s="2">
        <v>4.9366981329512782E-5</v>
      </c>
      <c r="AM29" s="2">
        <f t="shared" si="10"/>
        <v>-3.8620757677914442E-9</v>
      </c>
      <c r="AN29" s="2">
        <f t="shared" si="11"/>
        <v>8.7362735038673795E-9</v>
      </c>
      <c r="AO29" s="2">
        <f t="shared" si="12"/>
        <v>5.9008598327636719E-4</v>
      </c>
    </row>
    <row r="30" spans="2:41" x14ac:dyDescent="0.2">
      <c r="B30" s="6" t="s">
        <v>123</v>
      </c>
      <c r="C30" s="21" t="s">
        <v>174</v>
      </c>
      <c r="F30" t="s">
        <v>188</v>
      </c>
      <c r="G30" s="6">
        <f xml:space="preserve"> (G28/$C$44*1000) / (G29*1000)</f>
        <v>7.4283266436655744</v>
      </c>
      <c r="H30" s="6" t="s">
        <v>189</v>
      </c>
      <c r="J30" s="31" t="s">
        <v>115</v>
      </c>
      <c r="K30" s="31"/>
      <c r="L30" s="31"/>
      <c r="U30" s="2">
        <v>26</v>
      </c>
      <c r="V30" s="2">
        <f t="shared" si="7"/>
        <v>3.7230640649795532E-2</v>
      </c>
      <c r="W30" s="2">
        <f t="shared" si="0"/>
        <v>7.9822334783652416E-9</v>
      </c>
      <c r="X30" s="2">
        <f t="shared" si="8"/>
        <v>3.7230655550956726E-2</v>
      </c>
      <c r="Y30" s="2">
        <f t="shared" si="1"/>
        <v>-6.9514016487470798E-9</v>
      </c>
      <c r="Z30" s="2">
        <f t="shared" si="3"/>
        <v>3.7230648100376129E-2</v>
      </c>
      <c r="AA30" s="2">
        <f t="shared" si="2"/>
        <v>5.1541591827852784E-10</v>
      </c>
      <c r="AB30" s="2">
        <f t="shared" si="4"/>
        <v>4.1141701981652283E-18</v>
      </c>
      <c r="AC30" s="2">
        <f t="shared" si="5"/>
        <v>-3.5828630641118482E-18</v>
      </c>
      <c r="AD30" s="2">
        <f t="shared" si="6"/>
        <v>1.4901161193847656E-8</v>
      </c>
      <c r="AF30" s="2">
        <v>26</v>
      </c>
      <c r="AG30" s="2">
        <f t="shared" si="13"/>
        <v>2573.0232119560242</v>
      </c>
      <c r="AH30" s="2">
        <v>-7.8231961197161581E-5</v>
      </c>
      <c r="AI30" s="2">
        <f t="shared" si="14"/>
        <v>2573.0235069990158</v>
      </c>
      <c r="AJ30" s="2">
        <v>4.9366981329512782E-5</v>
      </c>
      <c r="AK30" s="2">
        <f t="shared" si="9"/>
        <v>2573.02335947752</v>
      </c>
      <c r="AL30" s="2">
        <v>-1.4432488114834996E-5</v>
      </c>
      <c r="AM30" s="2">
        <f t="shared" si="10"/>
        <v>1.1290818501782671E-9</v>
      </c>
      <c r="AN30" s="2">
        <f t="shared" si="11"/>
        <v>-7.1248837130347438E-10</v>
      </c>
      <c r="AO30" s="2">
        <f t="shared" si="12"/>
        <v>2.9504299163818359E-4</v>
      </c>
    </row>
    <row r="31" spans="2:41" x14ac:dyDescent="0.2">
      <c r="B31" s="6" t="s">
        <v>125</v>
      </c>
      <c r="C31" s="6">
        <f>IF(C30="wheeled",0.0325,0.014)</f>
        <v>1.4E-2</v>
      </c>
      <c r="F31" s="24" t="s">
        <v>85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346.37994943583118</v>
      </c>
      <c r="H31" s="24" t="s">
        <v>103</v>
      </c>
      <c r="J31" s="6" t="s">
        <v>59</v>
      </c>
      <c r="K31" s="6">
        <f>ROUND($C$13,2)</f>
        <v>600</v>
      </c>
      <c r="L31" s="6" t="s">
        <v>7</v>
      </c>
      <c r="U31" s="2">
        <v>27</v>
      </c>
      <c r="V31" s="2">
        <f t="shared" si="7"/>
        <v>3.7230648100376129E-2</v>
      </c>
      <c r="W31" s="2">
        <f t="shared" si="0"/>
        <v>5.1541591827852784E-10</v>
      </c>
      <c r="X31" s="2">
        <f t="shared" si="8"/>
        <v>3.7230655550956726E-2</v>
      </c>
      <c r="Y31" s="2">
        <f t="shared" si="1"/>
        <v>-6.9514016487470798E-9</v>
      </c>
      <c r="Z31" s="2">
        <f t="shared" si="3"/>
        <v>3.7230651825666428E-2</v>
      </c>
      <c r="AA31" s="2">
        <f t="shared" si="2"/>
        <v>-3.2179928721731699E-9</v>
      </c>
      <c r="AB31" s="2">
        <f t="shared" si="4"/>
        <v>-1.6586047512248916E-18</v>
      </c>
      <c r="AC31" s="2">
        <f t="shared" si="5"/>
        <v>2.2369560957280924E-17</v>
      </c>
      <c r="AD31" s="2">
        <f t="shared" si="6"/>
        <v>7.4505805969238281E-9</v>
      </c>
      <c r="AF31" s="2">
        <v>27</v>
      </c>
      <c r="AG31" s="2">
        <f t="shared" si="13"/>
        <v>2573.02335947752</v>
      </c>
      <c r="AH31" s="2">
        <v>-1.4432488114834996E-5</v>
      </c>
      <c r="AI31" s="2">
        <f t="shared" si="14"/>
        <v>2573.0235069990158</v>
      </c>
      <c r="AJ31" s="2">
        <v>4.9366981329512782E-5</v>
      </c>
      <c r="AK31" s="2">
        <f t="shared" si="9"/>
        <v>2573.0234332382679</v>
      </c>
      <c r="AL31" s="2">
        <v>7.8587963798781857E-6</v>
      </c>
      <c r="AM31" s="2">
        <f t="shared" si="10"/>
        <v>-1.1342198534950021E-10</v>
      </c>
      <c r="AN31" s="2">
        <f t="shared" si="11"/>
        <v>3.8796505415788904E-10</v>
      </c>
      <c r="AO31" s="2">
        <f t="shared" si="12"/>
        <v>1.475214958190918E-4</v>
      </c>
    </row>
    <row r="32" spans="2:41" x14ac:dyDescent="0.2">
      <c r="B32" t="s">
        <v>175</v>
      </c>
      <c r="C32" s="1">
        <v>2.8540374719999999</v>
      </c>
      <c r="D32" t="s">
        <v>8</v>
      </c>
      <c r="J32" s="11" t="s">
        <v>54</v>
      </c>
      <c r="K32" s="6">
        <f>ROUND(K13,2)</f>
        <v>1137.31</v>
      </c>
      <c r="L32" s="6" t="s">
        <v>7</v>
      </c>
      <c r="U32" s="2">
        <v>28</v>
      </c>
      <c r="V32" s="2">
        <f t="shared" si="7"/>
        <v>3.7230648100376129E-2</v>
      </c>
      <c r="W32" s="2">
        <f t="shared" si="0"/>
        <v>5.1541591827852784E-10</v>
      </c>
      <c r="X32" s="2">
        <f t="shared" si="8"/>
        <v>3.7230651825666428E-2</v>
      </c>
      <c r="Y32" s="2">
        <f t="shared" si="1"/>
        <v>-3.2179928721731699E-9</v>
      </c>
      <c r="Z32" s="2">
        <f t="shared" si="3"/>
        <v>3.7230649963021278E-2</v>
      </c>
      <c r="AA32" s="2">
        <f t="shared" si="2"/>
        <v>-1.351288476947321E-9</v>
      </c>
      <c r="AB32" s="2">
        <f t="shared" si="4"/>
        <v>-6.9647559120499676E-19</v>
      </c>
      <c r="AC32" s="2">
        <f t="shared" si="5"/>
        <v>4.3484366870662178E-18</v>
      </c>
      <c r="AD32" s="2">
        <f t="shared" si="6"/>
        <v>3.7252902984619141E-9</v>
      </c>
      <c r="AF32" s="2">
        <v>28</v>
      </c>
      <c r="AG32" s="2">
        <f t="shared" si="13"/>
        <v>2573.02335947752</v>
      </c>
      <c r="AH32" s="2">
        <v>-1.4432488114834996E-5</v>
      </c>
      <c r="AI32" s="2">
        <f t="shared" si="14"/>
        <v>2573.0234332382679</v>
      </c>
      <c r="AJ32" s="2">
        <v>7.8587963798781857E-6</v>
      </c>
      <c r="AK32" s="2">
        <f t="shared" si="9"/>
        <v>2573.0233963578939</v>
      </c>
      <c r="AL32" s="2">
        <v>-3.2868465495994315E-6</v>
      </c>
      <c r="AM32" s="2">
        <f t="shared" si="10"/>
        <v>4.7437373762380209E-11</v>
      </c>
      <c r="AN32" s="2">
        <f t="shared" si="11"/>
        <v>-2.5830657765207117E-11</v>
      </c>
      <c r="AO32" s="2">
        <f t="shared" si="12"/>
        <v>7.3760747909545898E-5</v>
      </c>
    </row>
    <row r="33" spans="2:41" x14ac:dyDescent="0.2">
      <c r="B33" t="s">
        <v>176</v>
      </c>
      <c r="C33" s="1">
        <f>(0.750222528+0.849998808)/2</f>
        <v>0.80011066800000008</v>
      </c>
      <c r="D33"/>
      <c r="F33" s="34" t="s">
        <v>193</v>
      </c>
      <c r="G33" s="35"/>
      <c r="H33" s="35"/>
      <c r="J33" s="19" t="s">
        <v>80</v>
      </c>
      <c r="K33" s="6">
        <f>ROUND(SUM(K14:K17),2)</f>
        <v>520.37</v>
      </c>
      <c r="L33" s="6" t="s">
        <v>7</v>
      </c>
      <c r="U33" s="2">
        <v>29</v>
      </c>
      <c r="V33" s="2">
        <f t="shared" si="7"/>
        <v>3.7230648100376129E-2</v>
      </c>
      <c r="W33" s="2">
        <f t="shared" si="0"/>
        <v>5.1541591827852784E-10</v>
      </c>
      <c r="X33" s="2">
        <f t="shared" si="8"/>
        <v>3.7230649963021278E-2</v>
      </c>
      <c r="Y33" s="2">
        <f t="shared" si="1"/>
        <v>-1.351288476947321E-9</v>
      </c>
      <c r="Z33" s="2">
        <f t="shared" si="3"/>
        <v>3.7230649031698704E-2</v>
      </c>
      <c r="AA33" s="2">
        <f t="shared" si="2"/>
        <v>-4.1793628280384354E-10</v>
      </c>
      <c r="AB33" s="2">
        <f t="shared" si="4"/>
        <v>-2.1541101298325752E-19</v>
      </c>
      <c r="AC33" s="2">
        <f t="shared" si="5"/>
        <v>5.6475248305103057E-19</v>
      </c>
      <c r="AD33" s="2">
        <f t="shared" si="6"/>
        <v>1.862645149230957E-9</v>
      </c>
      <c r="AF33" s="2">
        <v>29</v>
      </c>
      <c r="AG33" s="2">
        <f t="shared" si="13"/>
        <v>2573.0233963578939</v>
      </c>
      <c r="AH33" s="2">
        <v>-3.2868465495994315E-6</v>
      </c>
      <c r="AI33" s="2">
        <f t="shared" si="14"/>
        <v>2573.0234332382679</v>
      </c>
      <c r="AJ33" s="2">
        <v>7.8587963798781857E-6</v>
      </c>
      <c r="AK33" s="2">
        <f t="shared" si="9"/>
        <v>2573.0234147980809</v>
      </c>
      <c r="AL33" s="2">
        <v>2.2859760520077543E-6</v>
      </c>
      <c r="AM33" s="2">
        <f t="shared" si="10"/>
        <v>-7.5136524990086178E-12</v>
      </c>
      <c r="AN33" s="2">
        <f t="shared" si="11"/>
        <v>1.7965020322006767E-11</v>
      </c>
      <c r="AO33" s="2">
        <f t="shared" si="12"/>
        <v>3.6880373954772949E-5</v>
      </c>
    </row>
    <row r="34" spans="2:41" x14ac:dyDescent="0.2">
      <c r="F34" s="9" t="s">
        <v>194</v>
      </c>
      <c r="G34" s="17">
        <f>20*60</f>
        <v>1200</v>
      </c>
      <c r="H34" s="6" t="s">
        <v>14</v>
      </c>
      <c r="J34" s="20" t="s">
        <v>71</v>
      </c>
      <c r="K34" s="6">
        <f>ROUND(SUM(K18:K22),2)</f>
        <v>190.31</v>
      </c>
      <c r="L34" s="6" t="s">
        <v>7</v>
      </c>
      <c r="U34" s="2">
        <v>30</v>
      </c>
      <c r="V34" s="2">
        <f t="shared" si="7"/>
        <v>3.7230648100376129E-2</v>
      </c>
      <c r="W34" s="2">
        <f t="shared" si="0"/>
        <v>5.1541591827852784E-10</v>
      </c>
      <c r="X34" s="2">
        <f t="shared" si="8"/>
        <v>3.7230649031698704E-2</v>
      </c>
      <c r="Y34" s="2">
        <f t="shared" si="1"/>
        <v>-4.1793628280384354E-10</v>
      </c>
      <c r="Z34" s="2">
        <f t="shared" si="3"/>
        <v>3.7230648566037416E-2</v>
      </c>
      <c r="AA34" s="2">
        <f t="shared" si="2"/>
        <v>4.873981773734215E-11</v>
      </c>
      <c r="AB34" s="2">
        <f t="shared" si="4"/>
        <v>2.5121277915820283E-20</v>
      </c>
      <c r="AC34" s="2">
        <f t="shared" si="5"/>
        <v>-2.0370138249681619E-20</v>
      </c>
      <c r="AD34" s="2">
        <f>X34-V34</f>
        <v>9.3132257461547852E-10</v>
      </c>
      <c r="AF34" s="2">
        <v>30</v>
      </c>
      <c r="AG34" s="2">
        <f t="shared" si="13"/>
        <v>2573.0233963578939</v>
      </c>
      <c r="AH34" s="2">
        <v>-3.2868465495994315E-6</v>
      </c>
      <c r="AI34" s="2">
        <f t="shared" si="14"/>
        <v>2573.0234147980809</v>
      </c>
      <c r="AJ34" s="2">
        <v>2.2859760520077543E-6</v>
      </c>
      <c r="AK34" s="2">
        <f t="shared" si="9"/>
        <v>2573.0234055779874</v>
      </c>
      <c r="AL34" s="2">
        <v>-5.0043604460370261E-7</v>
      </c>
      <c r="AM34" s="2">
        <f t="shared" si="10"/>
        <v>1.6448564865008671E-12</v>
      </c>
      <c r="AN34" s="2">
        <f t="shared" si="11"/>
        <v>-1.1439848135255485E-12</v>
      </c>
      <c r="AO34" s="2">
        <f t="shared" si="12"/>
        <v>1.8440186977386475E-5</v>
      </c>
    </row>
    <row r="35" spans="2:41" x14ac:dyDescent="0.2">
      <c r="B35" s="31" t="s">
        <v>2</v>
      </c>
      <c r="C35" s="31"/>
      <c r="D35" s="31"/>
      <c r="F35" s="26" t="s">
        <v>139</v>
      </c>
      <c r="G35" s="25">
        <f xml:space="preserve"> G22</f>
        <v>214.8662666087553</v>
      </c>
      <c r="H35" s="25" t="s">
        <v>103</v>
      </c>
      <c r="J35" s="15" t="s">
        <v>72</v>
      </c>
      <c r="K35" s="6">
        <f>ROUND(SUM(K23:K26),2)</f>
        <v>125.03</v>
      </c>
      <c r="L35" s="6" t="s">
        <v>7</v>
      </c>
      <c r="AF35" s="2">
        <v>31</v>
      </c>
      <c r="AG35" s="2">
        <f t="shared" si="13"/>
        <v>2573.0234055779874</v>
      </c>
      <c r="AH35" s="2">
        <v>-5.0043604460370261E-7</v>
      </c>
      <c r="AI35" s="2">
        <f t="shared" si="14"/>
        <v>2573.0234147980809</v>
      </c>
      <c r="AJ35" s="2">
        <v>2.2859760520077543E-6</v>
      </c>
      <c r="AK35" s="2">
        <f t="shared" si="9"/>
        <v>2573.0234101880342</v>
      </c>
      <c r="AL35" s="2">
        <v>8.9277114057040308E-7</v>
      </c>
      <c r="AM35" s="2">
        <f t="shared" si="10"/>
        <v>-4.4677485832338869E-13</v>
      </c>
      <c r="AN35" s="2">
        <f t="shared" si="11"/>
        <v>2.0408534472675899E-12</v>
      </c>
      <c r="AO35" s="2">
        <f t="shared" si="12"/>
        <v>9.2200934886932373E-6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61</v>
      </c>
      <c r="K36" s="10">
        <f>SUM(K31:K35)</f>
        <v>2573.02</v>
      </c>
      <c r="L36" s="6" t="s">
        <v>7</v>
      </c>
      <c r="AF36" s="2">
        <v>32</v>
      </c>
      <c r="AG36" s="2">
        <f t="shared" si="13"/>
        <v>2573.0234055779874</v>
      </c>
      <c r="AH36" s="2">
        <v>-5.0043604460370261E-7</v>
      </c>
      <c r="AI36" s="2">
        <f t="shared" si="14"/>
        <v>2573.0234101880342</v>
      </c>
      <c r="AJ36" s="2">
        <v>8.9277114057040308E-7</v>
      </c>
      <c r="AK36" s="2">
        <f t="shared" si="9"/>
        <v>2573.0234078830108</v>
      </c>
      <c r="AL36" s="2">
        <v>1.9616504687292036E-7</v>
      </c>
      <c r="AM36" s="2">
        <f t="shared" si="10"/>
        <v>-9.8168060146584185E-14</v>
      </c>
      <c r="AN36" s="2">
        <f t="shared" si="11"/>
        <v>1.7513049263678369E-13</v>
      </c>
      <c r="AO36" s="2">
        <f t="shared" si="12"/>
        <v>4.6100467443466187E-6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2573.0234055779874</v>
      </c>
      <c r="AH37" s="2">
        <v>-5.0043604460370261E-7</v>
      </c>
      <c r="AI37" s="2">
        <f t="shared" si="14"/>
        <v>2573.0234078830108</v>
      </c>
      <c r="AJ37" s="2">
        <v>1.9616504687292036E-7</v>
      </c>
      <c r="AK37" s="2">
        <f t="shared" si="9"/>
        <v>2573.0234067304991</v>
      </c>
      <c r="AL37" s="2">
        <v>-1.521348167443648E-7</v>
      </c>
      <c r="AM37" s="2">
        <f t="shared" si="10"/>
        <v>7.6133745938059065E-14</v>
      </c>
      <c r="AN37" s="2">
        <f t="shared" si="11"/>
        <v>-2.9843533457661469E-14</v>
      </c>
      <c r="AO37" s="2">
        <f t="shared" si="12"/>
        <v>2.3050233721733093E-6</v>
      </c>
    </row>
    <row r="38" spans="2:41" x14ac:dyDescent="0.2">
      <c r="B38" s="6" t="s">
        <v>6</v>
      </c>
      <c r="C38" s="17">
        <v>0.8</v>
      </c>
      <c r="J38" s="31" t="s">
        <v>58</v>
      </c>
      <c r="K38" s="31"/>
      <c r="L38" s="31"/>
      <c r="AF38" s="2">
        <v>34</v>
      </c>
      <c r="AG38" s="2">
        <f t="shared" si="13"/>
        <v>2573.0234067304991</v>
      </c>
      <c r="AH38" s="2">
        <v>-1.521348167443648E-7</v>
      </c>
      <c r="AI38" s="2">
        <f t="shared" si="14"/>
        <v>2573.0234078830108</v>
      </c>
      <c r="AJ38" s="2">
        <v>1.9616504687292036E-7</v>
      </c>
      <c r="AK38" s="2">
        <f t="shared" si="9"/>
        <v>2573.023407306755</v>
      </c>
      <c r="AL38" s="2">
        <v>2.201727511419449E-8</v>
      </c>
      <c r="AM38" s="2">
        <f t="shared" si="10"/>
        <v>-3.3495941147082423E-15</v>
      </c>
      <c r="AN38" s="2">
        <f t="shared" si="11"/>
        <v>4.319019804789945E-15</v>
      </c>
      <c r="AO38" s="2">
        <f t="shared" si="12"/>
        <v>1.1525116860866547E-6</v>
      </c>
    </row>
    <row r="39" spans="2:41" x14ac:dyDescent="0.2">
      <c r="J39" s="6" t="s">
        <v>59</v>
      </c>
      <c r="K39" s="6">
        <f>ROUND($C$13/$C$5 * 100, 2)</f>
        <v>23.32</v>
      </c>
      <c r="L39" s="6" t="s">
        <v>60</v>
      </c>
      <c r="AF39" s="2">
        <v>35</v>
      </c>
      <c r="AG39" s="2">
        <f t="shared" si="13"/>
        <v>2573.0234067304991</v>
      </c>
      <c r="AH39" s="2">
        <v>-1.521348167443648E-7</v>
      </c>
      <c r="AI39" s="2">
        <f t="shared" si="14"/>
        <v>2573.023407306755</v>
      </c>
      <c r="AJ39" s="2">
        <v>2.201727511419449E-8</v>
      </c>
      <c r="AK39" s="2">
        <f t="shared" si="9"/>
        <v>2573.023407018627</v>
      </c>
      <c r="AL39" s="2">
        <v>-6.5059566622949205E-8</v>
      </c>
      <c r="AM39" s="2">
        <f t="shared" si="10"/>
        <v>9.8978252456501699E-15</v>
      </c>
      <c r="AN39" s="2">
        <f t="shared" si="11"/>
        <v>-1.432434377147738E-15</v>
      </c>
      <c r="AO39" s="2">
        <f t="shared" si="12"/>
        <v>5.7625584304332733E-7</v>
      </c>
    </row>
    <row r="40" spans="2:41" x14ac:dyDescent="0.2">
      <c r="B40" s="31" t="s">
        <v>186</v>
      </c>
      <c r="C40" s="32"/>
      <c r="D40" s="32"/>
      <c r="J40" s="11" t="s">
        <v>54</v>
      </c>
      <c r="K40" s="6">
        <f>ROUND(K13/$C$5 * 100, 2)</f>
        <v>44.2</v>
      </c>
      <c r="L40" s="6" t="s">
        <v>60</v>
      </c>
      <c r="AF40" s="2">
        <v>36</v>
      </c>
      <c r="AG40" s="2">
        <f t="shared" si="13"/>
        <v>2573.023407018627</v>
      </c>
      <c r="AH40" s="2">
        <v>-6.5059566622949205E-8</v>
      </c>
      <c r="AI40" s="2">
        <f t="shared" si="14"/>
        <v>2573.023407306755</v>
      </c>
      <c r="AJ40" s="2">
        <v>2.201727511419449E-8</v>
      </c>
      <c r="AK40" s="2">
        <f t="shared" si="9"/>
        <v>2573.023407162691</v>
      </c>
      <c r="AL40" s="2">
        <v>-2.1522055249079131E-8</v>
      </c>
      <c r="AM40" s="2">
        <f t="shared" si="10"/>
        <v>1.4002155873402574E-15</v>
      </c>
      <c r="AN40" s="2">
        <f t="shared" si="11"/>
        <v>-4.7385701144186884E-16</v>
      </c>
      <c r="AO40" s="2">
        <f t="shared" si="12"/>
        <v>2.8812792152166367E-7</v>
      </c>
    </row>
    <row r="41" spans="2:41" x14ac:dyDescent="0.2">
      <c r="B41" s="6" t="s">
        <v>15</v>
      </c>
      <c r="C41" s="17">
        <v>1.0397562309141399</v>
      </c>
      <c r="D41" s="6" t="s">
        <v>16</v>
      </c>
      <c r="J41" s="19" t="s">
        <v>80</v>
      </c>
      <c r="K41" s="6">
        <f>ROUND(SUM(K14:K17)/$C$5 * 100, 2)</f>
        <v>20.22</v>
      </c>
      <c r="L41" s="6" t="s">
        <v>60</v>
      </c>
      <c r="AF41" s="2">
        <v>37</v>
      </c>
      <c r="AG41" s="2">
        <f t="shared" si="13"/>
        <v>2573.023407162691</v>
      </c>
      <c r="AH41" s="2">
        <v>-2.1522055249079131E-8</v>
      </c>
      <c r="AI41" s="2">
        <f t="shared" si="14"/>
        <v>2573.023407306755</v>
      </c>
      <c r="AJ41" s="2">
        <v>2.201727511419449E-8</v>
      </c>
      <c r="AK41" s="2">
        <f t="shared" si="9"/>
        <v>2573.023407234723</v>
      </c>
      <c r="AL41" s="2">
        <v>2.4760993255767971E-10</v>
      </c>
      <c r="AM41" s="2">
        <f t="shared" si="10"/>
        <v>-5.3290746487271402E-18</v>
      </c>
      <c r="AN41" s="2">
        <f t="shared" si="11"/>
        <v>5.4516960061295776E-18</v>
      </c>
      <c r="AO41" s="2">
        <f t="shared" si="12"/>
        <v>1.4406396076083183E-7</v>
      </c>
    </row>
    <row r="42" spans="2:41" x14ac:dyDescent="0.2">
      <c r="B42" s="6" t="s">
        <v>137</v>
      </c>
      <c r="C42" s="23">
        <v>1.7363179204150701E-5</v>
      </c>
      <c r="D42" s="6" t="s">
        <v>136</v>
      </c>
      <c r="J42" s="20" t="s">
        <v>71</v>
      </c>
      <c r="K42" s="6">
        <f>ROUND(SUM(K18:K22)/$C$5 * 100, 2)</f>
        <v>7.4</v>
      </c>
      <c r="L42" s="6" t="s">
        <v>60</v>
      </c>
      <c r="AF42" s="2">
        <v>38</v>
      </c>
      <c r="AG42" s="2">
        <f t="shared" si="13"/>
        <v>2573.023407162691</v>
      </c>
      <c r="AH42" s="2">
        <v>-2.1522055249079131E-8</v>
      </c>
      <c r="AI42" s="2">
        <f t="shared" si="14"/>
        <v>2573.023407234723</v>
      </c>
      <c r="AJ42" s="2">
        <v>2.4760993255767971E-10</v>
      </c>
      <c r="AK42" s="2">
        <f t="shared" si="9"/>
        <v>2573.023407198707</v>
      </c>
      <c r="AL42" s="2">
        <v>-1.0638359526637942E-8</v>
      </c>
      <c r="AM42" s="2">
        <f t="shared" si="10"/>
        <v>2.2895936149186909E-16</v>
      </c>
      <c r="AN42" s="2">
        <f t="shared" si="11"/>
        <v>-2.6341634849151702E-18</v>
      </c>
      <c r="AO42" s="2">
        <f t="shared" si="12"/>
        <v>7.2031980380415916E-8</v>
      </c>
    </row>
    <row r="43" spans="2:41" x14ac:dyDescent="0.2">
      <c r="B43" s="6" t="s">
        <v>131</v>
      </c>
      <c r="C43" s="17">
        <v>333.91694458017901</v>
      </c>
      <c r="D43" s="6" t="s">
        <v>10</v>
      </c>
      <c r="J43" s="15" t="s">
        <v>72</v>
      </c>
      <c r="K43" s="6">
        <f>ROUND(SUM(K23:K26)/$C$5*100, 2)</f>
        <v>4.8600000000000003</v>
      </c>
      <c r="L43" s="6" t="s">
        <v>60</v>
      </c>
      <c r="AF43" s="2">
        <v>39</v>
      </c>
      <c r="AG43" s="2">
        <f t="shared" si="13"/>
        <v>2573.023407198707</v>
      </c>
      <c r="AH43" s="2">
        <v>-1.0638359526637942E-8</v>
      </c>
      <c r="AI43" s="2">
        <f t="shared" si="14"/>
        <v>2573.023407234723</v>
      </c>
      <c r="AJ43" s="2">
        <v>2.4760993255767971E-10</v>
      </c>
      <c r="AK43" s="2">
        <f t="shared" si="9"/>
        <v>2573.023407216715</v>
      </c>
      <c r="AL43" s="2">
        <v>-5.1957158575532958E-9</v>
      </c>
      <c r="AM43" s="2">
        <f t="shared" si="10"/>
        <v>5.5273893290905927E-17</v>
      </c>
      <c r="AN43" s="2">
        <f t="shared" si="11"/>
        <v>-1.2865108530776386E-18</v>
      </c>
      <c r="AO43" s="2">
        <f t="shared" si="12"/>
        <v>3.6015990190207958E-8</v>
      </c>
    </row>
    <row r="44" spans="2:41" x14ac:dyDescent="0.2">
      <c r="B44" s="6" t="s">
        <v>17</v>
      </c>
      <c r="C44" s="1">
        <v>9.80149119240094</v>
      </c>
      <c r="D44" s="6" t="s">
        <v>18</v>
      </c>
      <c r="J44" s="10" t="s">
        <v>61</v>
      </c>
      <c r="K44" s="10">
        <f>SUM(K39:K43)</f>
        <v>100.00000000000001</v>
      </c>
      <c r="L44" s="10" t="s">
        <v>60</v>
      </c>
      <c r="AF44" s="2">
        <v>40</v>
      </c>
      <c r="AG44" s="2">
        <f t="shared" si="13"/>
        <v>2573.023407216715</v>
      </c>
      <c r="AH44" s="2">
        <v>-5.1957158575532958E-9</v>
      </c>
      <c r="AI44" s="2">
        <f t="shared" si="14"/>
        <v>2573.023407234723</v>
      </c>
      <c r="AJ44" s="2">
        <v>2.4760993255767971E-10</v>
      </c>
      <c r="AK44" s="5">
        <f>(AG44+AI44)/2</f>
        <v>2573.023407225719</v>
      </c>
      <c r="AL44" s="2">
        <v>-2.4751898308750242E-9</v>
      </c>
      <c r="AM44" s="2">
        <f t="shared" si="10"/>
        <v>1.2860383054732024E-17</v>
      </c>
      <c r="AN44" s="2">
        <f t="shared" si="11"/>
        <v>-6.128815870904194E-19</v>
      </c>
      <c r="AO44" s="2">
        <f t="shared" si="12"/>
        <v>1.8007995095103979E-8</v>
      </c>
    </row>
    <row r="46" spans="2:41" x14ac:dyDescent="0.2">
      <c r="B46" s="31" t="s">
        <v>187</v>
      </c>
      <c r="C46" s="32"/>
      <c r="D46" s="32"/>
      <c r="J46" s="31" t="s">
        <v>58</v>
      </c>
      <c r="K46" s="31"/>
      <c r="L46" s="31"/>
    </row>
    <row r="47" spans="2:41" x14ac:dyDescent="0.2">
      <c r="B47" s="6" t="s">
        <v>15</v>
      </c>
      <c r="C47" s="17">
        <v>1.00854450666398</v>
      </c>
      <c r="D47" s="6" t="s">
        <v>16</v>
      </c>
      <c r="J47" s="6" t="s">
        <v>59</v>
      </c>
      <c r="K47" s="6">
        <f>ROUND($C$13/$C$5 * 100, 2)</f>
        <v>23.32</v>
      </c>
      <c r="L47" s="6" t="s">
        <v>60</v>
      </c>
    </row>
    <row r="48" spans="2:41" x14ac:dyDescent="0.2">
      <c r="B48" s="6" t="s">
        <v>137</v>
      </c>
      <c r="C48" s="23">
        <v>1.7265641515845801E-5</v>
      </c>
      <c r="D48" s="6" t="s">
        <v>136</v>
      </c>
      <c r="J48" s="11" t="s">
        <v>54</v>
      </c>
      <c r="K48" s="6">
        <f>ROUND(K13/$C$5 * 100, 2)</f>
        <v>44.2</v>
      </c>
      <c r="L48" s="6" t="s">
        <v>60</v>
      </c>
    </row>
    <row r="49" spans="2:12" x14ac:dyDescent="0.2">
      <c r="B49" s="6" t="s">
        <v>131</v>
      </c>
      <c r="C49" s="17">
        <v>332.721752148093</v>
      </c>
      <c r="D49" s="6" t="s">
        <v>10</v>
      </c>
      <c r="J49" s="20" t="s">
        <v>191</v>
      </c>
      <c r="K49" s="6">
        <f>ROUND(SUM(K14:K26)/$C$5 * 100, 2)</f>
        <v>32.479999999999997</v>
      </c>
      <c r="L49" s="6" t="s">
        <v>60</v>
      </c>
    </row>
    <row r="50" spans="2:12" x14ac:dyDescent="0.2">
      <c r="B50" s="6" t="s">
        <v>17</v>
      </c>
      <c r="C50" s="1">
        <v>9.8005536647414697</v>
      </c>
      <c r="D50" s="6" t="s">
        <v>18</v>
      </c>
      <c r="J50" s="10" t="s">
        <v>61</v>
      </c>
      <c r="K50" s="10">
        <f>SUM(K47:K49)</f>
        <v>100</v>
      </c>
      <c r="L50" s="10" t="s">
        <v>60</v>
      </c>
    </row>
    <row r="52" spans="2:12" x14ac:dyDescent="0.2">
      <c r="B52" s="31" t="s">
        <v>73</v>
      </c>
      <c r="C52" s="31"/>
      <c r="D52" s="31"/>
    </row>
    <row r="53" spans="2:12" x14ac:dyDescent="0.2">
      <c r="B53" s="6" t="s">
        <v>178</v>
      </c>
      <c r="C53" s="17">
        <v>30</v>
      </c>
    </row>
    <row r="54" spans="2:12" x14ac:dyDescent="0.2">
      <c r="B54" s="6" t="s">
        <v>180</v>
      </c>
      <c r="C54" s="17">
        <v>0.8</v>
      </c>
    </row>
    <row r="55" spans="2:12" x14ac:dyDescent="0.2">
      <c r="B55" s="6" t="s">
        <v>181</v>
      </c>
      <c r="C55" s="17">
        <v>0.8</v>
      </c>
    </row>
    <row r="56" spans="2:12" x14ac:dyDescent="0.2">
      <c r="B56" s="6" t="s">
        <v>182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3:P13"/>
    <mergeCell ref="F14:H14"/>
    <mergeCell ref="B17:D17"/>
    <mergeCell ref="N17:P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tabSelected="1" zoomScale="88" workbookViewId="0">
      <selection activeCell="F39" sqref="F3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7" t="s">
        <v>0</v>
      </c>
      <c r="C1" s="37"/>
      <c r="D1" s="37"/>
    </row>
    <row r="2" spans="2:41" x14ac:dyDescent="0.2">
      <c r="U2" s="16" t="s">
        <v>95</v>
      </c>
      <c r="AF2" s="29" t="s">
        <v>140</v>
      </c>
    </row>
    <row r="3" spans="2:41" x14ac:dyDescent="0.2">
      <c r="B3" s="31" t="s">
        <v>126</v>
      </c>
      <c r="C3" s="32"/>
      <c r="D3" s="32"/>
      <c r="F3" s="34" t="s">
        <v>82</v>
      </c>
      <c r="G3" s="35"/>
      <c r="H3" s="35"/>
      <c r="J3" s="31" t="s">
        <v>100</v>
      </c>
      <c r="K3" s="31"/>
      <c r="L3" s="31"/>
      <c r="N3" s="31" t="s">
        <v>94</v>
      </c>
      <c r="O3" s="31"/>
      <c r="P3" s="31"/>
      <c r="U3" s="7" t="s">
        <v>43</v>
      </c>
      <c r="V3" s="7" t="s">
        <v>44</v>
      </c>
      <c r="W3" s="7" t="s">
        <v>45</v>
      </c>
      <c r="X3" s="7" t="s">
        <v>46</v>
      </c>
      <c r="Y3" s="7" t="s">
        <v>47</v>
      </c>
      <c r="Z3" s="7" t="s">
        <v>48</v>
      </c>
      <c r="AA3" s="7" t="s">
        <v>49</v>
      </c>
      <c r="AB3" s="7" t="s">
        <v>50</v>
      </c>
      <c r="AC3" s="7" t="s">
        <v>51</v>
      </c>
      <c r="AD3" s="7" t="s">
        <v>52</v>
      </c>
      <c r="AF3" s="7" t="s">
        <v>43</v>
      </c>
      <c r="AG3" s="7" t="s">
        <v>44</v>
      </c>
      <c r="AH3" s="7" t="s">
        <v>45</v>
      </c>
      <c r="AI3" s="7" t="s">
        <v>46</v>
      </c>
      <c r="AJ3" s="7" t="s">
        <v>47</v>
      </c>
      <c r="AK3" s="7" t="s">
        <v>48</v>
      </c>
      <c r="AL3" s="7" t="s">
        <v>49</v>
      </c>
      <c r="AM3" s="7" t="s">
        <v>50</v>
      </c>
      <c r="AN3" s="7" t="s">
        <v>51</v>
      </c>
      <c r="AO3" s="7" t="s">
        <v>52</v>
      </c>
    </row>
    <row r="4" spans="2:41" x14ac:dyDescent="0.2">
      <c r="B4" s="6" t="s">
        <v>38</v>
      </c>
      <c r="C4" s="3" t="s">
        <v>141</v>
      </c>
      <c r="F4" s="6" t="s">
        <v>86</v>
      </c>
      <c r="G4" s="17">
        <f>500*0.3048/60</f>
        <v>2.54</v>
      </c>
      <c r="H4" s="6" t="s">
        <v>10</v>
      </c>
      <c r="J4" s="6" t="s">
        <v>101</v>
      </c>
      <c r="K4" s="6">
        <f>(1+$C$25/100)*MAX(G10,G29)</f>
        <v>647.17942164583576</v>
      </c>
      <c r="L4" s="6" t="s">
        <v>103</v>
      </c>
      <c r="N4" s="6" t="s">
        <v>142</v>
      </c>
      <c r="O4" s="6">
        <f xml:space="preserve"> $C$5 * $C$74</f>
        <v>25184.080172018261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1.1821738169867411</v>
      </c>
      <c r="X4" s="3">
        <v>1</v>
      </c>
      <c r="Y4" s="2">
        <f t="shared" ref="Y4:Y34" si="1" xml:space="preserve"> $O$22 * TAN($O$19/180*PI()) + $O$23 / (2 * SQRT($O$22^2 + X4^2)) - X4</f>
        <v>-2.9554851950855054E-2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0.48920517548189513</v>
      </c>
      <c r="AB4" s="2">
        <f>W4*AA4</f>
        <v>0.57832554958910043</v>
      </c>
      <c r="AC4" s="2">
        <f>Y4*AA4</f>
        <v>-1.4458386534959478E-2</v>
      </c>
      <c r="AD4" s="2">
        <f>X4-V4</f>
        <v>1</v>
      </c>
      <c r="AF4" s="2">
        <v>0</v>
      </c>
      <c r="AH4" s="2">
        <f>K30</f>
        <v>-2.6134330255445093E-9</v>
      </c>
      <c r="AJ4" s="2">
        <f>K30</f>
        <v>-2.6134330255445093E-9</v>
      </c>
      <c r="AL4" s="2">
        <f>K30</f>
        <v>-2.6134330255445093E-9</v>
      </c>
    </row>
    <row r="5" spans="2:41" x14ac:dyDescent="0.2">
      <c r="B5" s="10" t="s">
        <v>39</v>
      </c>
      <c r="C5" s="10">
        <f>AK44</f>
        <v>2569.6589227015465</v>
      </c>
      <c r="D5" s="10" t="s">
        <v>7</v>
      </c>
      <c r="F5" s="6" t="s">
        <v>89</v>
      </c>
      <c r="G5" s="17">
        <f>1000*0.3048</f>
        <v>304.8</v>
      </c>
      <c r="H5" s="6" t="s">
        <v>8</v>
      </c>
      <c r="J5" s="6" t="s">
        <v>102</v>
      </c>
      <c r="K5" s="6">
        <f>K4/$C$21</f>
        <v>80.89742770572947</v>
      </c>
      <c r="L5" s="6" t="s">
        <v>103</v>
      </c>
      <c r="N5" s="6" t="s">
        <v>24</v>
      </c>
      <c r="O5" s="6">
        <f xml:space="preserve"> 0.5 * $C$71 * $C$7^2</f>
        <v>2241.2100148088448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0.48920517548189513</v>
      </c>
      <c r="X5" s="2">
        <f>IF(AC4&gt;0, Z4, X4)</f>
        <v>1</v>
      </c>
      <c r="Y5" s="2">
        <f t="shared" si="1"/>
        <v>-2.9554851950855054E-2</v>
      </c>
      <c r="Z5" s="2">
        <f t="shared" ref="Z5:Z34" si="3" xml:space="preserve"> (V5 + X5)/2</f>
        <v>0.75</v>
      </c>
      <c r="AA5" s="2">
        <f t="shared" si="2"/>
        <v>0.22676018489783367</v>
      </c>
      <c r="AB5" s="2">
        <f t="shared" ref="AB5:AB34" si="4">W5*AA5</f>
        <v>0.11093225604525171</v>
      </c>
      <c r="AC5" s="2">
        <f t="shared" ref="AC5:AC34" si="5">Y5*AA5</f>
        <v>-6.7018636930039925E-3</v>
      </c>
      <c r="AD5" s="2">
        <f t="shared" ref="AD5:AD34" si="6">X5-V5</f>
        <v>0.5</v>
      </c>
      <c r="AF5" s="2">
        <v>1</v>
      </c>
      <c r="AG5" s="3">
        <v>100</v>
      </c>
      <c r="AH5" s="2">
        <f t="dataTable" ref="AH5:AH44" dt2D="0" dtr="0" r1="C5"/>
        <v>-1234.3613290208609</v>
      </c>
      <c r="AI5" s="3">
        <v>10000</v>
      </c>
      <c r="AJ5" s="2">
        <f t="dataTable" ref="AJ5:AJ44" dt2D="0" dtr="0" r1="C5" ca="1"/>
        <v>2767.4944631857925</v>
      </c>
      <c r="AK5" s="2">
        <f>(AG5+AI5)/2</f>
        <v>5050</v>
      </c>
      <c r="AL5" s="2">
        <f t="dataTable" ref="AL5:AL44" dt2D="0" dtr="0" r1="C5" ca="1"/>
        <v>718.74707312632017</v>
      </c>
      <c r="AM5" s="2">
        <f>AH5*AL5</f>
        <v>-887193.59241405851</v>
      </c>
      <c r="AN5" s="2">
        <f>AJ5*AL5</f>
        <v>1989128.5453080849</v>
      </c>
      <c r="AO5" s="2">
        <f>AI5-AG5</f>
        <v>9900</v>
      </c>
    </row>
    <row r="6" spans="2:41" x14ac:dyDescent="0.2">
      <c r="B6" s="6" t="s">
        <v>185</v>
      </c>
      <c r="C6" s="17">
        <v>354.19209963927102</v>
      </c>
      <c r="D6" s="6" t="s">
        <v>133</v>
      </c>
      <c r="F6" s="6" t="s">
        <v>90</v>
      </c>
      <c r="G6" s="6">
        <f xml:space="preserve"> $G$5/$G$4</f>
        <v>120</v>
      </c>
      <c r="H6" s="6" t="s">
        <v>14</v>
      </c>
      <c r="J6" s="6" t="s">
        <v>143</v>
      </c>
      <c r="K6" s="6">
        <f>(1+$C$32/100)*MAX(G20)</f>
        <v>220.13621209079457</v>
      </c>
      <c r="L6" s="6" t="s">
        <v>103</v>
      </c>
      <c r="N6" s="6" t="s">
        <v>118</v>
      </c>
      <c r="O6" s="6">
        <f xml:space="preserve"> ($C$21+$C$28) * 0.4 * ($C$5/($C$21+$C$28) *2.20462/1000)^(2/3) * 0.3048^2</f>
        <v>0.24564630537697232</v>
      </c>
      <c r="P6" s="6" t="s">
        <v>119</v>
      </c>
      <c r="U6" s="2">
        <v>2</v>
      </c>
      <c r="V6" s="2">
        <f t="shared" ref="V6:V34" si="7">IF(AB5&gt;0, Z5, V5)</f>
        <v>0.75</v>
      </c>
      <c r="W6" s="2">
        <f t="shared" si="0"/>
        <v>0.22676018489783367</v>
      </c>
      <c r="X6" s="2">
        <f t="shared" ref="X6:X34" si="8">IF(AC5&gt;0, Z5, X5)</f>
        <v>1</v>
      </c>
      <c r="Y6" s="2">
        <f t="shared" si="1"/>
        <v>-2.9554851950855054E-2</v>
      </c>
      <c r="Z6" s="2">
        <f t="shared" si="3"/>
        <v>0.875</v>
      </c>
      <c r="AA6" s="2">
        <f t="shared" si="2"/>
        <v>9.8157742022755734E-2</v>
      </c>
      <c r="AB6" s="2">
        <f t="shared" si="4"/>
        <v>2.2258267730233948E-2</v>
      </c>
      <c r="AC6" s="2">
        <f t="shared" si="5"/>
        <v>-2.9010375333127694E-3</v>
      </c>
      <c r="AD6" s="2">
        <f t="shared" si="6"/>
        <v>0.25</v>
      </c>
      <c r="AF6" s="2">
        <v>2</v>
      </c>
      <c r="AG6" s="2">
        <f>IF(AM5&gt;0,AK5,AG5)</f>
        <v>100</v>
      </c>
      <c r="AH6" s="2">
        <v>-1234.3613290208609</v>
      </c>
      <c r="AI6" s="2">
        <f>IF(AN5&gt;0,AK5,AI5)</f>
        <v>5050</v>
      </c>
      <c r="AJ6" s="2">
        <v>718.74707312632017</v>
      </c>
      <c r="AK6" s="2">
        <f t="shared" ref="AK6:AK44" si="9">(AG6+AI6)/2</f>
        <v>2575</v>
      </c>
      <c r="AL6" s="2">
        <v>2.1690422532296907</v>
      </c>
      <c r="AM6" s="2">
        <f t="shared" ref="AM6:AM44" si="10">AH6*AL6</f>
        <v>-2677.3818783990037</v>
      </c>
      <c r="AN6" s="2">
        <f t="shared" ref="AN6:AN44" si="11">AJ6*AL6</f>
        <v>1558.9927709961587</v>
      </c>
      <c r="AO6" s="2">
        <f t="shared" ref="AO6:AO44" si="12">AI6-AG6</f>
        <v>4950</v>
      </c>
    </row>
    <row r="7" spans="2:41" x14ac:dyDescent="0.2">
      <c r="B7" s="6" t="s">
        <v>9</v>
      </c>
      <c r="C7" s="17">
        <f>240*1000/3600</f>
        <v>66.666666666666671</v>
      </c>
      <c r="D7" s="6" t="s">
        <v>10</v>
      </c>
      <c r="F7" s="6" t="s">
        <v>20</v>
      </c>
      <c r="G7" s="6">
        <f xml:space="preserve"> $C$5 * $C$68 / $C$21</f>
        <v>3148.3111622917122</v>
      </c>
      <c r="H7" s="6" t="s">
        <v>21</v>
      </c>
      <c r="J7" s="6" t="s">
        <v>144</v>
      </c>
      <c r="K7" s="6">
        <f>K6/$C$28</f>
        <v>220.13621209079457</v>
      </c>
      <c r="L7" s="6" t="s">
        <v>103</v>
      </c>
      <c r="N7" s="6" t="s">
        <v>120</v>
      </c>
      <c r="O7" s="6">
        <f xml:space="preserve"> O6 / $C$12</f>
        <v>9.9601268427135289E-3</v>
      </c>
      <c r="U7" s="2">
        <v>3</v>
      </c>
      <c r="V7" s="2">
        <f t="shared" si="7"/>
        <v>0.875</v>
      </c>
      <c r="W7" s="2">
        <f t="shared" si="0"/>
        <v>9.8157742022755734E-2</v>
      </c>
      <c r="X7" s="2">
        <f t="shared" si="8"/>
        <v>1</v>
      </c>
      <c r="Y7" s="2">
        <f t="shared" si="1"/>
        <v>-2.9554851950855054E-2</v>
      </c>
      <c r="Z7" s="2">
        <f t="shared" si="3"/>
        <v>0.9375</v>
      </c>
      <c r="AA7" s="2">
        <f t="shared" si="2"/>
        <v>3.4212088919145622E-2</v>
      </c>
      <c r="AB7" s="2">
        <f t="shared" si="4"/>
        <v>3.3581813981850761E-3</v>
      </c>
      <c r="AC7" s="2">
        <f t="shared" si="5"/>
        <v>-1.0111332229348377E-3</v>
      </c>
      <c r="AD7" s="2">
        <f t="shared" si="6"/>
        <v>0.125</v>
      </c>
      <c r="AF7" s="2">
        <v>3</v>
      </c>
      <c r="AG7" s="2">
        <f t="shared" ref="AG7:AG44" si="13">IF(AM6&gt;0,AK6,AG6)</f>
        <v>100</v>
      </c>
      <c r="AH7" s="2">
        <v>-1234.3613290208609</v>
      </c>
      <c r="AI7" s="2">
        <f t="shared" ref="AI7:AI44" si="14">IF(AN6&gt;0,AK6,AI6)</f>
        <v>2575</v>
      </c>
      <c r="AJ7" s="2">
        <v>2.1690422532296907</v>
      </c>
      <c r="AK7" s="2">
        <f t="shared" si="9"/>
        <v>1337.5</v>
      </c>
      <c r="AL7" s="2">
        <v>-570.76921443889592</v>
      </c>
      <c r="AM7" s="2">
        <f t="shared" si="10"/>
        <v>704535.44609898829</v>
      </c>
      <c r="AN7" s="2">
        <f t="shared" si="11"/>
        <v>-1238.0225429606833</v>
      </c>
      <c r="AO7" s="2">
        <f t="shared" si="12"/>
        <v>2475</v>
      </c>
    </row>
    <row r="8" spans="2:41" x14ac:dyDescent="0.2">
      <c r="B8" s="6" t="s">
        <v>97</v>
      </c>
      <c r="C8" s="17">
        <v>1.9076015129737001</v>
      </c>
      <c r="D8" s="6" t="s">
        <v>8</v>
      </c>
      <c r="F8" t="s">
        <v>99</v>
      </c>
      <c r="G8" s="6">
        <f>G10/$C$21</f>
        <v>53.931618470486313</v>
      </c>
      <c r="H8" s="6" t="s">
        <v>19</v>
      </c>
      <c r="N8" s="6" t="s">
        <v>122</v>
      </c>
      <c r="O8" s="6">
        <f>$O$9-O7</f>
        <v>1.7853357737638374E-2</v>
      </c>
      <c r="U8" s="2">
        <v>4</v>
      </c>
      <c r="V8" s="2">
        <f t="shared" si="7"/>
        <v>0.9375</v>
      </c>
      <c r="W8" s="2">
        <f t="shared" si="0"/>
        <v>3.4212088919145622E-2</v>
      </c>
      <c r="X8" s="2">
        <f t="shared" si="8"/>
        <v>1</v>
      </c>
      <c r="Y8" s="2">
        <f t="shared" si="1"/>
        <v>-2.9554851950855054E-2</v>
      </c>
      <c r="Z8" s="2">
        <f t="shared" si="3"/>
        <v>0.96875</v>
      </c>
      <c r="AA8" s="2">
        <f t="shared" si="2"/>
        <v>2.3084086893979672E-3</v>
      </c>
      <c r="AB8" s="2">
        <f t="shared" si="4"/>
        <v>7.8975483343411663E-5</v>
      </c>
      <c r="AC8" s="2">
        <f t="shared" si="5"/>
        <v>-6.8224677057224267E-5</v>
      </c>
      <c r="AD8" s="2">
        <f t="shared" si="6"/>
        <v>6.25E-2</v>
      </c>
      <c r="AF8" s="2">
        <v>4</v>
      </c>
      <c r="AG8" s="2">
        <f t="shared" si="13"/>
        <v>1337.5</v>
      </c>
      <c r="AH8" s="2">
        <v>-570.76921443889592</v>
      </c>
      <c r="AI8" s="2">
        <f t="shared" si="14"/>
        <v>2575</v>
      </c>
      <c r="AJ8" s="2">
        <v>2.1690422532296907</v>
      </c>
      <c r="AK8" s="2">
        <f t="shared" si="9"/>
        <v>1956.25</v>
      </c>
      <c r="AL8" s="2">
        <v>-266.79605062624546</v>
      </c>
      <c r="AM8" s="2">
        <f t="shared" si="10"/>
        <v>152278.97223134202</v>
      </c>
      <c r="AN8" s="2">
        <f t="shared" si="11"/>
        <v>-578.69190680313409</v>
      </c>
      <c r="AO8" s="2">
        <f t="shared" si="12"/>
        <v>1237.5</v>
      </c>
    </row>
    <row r="9" spans="2:41" x14ac:dyDescent="0.2">
      <c r="B9" s="6" t="s">
        <v>138</v>
      </c>
      <c r="C9" s="17">
        <f>(0.548288+0.530863+0.513438+0.496013+0.478588+0.461163+0.443738+0.426313)/8</f>
        <v>0.48730050000000003</v>
      </c>
      <c r="D9" s="6" t="s">
        <v>8</v>
      </c>
      <c r="F9" t="s">
        <v>188</v>
      </c>
      <c r="G9" s="6">
        <f xml:space="preserve"> (G7/$C$68*1000) / (G8*1000)</f>
        <v>5.9558265530909615</v>
      </c>
      <c r="H9" s="6" t="s">
        <v>189</v>
      </c>
      <c r="J9" s="31" t="s">
        <v>22</v>
      </c>
      <c r="K9" s="31"/>
      <c r="L9" s="31"/>
      <c r="N9" s="6" t="s">
        <v>121</v>
      </c>
      <c r="O9" s="17">
        <v>2.7813484580351901E-2</v>
      </c>
      <c r="U9" s="2">
        <v>5</v>
      </c>
      <c r="V9" s="2">
        <f t="shared" si="7"/>
        <v>0.96875</v>
      </c>
      <c r="W9" s="2">
        <f t="shared" si="0"/>
        <v>2.3084086893979672E-3</v>
      </c>
      <c r="X9" s="2">
        <f t="shared" si="8"/>
        <v>1</v>
      </c>
      <c r="Y9" s="2">
        <f t="shared" si="1"/>
        <v>-2.9554851950855054E-2</v>
      </c>
      <c r="Z9" s="2">
        <f t="shared" si="3"/>
        <v>0.984375</v>
      </c>
      <c r="AA9" s="2">
        <f t="shared" si="2"/>
        <v>-1.3628036951421674E-2</v>
      </c>
      <c r="AB9" s="2">
        <f t="shared" si="4"/>
        <v>-3.1459078918098373E-5</v>
      </c>
      <c r="AC9" s="2">
        <f t="shared" si="5"/>
        <v>4.0277461448004964E-4</v>
      </c>
      <c r="AD9" s="2">
        <f t="shared" si="6"/>
        <v>3.125E-2</v>
      </c>
      <c r="AF9" s="2">
        <v>5</v>
      </c>
      <c r="AG9" s="2">
        <f t="shared" si="13"/>
        <v>1956.25</v>
      </c>
      <c r="AH9" s="2">
        <v>-266.79605062624546</v>
      </c>
      <c r="AI9" s="2">
        <f t="shared" si="14"/>
        <v>2575</v>
      </c>
      <c r="AJ9" s="2">
        <v>2.1690422532296907</v>
      </c>
      <c r="AK9" s="2">
        <f t="shared" si="9"/>
        <v>2265.625</v>
      </c>
      <c r="AL9" s="2">
        <v>-127.86398834866941</v>
      </c>
      <c r="AM9" s="2">
        <f t="shared" si="10"/>
        <v>34113.607108745266</v>
      </c>
      <c r="AN9" s="2">
        <f t="shared" si="11"/>
        <v>-277.34239339473282</v>
      </c>
      <c r="AO9" s="2">
        <f t="shared" si="12"/>
        <v>618.75</v>
      </c>
    </row>
    <row r="10" spans="2:41" x14ac:dyDescent="0.2">
      <c r="B10" s="6" t="s">
        <v>145</v>
      </c>
      <c r="C10" s="17">
        <v>1.88221762242563</v>
      </c>
      <c r="D10" s="6" t="s">
        <v>8</v>
      </c>
      <c r="F10" s="25" t="s">
        <v>84</v>
      </c>
      <c r="G10" s="25">
        <f xml:space="preserve"> 1/1000 * (($C$5*$C$68)/$C$24 * ( ($G$4/2) + SQRT( ($G$4/2)^2 + ($C$5*$C$68) / (2*$C$65*PI()*$C$8^2 * $C$21) ) ) )</f>
        <v>431.45294776389051</v>
      </c>
      <c r="H10" s="25" t="s">
        <v>103</v>
      </c>
      <c r="J10" s="6" t="s">
        <v>98</v>
      </c>
      <c r="K10" s="6">
        <f xml:space="preserve"> $C$18 * (G10*G6 + G20*G13 + G29*G25 + G33*G32)/3600</f>
        <v>145.91973697828689</v>
      </c>
      <c r="L10" s="6" t="s">
        <v>104</v>
      </c>
      <c r="N10" s="6" t="s">
        <v>40</v>
      </c>
      <c r="O10" s="6">
        <f xml:space="preserve"> O5 * $C$12 * O9</f>
        <v>1537.3874238291355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2.3084086893979672E-3</v>
      </c>
      <c r="X10" s="2">
        <f t="shared" si="8"/>
        <v>0.984375</v>
      </c>
      <c r="Y10" s="2">
        <f t="shared" si="1"/>
        <v>-1.3628036951421674E-2</v>
      </c>
      <c r="Z10" s="2">
        <f t="shared" si="3"/>
        <v>0.9765625</v>
      </c>
      <c r="AA10" s="2">
        <f t="shared" si="2"/>
        <v>-5.6610464381160464E-3</v>
      </c>
      <c r="AB10" s="2">
        <f t="shared" si="4"/>
        <v>-1.3068008788832493E-5</v>
      </c>
      <c r="AC10" s="2">
        <f t="shared" si="5"/>
        <v>7.7148950042359534E-5</v>
      </c>
      <c r="AD10" s="2">
        <f t="shared" si="6"/>
        <v>1.5625E-2</v>
      </c>
      <c r="AF10" s="2">
        <v>6</v>
      </c>
      <c r="AG10" s="2">
        <f t="shared" si="13"/>
        <v>2265.625</v>
      </c>
      <c r="AH10" s="2">
        <v>-127.86398834866941</v>
      </c>
      <c r="AI10" s="2">
        <f t="shared" si="14"/>
        <v>2575</v>
      </c>
      <c r="AJ10" s="2">
        <v>2.1690422532296907</v>
      </c>
      <c r="AK10" s="2">
        <f t="shared" si="9"/>
        <v>2420.3125</v>
      </c>
      <c r="AL10" s="2">
        <v>-61.730638358070109</v>
      </c>
      <c r="AM10" s="2">
        <f t="shared" si="10"/>
        <v>7893.1256237722009</v>
      </c>
      <c r="AN10" s="2">
        <f t="shared" si="11"/>
        <v>-133.89636291749557</v>
      </c>
      <c r="AO10" s="2">
        <f t="shared" si="12"/>
        <v>309.375</v>
      </c>
    </row>
    <row r="11" spans="2:41" x14ac:dyDescent="0.2">
      <c r="B11" s="6" t="s">
        <v>173</v>
      </c>
      <c r="C11" s="17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50.333333333333336</v>
      </c>
      <c r="L11" s="6" t="s">
        <v>105</v>
      </c>
      <c r="N11" s="6" t="s">
        <v>148</v>
      </c>
      <c r="O11" s="6">
        <f xml:space="preserve"> 1.78 * (1 - 0.045 * $C$13^0.68) - 0.64</f>
        <v>0.81163336334429614</v>
      </c>
      <c r="U11" s="2">
        <v>7</v>
      </c>
      <c r="V11" s="2">
        <f t="shared" si="7"/>
        <v>0.96875</v>
      </c>
      <c r="W11" s="2">
        <f t="shared" si="0"/>
        <v>2.3084086893979672E-3</v>
      </c>
      <c r="X11" s="2">
        <f t="shared" si="8"/>
        <v>0.9765625</v>
      </c>
      <c r="Y11" s="2">
        <f t="shared" si="1"/>
        <v>-5.6610464381160464E-3</v>
      </c>
      <c r="Z11" s="2">
        <f t="shared" si="3"/>
        <v>0.97265625</v>
      </c>
      <c r="AA11" s="2">
        <f t="shared" si="2"/>
        <v>-1.6766306090070238E-3</v>
      </c>
      <c r="AB11" s="2">
        <f t="shared" si="4"/>
        <v>-3.8703486667424195E-6</v>
      </c>
      <c r="AC11" s="2">
        <f t="shared" si="5"/>
        <v>9.4914837371555494E-6</v>
      </c>
      <c r="AD11" s="2">
        <f t="shared" si="6"/>
        <v>7.8125E-3</v>
      </c>
      <c r="AF11" s="2">
        <v>7</v>
      </c>
      <c r="AG11" s="2">
        <f t="shared" si="13"/>
        <v>2420.3125</v>
      </c>
      <c r="AH11" s="2">
        <v>-61.730638358070109</v>
      </c>
      <c r="AI11" s="2">
        <f t="shared" si="14"/>
        <v>2575</v>
      </c>
      <c r="AJ11" s="2">
        <v>2.1690422532296907</v>
      </c>
      <c r="AK11" s="2">
        <f t="shared" si="9"/>
        <v>2497.65625</v>
      </c>
      <c r="AL11" s="2">
        <v>-29.501195594496721</v>
      </c>
      <c r="AM11" s="2">
        <f t="shared" si="10"/>
        <v>1821.1276363745683</v>
      </c>
      <c r="AN11" s="2">
        <f t="shared" si="11"/>
        <v>-63.989339765256993</v>
      </c>
      <c r="AO11" s="2">
        <f t="shared" si="12"/>
        <v>154.6875</v>
      </c>
    </row>
    <row r="12" spans="2:41" x14ac:dyDescent="0.2">
      <c r="B12" s="6" t="s">
        <v>146</v>
      </c>
      <c r="C12" s="17">
        <v>24.662969584235601</v>
      </c>
      <c r="D12" s="6" t="s">
        <v>11</v>
      </c>
      <c r="F12" s="34" t="s">
        <v>88</v>
      </c>
      <c r="G12" s="35"/>
      <c r="H12" s="35"/>
      <c r="N12" s="6" t="s">
        <v>149</v>
      </c>
      <c r="O12" s="6">
        <f xml:space="preserve"> O4 / (O5 * $C$12)</f>
        <v>0.45561516549300485</v>
      </c>
      <c r="U12" s="2">
        <v>8</v>
      </c>
      <c r="V12" s="2">
        <f t="shared" si="7"/>
        <v>0.96875</v>
      </c>
      <c r="W12" s="2">
        <f t="shared" si="0"/>
        <v>2.3084086893979672E-3</v>
      </c>
      <c r="X12" s="2">
        <f t="shared" si="8"/>
        <v>0.97265625</v>
      </c>
      <c r="Y12" s="2">
        <f t="shared" si="1"/>
        <v>-1.6766306090070238E-3</v>
      </c>
      <c r="Z12" s="2">
        <f t="shared" si="3"/>
        <v>0.970703125</v>
      </c>
      <c r="AA12" s="2">
        <f t="shared" si="2"/>
        <v>3.1581064297714345E-4</v>
      </c>
      <c r="AB12" s="2">
        <f t="shared" si="4"/>
        <v>7.2902003245279709E-7</v>
      </c>
      <c r="AC12" s="2">
        <f t="shared" si="5"/>
        <v>-5.2949779066566774E-7</v>
      </c>
      <c r="AD12" s="2">
        <f t="shared" si="6"/>
        <v>3.90625E-3</v>
      </c>
      <c r="AF12" s="2">
        <v>8</v>
      </c>
      <c r="AG12" s="2">
        <f t="shared" si="13"/>
        <v>2497.65625</v>
      </c>
      <c r="AH12" s="2">
        <v>-29.501195594496721</v>
      </c>
      <c r="AI12" s="2">
        <f t="shared" si="14"/>
        <v>2575</v>
      </c>
      <c r="AJ12" s="2">
        <v>2.1690422532296907</v>
      </c>
      <c r="AK12" s="2">
        <f t="shared" si="9"/>
        <v>2536.328125</v>
      </c>
      <c r="AL12" s="2">
        <v>-13.596134337685953</v>
      </c>
      <c r="AM12" s="2">
        <f t="shared" si="10"/>
        <v>401.10221842512641</v>
      </c>
      <c r="AN12" s="2">
        <f t="shared" si="11"/>
        <v>-29.490589859027907</v>
      </c>
      <c r="AO12" s="2">
        <f t="shared" si="12"/>
        <v>77.34375</v>
      </c>
    </row>
    <row r="13" spans="2:41" x14ac:dyDescent="0.2">
      <c r="B13" s="6" t="s">
        <v>147</v>
      </c>
      <c r="C13" s="17">
        <v>7.9628474362053598</v>
      </c>
      <c r="F13" s="9" t="s">
        <v>91</v>
      </c>
      <c r="G13" s="6">
        <f xml:space="preserve"> $C$17/$C$7</f>
        <v>1500</v>
      </c>
      <c r="H13" s="6" t="s">
        <v>14</v>
      </c>
      <c r="J13" s="27" t="s">
        <v>53</v>
      </c>
      <c r="K13" s="27"/>
      <c r="L13" s="27"/>
      <c r="N13" s="6" t="s">
        <v>150</v>
      </c>
      <c r="O13" s="6">
        <f xml:space="preserve"> O9 + O12^2 / ( PI() * O11 * $C$13 )</f>
        <v>3.8037422040800656E-2</v>
      </c>
      <c r="U13" s="2">
        <v>9</v>
      </c>
      <c r="V13" s="2">
        <f t="shared" si="7"/>
        <v>0.970703125</v>
      </c>
      <c r="W13" s="2">
        <f t="shared" si="0"/>
        <v>3.1581064297714345E-4</v>
      </c>
      <c r="X13" s="2">
        <f t="shared" si="8"/>
        <v>0.97265625</v>
      </c>
      <c r="Y13" s="2">
        <f t="shared" si="1"/>
        <v>-1.6766306090070238E-3</v>
      </c>
      <c r="Z13" s="2">
        <f t="shared" si="3"/>
        <v>0.9716796875</v>
      </c>
      <c r="AA13" s="2">
        <f t="shared" si="2"/>
        <v>-6.8042952408908786E-4</v>
      </c>
      <c r="AB13" s="2">
        <f t="shared" si="4"/>
        <v>-2.1488688550320657E-7</v>
      </c>
      <c r="AC13" s="2">
        <f t="shared" si="5"/>
        <v>1.1408289673598468E-6</v>
      </c>
      <c r="AD13" s="2">
        <f t="shared" si="6"/>
        <v>1.953125E-3</v>
      </c>
      <c r="AF13" s="2">
        <v>9</v>
      </c>
      <c r="AG13" s="2">
        <f t="shared" si="13"/>
        <v>2536.328125</v>
      </c>
      <c r="AH13" s="2">
        <v>-13.596134337685953</v>
      </c>
      <c r="AI13" s="2">
        <f t="shared" si="14"/>
        <v>2575</v>
      </c>
      <c r="AJ13" s="2">
        <v>2.1690422532296907</v>
      </c>
      <c r="AK13" s="2">
        <f t="shared" si="9"/>
        <v>2555.6640625</v>
      </c>
      <c r="AL13" s="2">
        <v>-5.6960557146596784</v>
      </c>
      <c r="AM13" s="2">
        <f t="shared" si="10"/>
        <v>77.44433869145675</v>
      </c>
      <c r="AN13" s="2">
        <f t="shared" si="11"/>
        <v>-12.354985521847285</v>
      </c>
      <c r="AO13" s="2">
        <f t="shared" si="12"/>
        <v>38.671875</v>
      </c>
    </row>
    <row r="14" spans="2:41" x14ac:dyDescent="0.2">
      <c r="F14" s="6" t="s">
        <v>153</v>
      </c>
      <c r="G14" s="6">
        <f>O21*$C$10</f>
        <v>69.813164320009037</v>
      </c>
      <c r="H14" s="6" t="s">
        <v>10</v>
      </c>
      <c r="J14" s="10" t="s">
        <v>81</v>
      </c>
      <c r="K14" s="18">
        <f>C5</f>
        <v>2569.6589227015465</v>
      </c>
      <c r="L14" s="6" t="s">
        <v>7</v>
      </c>
      <c r="N14" s="6" t="s">
        <v>41</v>
      </c>
      <c r="O14" s="6">
        <f xml:space="preserve"> O5 * O13 * $C$12</f>
        <v>2102.5144875848641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3.1581064297714345E-4</v>
      </c>
      <c r="X14" s="2">
        <f t="shared" si="8"/>
        <v>0.9716796875</v>
      </c>
      <c r="Y14" s="2">
        <f t="shared" si="1"/>
        <v>-6.8042952408908786E-4</v>
      </c>
      <c r="Z14" s="2">
        <f t="shared" si="3"/>
        <v>0.97119140625</v>
      </c>
      <c r="AA14" s="2">
        <f t="shared" si="2"/>
        <v>-1.8231433308535383E-4</v>
      </c>
      <c r="AB14" s="2">
        <f t="shared" si="4"/>
        <v>-5.7576806755634689E-8</v>
      </c>
      <c r="AC14" s="2">
        <f t="shared" si="5"/>
        <v>1.2405205489588675E-7</v>
      </c>
      <c r="AD14" s="2">
        <f t="shared" si="6"/>
        <v>9.765625E-4</v>
      </c>
      <c r="AF14" s="2">
        <v>10</v>
      </c>
      <c r="AG14" s="2">
        <f t="shared" si="13"/>
        <v>2555.6640625</v>
      </c>
      <c r="AH14" s="2">
        <v>-5.6960557146596784</v>
      </c>
      <c r="AI14" s="2">
        <f t="shared" si="14"/>
        <v>2575</v>
      </c>
      <c r="AJ14" s="2">
        <v>2.1690422532296907</v>
      </c>
      <c r="AK14" s="2">
        <f t="shared" si="9"/>
        <v>2565.33203125</v>
      </c>
      <c r="AL14" s="2">
        <v>-1.7591334730993822</v>
      </c>
      <c r="AM14" s="2">
        <f t="shared" si="10"/>
        <v>10.020122272296863</v>
      </c>
      <c r="AN14" s="2">
        <f t="shared" si="11"/>
        <v>-3.8156348322232554</v>
      </c>
      <c r="AO14" s="2">
        <f t="shared" si="12"/>
        <v>19.3359375</v>
      </c>
    </row>
    <row r="15" spans="2:41" x14ac:dyDescent="0.2">
      <c r="B15" s="31" t="s">
        <v>12</v>
      </c>
      <c r="C15" s="31"/>
      <c r="D15" s="31"/>
      <c r="F15" s="6" t="s">
        <v>154</v>
      </c>
      <c r="G15" s="6">
        <f>G14/$C$73</f>
        <v>0.20982446704877744</v>
      </c>
      <c r="H15" s="6" t="s">
        <v>130</v>
      </c>
      <c r="J15" s="11" t="s">
        <v>54</v>
      </c>
      <c r="K15" s="6">
        <f xml:space="preserve"> 1000 * K10 / ($C$60 * $C$61 * $C$62)</f>
        <v>858.35139398992283</v>
      </c>
      <c r="L15" s="6" t="s">
        <v>7</v>
      </c>
      <c r="N15" s="6" t="s">
        <v>151</v>
      </c>
      <c r="O15" s="6">
        <f>O4/O14</f>
        <v>11.978076879245167</v>
      </c>
      <c r="U15" s="2">
        <v>11</v>
      </c>
      <c r="V15" s="2">
        <f t="shared" si="7"/>
        <v>0.970703125</v>
      </c>
      <c r="W15" s="2">
        <f t="shared" si="0"/>
        <v>3.1581064297714345E-4</v>
      </c>
      <c r="X15" s="2">
        <f t="shared" si="8"/>
        <v>0.97119140625</v>
      </c>
      <c r="Y15" s="2">
        <f t="shared" si="1"/>
        <v>-1.8231433308535383E-4</v>
      </c>
      <c r="Z15" s="2">
        <f t="shared" si="3"/>
        <v>0.970947265625</v>
      </c>
      <c r="AA15" s="2">
        <f t="shared" si="2"/>
        <v>6.6746930904360013E-5</v>
      </c>
      <c r="AB15" s="2">
        <f t="shared" si="4"/>
        <v>2.1079391165656902E-8</v>
      </c>
      <c r="AC15" s="2">
        <f t="shared" si="5"/>
        <v>-1.2168922193322589E-8</v>
      </c>
      <c r="AD15" s="2">
        <f t="shared" si="6"/>
        <v>4.8828125E-4</v>
      </c>
      <c r="AF15" s="2">
        <v>11</v>
      </c>
      <c r="AG15" s="2">
        <f t="shared" si="13"/>
        <v>2565.33203125</v>
      </c>
      <c r="AH15" s="2">
        <v>-1.7591334730993822</v>
      </c>
      <c r="AI15" s="2">
        <f t="shared" si="14"/>
        <v>2575</v>
      </c>
      <c r="AJ15" s="2">
        <v>2.1690422532296907</v>
      </c>
      <c r="AK15" s="2">
        <f t="shared" si="9"/>
        <v>2570.166015625</v>
      </c>
      <c r="AL15" s="2">
        <v>0.20604787180513995</v>
      </c>
      <c r="AM15" s="2">
        <f t="shared" si="10"/>
        <v>-0.3624657083533121</v>
      </c>
      <c r="AN15" s="2">
        <f t="shared" si="11"/>
        <v>0.44692654013340322</v>
      </c>
      <c r="AO15" s="2">
        <f t="shared" si="12"/>
        <v>9.66796875</v>
      </c>
    </row>
    <row r="16" spans="2:41" x14ac:dyDescent="0.2">
      <c r="B16" s="6" t="s">
        <v>70</v>
      </c>
      <c r="C16" s="6">
        <f>C35*100</f>
        <v>600</v>
      </c>
      <c r="D16" s="6" t="s">
        <v>7</v>
      </c>
      <c r="F16" s="9" t="s">
        <v>20</v>
      </c>
      <c r="G16" s="6">
        <f>O20</f>
        <v>2102.5144875848641</v>
      </c>
      <c r="H16" s="6" t="s">
        <v>21</v>
      </c>
      <c r="J16" s="12" t="s">
        <v>134</v>
      </c>
      <c r="K16" s="6">
        <f xml:space="preserve"> $C$78 * ( $C$21 * (0.0095 * MAX(G7,G26) - 1.9275) +  $C$28 * (0.0095 * MAX(O20) - 1.9275) )</f>
        <v>193.51842877298111</v>
      </c>
      <c r="L16" s="6" t="s">
        <v>7</v>
      </c>
      <c r="N16" s="6" t="s">
        <v>117</v>
      </c>
      <c r="O16" s="6">
        <f>(O13*$C$12)/(0.3048^2)/($C$5*2.20462/1000)^(2/3)</f>
        <v>3.1775107890538354</v>
      </c>
      <c r="U16" s="2">
        <v>12</v>
      </c>
      <c r="V16" s="2">
        <f t="shared" si="7"/>
        <v>0.970947265625</v>
      </c>
      <c r="W16" s="2">
        <f t="shared" si="0"/>
        <v>6.6746930904360013E-5</v>
      </c>
      <c r="X16" s="2">
        <f t="shared" si="8"/>
        <v>0.97119140625</v>
      </c>
      <c r="Y16" s="2">
        <f t="shared" si="1"/>
        <v>-1.8231433308535383E-4</v>
      </c>
      <c r="Z16" s="2">
        <f t="shared" si="3"/>
        <v>0.9710693359375</v>
      </c>
      <c r="AA16" s="2">
        <f t="shared" si="2"/>
        <v>-5.7784006987082748E-5</v>
      </c>
      <c r="AB16" s="2">
        <f t="shared" si="4"/>
        <v>-3.8569051217438682E-9</v>
      </c>
      <c r="AC16" s="2">
        <f t="shared" si="5"/>
        <v>1.0534852696849417E-8</v>
      </c>
      <c r="AD16" s="2">
        <f t="shared" si="6"/>
        <v>2.44140625E-4</v>
      </c>
      <c r="AF16" s="2">
        <v>12</v>
      </c>
      <c r="AG16" s="2">
        <f t="shared" si="13"/>
        <v>2565.33203125</v>
      </c>
      <c r="AH16" s="2">
        <v>-1.7591334730993822</v>
      </c>
      <c r="AI16" s="2">
        <f t="shared" si="14"/>
        <v>2570.166015625</v>
      </c>
      <c r="AJ16" s="2">
        <v>0.20604787180513995</v>
      </c>
      <c r="AK16" s="2">
        <f t="shared" si="9"/>
        <v>2567.7490234375</v>
      </c>
      <c r="AL16" s="2">
        <v>-0.77626972797474991</v>
      </c>
      <c r="AM16" s="2">
        <f t="shared" si="10"/>
        <v>1.3655620626341345</v>
      </c>
      <c r="AN16" s="2">
        <f t="shared" si="11"/>
        <v>-0.15994872539595212</v>
      </c>
      <c r="AO16" s="2">
        <f t="shared" si="12"/>
        <v>4.833984375</v>
      </c>
    </row>
    <row r="17" spans="2:41" x14ac:dyDescent="0.2">
      <c r="B17" s="6" t="s">
        <v>13</v>
      </c>
      <c r="C17" s="17">
        <v>100000</v>
      </c>
      <c r="D17" s="6" t="s">
        <v>8</v>
      </c>
      <c r="F17" s="9" t="s">
        <v>99</v>
      </c>
      <c r="G17" s="6">
        <f xml:space="preserve"> 1/1000 * (O25 + O20 * (O30 * O27 + $C$7 * SIN(O19/180*PI())))</f>
        <v>146.75747472719638</v>
      </c>
      <c r="H17" s="6" t="s">
        <v>103</v>
      </c>
      <c r="J17" s="12" t="s">
        <v>135</v>
      </c>
      <c r="K17" s="6">
        <v>0</v>
      </c>
      <c r="L17" s="6" t="s">
        <v>7</v>
      </c>
      <c r="U17" s="2">
        <v>13</v>
      </c>
      <c r="V17" s="2">
        <f t="shared" si="7"/>
        <v>0.970947265625</v>
      </c>
      <c r="W17" s="2">
        <f t="shared" si="0"/>
        <v>6.6746930904360013E-5</v>
      </c>
      <c r="X17" s="2">
        <f t="shared" si="8"/>
        <v>0.9710693359375</v>
      </c>
      <c r="Y17" s="2">
        <f t="shared" si="1"/>
        <v>-5.7784006987082748E-5</v>
      </c>
      <c r="Z17" s="2">
        <f t="shared" si="3"/>
        <v>0.97100830078125</v>
      </c>
      <c r="AA17" s="2">
        <f t="shared" si="2"/>
        <v>4.4813854702674405E-6</v>
      </c>
      <c r="AB17" s="2">
        <f t="shared" si="4"/>
        <v>2.9911872633974376E-10</v>
      </c>
      <c r="AC17" s="2">
        <f t="shared" si="5"/>
        <v>-2.5895240932574487E-10</v>
      </c>
      <c r="AD17" s="2">
        <f t="shared" si="6"/>
        <v>1.220703125E-4</v>
      </c>
      <c r="AF17" s="2">
        <v>13</v>
      </c>
      <c r="AG17" s="2">
        <f t="shared" si="13"/>
        <v>2567.7490234375</v>
      </c>
      <c r="AH17" s="2">
        <v>-0.77626972797474991</v>
      </c>
      <c r="AI17" s="2">
        <f t="shared" si="14"/>
        <v>2570.166015625</v>
      </c>
      <c r="AJ17" s="2">
        <v>0.20604787180513995</v>
      </c>
      <c r="AK17" s="2">
        <f t="shared" si="9"/>
        <v>2568.95751953125</v>
      </c>
      <c r="AL17" s="2">
        <v>-0.28504275520140254</v>
      </c>
      <c r="AM17" s="2">
        <f t="shared" si="10"/>
        <v>0.22127006204136598</v>
      </c>
      <c r="AN17" s="2">
        <f t="shared" si="11"/>
        <v>-5.8732453082722479E-2</v>
      </c>
      <c r="AO17" s="2">
        <f t="shared" si="12"/>
        <v>2.4169921875</v>
      </c>
    </row>
    <row r="18" spans="2:41" x14ac:dyDescent="0.2">
      <c r="B18" s="6" t="s">
        <v>177</v>
      </c>
      <c r="C18" s="17">
        <v>1</v>
      </c>
      <c r="F18" t="s">
        <v>188</v>
      </c>
      <c r="G18" s="6">
        <f xml:space="preserve"> (G16/$C$74*1000) / (G17*1000)</f>
        <v>1.4618006671706665</v>
      </c>
      <c r="H18" s="6" t="s">
        <v>189</v>
      </c>
      <c r="J18" s="13" t="s">
        <v>55</v>
      </c>
      <c r="K18" s="6">
        <f xml:space="preserve"> $C$78 * (0.2138 * K4 + 0.2138 * K6)</f>
        <v>148.34566599431326</v>
      </c>
      <c r="L18" s="6" t="s">
        <v>7</v>
      </c>
      <c r="N18" s="34" t="s">
        <v>152</v>
      </c>
      <c r="O18" s="36"/>
      <c r="P18" s="36"/>
      <c r="U18" s="2">
        <v>14</v>
      </c>
      <c r="V18" s="2">
        <f t="shared" si="7"/>
        <v>0.97100830078125</v>
      </c>
      <c r="W18" s="2">
        <f t="shared" si="0"/>
        <v>4.4813854702674405E-6</v>
      </c>
      <c r="X18" s="2">
        <f t="shared" si="8"/>
        <v>0.9710693359375</v>
      </c>
      <c r="Y18" s="2">
        <f t="shared" si="1"/>
        <v>-5.7784006987082748E-5</v>
      </c>
      <c r="Z18" s="2">
        <f t="shared" si="3"/>
        <v>0.971038818359375</v>
      </c>
      <c r="AA18" s="2">
        <f t="shared" si="2"/>
        <v>-2.6651329878779606E-5</v>
      </c>
      <c r="AB18" s="2">
        <f t="shared" si="4"/>
        <v>-1.1943488248206743E-10</v>
      </c>
      <c r="AC18" s="2">
        <f t="shared" si="5"/>
        <v>1.540020631930448E-9</v>
      </c>
      <c r="AD18" s="2">
        <f t="shared" si="6"/>
        <v>6.103515625E-5</v>
      </c>
      <c r="AF18" s="2">
        <v>14</v>
      </c>
      <c r="AG18" s="2">
        <f t="shared" si="13"/>
        <v>2568.95751953125</v>
      </c>
      <c r="AH18" s="2">
        <v>-0.28504275520140254</v>
      </c>
      <c r="AI18" s="2">
        <f t="shared" si="14"/>
        <v>2570.166015625</v>
      </c>
      <c r="AJ18" s="2">
        <v>0.20604787180513995</v>
      </c>
      <c r="AK18" s="2">
        <f t="shared" si="9"/>
        <v>2569.561767578125</v>
      </c>
      <c r="AL18" s="2">
        <v>-3.9479820276483224E-2</v>
      </c>
      <c r="AM18" s="2">
        <f t="shared" si="10"/>
        <v>1.1253436746464975E-2</v>
      </c>
      <c r="AN18" s="2">
        <f t="shared" si="11"/>
        <v>-8.1347329472187795E-3</v>
      </c>
      <c r="AO18" s="2">
        <f t="shared" si="12"/>
        <v>1.20849609375</v>
      </c>
    </row>
    <row r="19" spans="2:41" x14ac:dyDescent="0.2">
      <c r="F19" s="9" t="s">
        <v>190</v>
      </c>
      <c r="G19" s="6">
        <f>O23 / ($C$29*$C$11/PI())</f>
        <v>4.5213648786253009E-2</v>
      </c>
      <c r="J19" s="13" t="s">
        <v>79</v>
      </c>
      <c r="K19" s="6">
        <f xml:space="preserve"> $C$78 * (0.1149 * K4 + 0.1149 * K6)</f>
        <v>79.723653053071075</v>
      </c>
      <c r="L19" s="6" t="s">
        <v>7</v>
      </c>
      <c r="N19" s="6" t="s">
        <v>27</v>
      </c>
      <c r="O19" s="6">
        <f xml:space="preserve"> 90 - $C$81</f>
        <v>85</v>
      </c>
      <c r="P19" s="6" t="s">
        <v>42</v>
      </c>
      <c r="U19" s="2">
        <v>15</v>
      </c>
      <c r="V19" s="2">
        <f t="shared" si="7"/>
        <v>0.97100830078125</v>
      </c>
      <c r="W19" s="2">
        <f t="shared" si="0"/>
        <v>4.4813854702674405E-6</v>
      </c>
      <c r="X19" s="2">
        <f t="shared" si="8"/>
        <v>0.971038818359375</v>
      </c>
      <c r="Y19" s="2">
        <f t="shared" si="1"/>
        <v>-2.6651329878779606E-5</v>
      </c>
      <c r="Z19" s="2">
        <f t="shared" si="3"/>
        <v>0.9710235595703125</v>
      </c>
      <c r="AA19" s="2">
        <f t="shared" si="2"/>
        <v>-1.108497698454336E-5</v>
      </c>
      <c r="AB19" s="2">
        <f t="shared" si="4"/>
        <v>-4.9676054796781602E-11</v>
      </c>
      <c r="AC19" s="2">
        <f t="shared" si="5"/>
        <v>2.9542937831374472E-10</v>
      </c>
      <c r="AD19" s="2">
        <f t="shared" si="6"/>
        <v>3.0517578125E-5</v>
      </c>
      <c r="AF19" s="2">
        <v>15</v>
      </c>
      <c r="AG19" s="2">
        <f t="shared" si="13"/>
        <v>2569.561767578125</v>
      </c>
      <c r="AH19" s="2">
        <v>-3.9479820276483224E-2</v>
      </c>
      <c r="AI19" s="2">
        <f t="shared" si="14"/>
        <v>2570.166015625</v>
      </c>
      <c r="AJ19" s="2">
        <v>0.20604787180513995</v>
      </c>
      <c r="AK19" s="2">
        <f t="shared" si="9"/>
        <v>2569.8638916015625</v>
      </c>
      <c r="AL19" s="2">
        <v>8.3288238458862907E-2</v>
      </c>
      <c r="AM19" s="2">
        <f t="shared" si="10"/>
        <v>-3.2882046855007858E-3</v>
      </c>
      <c r="AN19" s="2">
        <f t="shared" si="11"/>
        <v>1.7161364280847712E-2</v>
      </c>
      <c r="AO19" s="2">
        <f t="shared" si="12"/>
        <v>0.604248046875</v>
      </c>
    </row>
    <row r="20" spans="2:41" x14ac:dyDescent="0.2">
      <c r="B20" s="31" t="s">
        <v>114</v>
      </c>
      <c r="C20" s="31"/>
      <c r="D20" s="31"/>
      <c r="F20" s="26" t="s">
        <v>139</v>
      </c>
      <c r="G20" s="25">
        <f xml:space="preserve"> $C$28 * G17</f>
        <v>146.75747472719638</v>
      </c>
      <c r="H20" s="25" t="s">
        <v>103</v>
      </c>
      <c r="J20" s="14" t="s">
        <v>62</v>
      </c>
      <c r="K20" s="6">
        <f xml:space="preserve"> $C$79 * (14.86 * ($C$5*2.20462)^0.144 * ($C$36/(PI()*$C$37))^0.778 * ($C$36*3.28084)^0.383 * $C$35^0.455 * 0.453592)</f>
        <v>219.76959105079106</v>
      </c>
      <c r="L20" s="6" t="s">
        <v>7</v>
      </c>
      <c r="N20" s="6" t="s">
        <v>20</v>
      </c>
      <c r="O20" s="6">
        <f xml:space="preserve"> O14 / $C$28</f>
        <v>2102.5144875848641</v>
      </c>
      <c r="P20" s="6" t="s">
        <v>21</v>
      </c>
      <c r="U20" s="2">
        <v>16</v>
      </c>
      <c r="V20" s="2">
        <f t="shared" si="7"/>
        <v>0.97100830078125</v>
      </c>
      <c r="W20" s="2">
        <f t="shared" si="0"/>
        <v>4.4813854702674405E-6</v>
      </c>
      <c r="X20" s="2">
        <f t="shared" si="8"/>
        <v>0.9710235595703125</v>
      </c>
      <c r="Y20" s="2">
        <f t="shared" si="1"/>
        <v>-1.108497698454336E-5</v>
      </c>
      <c r="Z20" s="2">
        <f t="shared" si="3"/>
        <v>0.97101593017578125</v>
      </c>
      <c r="AA20" s="2">
        <f t="shared" si="2"/>
        <v>-3.3017969522930457E-6</v>
      </c>
      <c r="AB20" s="2">
        <f t="shared" si="4"/>
        <v>-1.4796624887779373E-11</v>
      </c>
      <c r="AC20" s="2">
        <f t="shared" si="5"/>
        <v>3.6600343223803821E-11</v>
      </c>
      <c r="AD20" s="2">
        <f t="shared" si="6"/>
        <v>1.52587890625E-5</v>
      </c>
      <c r="AF20" s="2">
        <v>16</v>
      </c>
      <c r="AG20" s="2">
        <f t="shared" si="13"/>
        <v>2569.561767578125</v>
      </c>
      <c r="AH20" s="2">
        <v>-3.9479820276483224E-2</v>
      </c>
      <c r="AI20" s="2">
        <f t="shared" si="14"/>
        <v>2569.8638916015625</v>
      </c>
      <c r="AJ20" s="2">
        <v>8.3288238458862907E-2</v>
      </c>
      <c r="AK20" s="2">
        <f t="shared" si="9"/>
        <v>2569.7128295898438</v>
      </c>
      <c r="AL20" s="2">
        <v>2.1905262263317127E-2</v>
      </c>
      <c r="AM20" s="2">
        <f t="shared" si="10"/>
        <v>-8.6481581726499028E-4</v>
      </c>
      <c r="AN20" s="2">
        <f t="shared" si="11"/>
        <v>1.8244507068910878E-3</v>
      </c>
      <c r="AO20" s="2">
        <f t="shared" si="12"/>
        <v>0.3021240234375</v>
      </c>
    </row>
    <row r="21" spans="2:41" x14ac:dyDescent="0.2">
      <c r="B21" s="6" t="s">
        <v>96</v>
      </c>
      <c r="C21" s="17">
        <v>8</v>
      </c>
      <c r="J21" s="14" t="s">
        <v>63</v>
      </c>
      <c r="K21" s="6">
        <f xml:space="preserve"> $C$79 * C41 * $C$5</f>
        <v>66.811131990240213</v>
      </c>
      <c r="L21" s="6" t="s">
        <v>7</v>
      </c>
      <c r="N21" s="6" t="s">
        <v>28</v>
      </c>
      <c r="O21" s="6">
        <f>$C$6*2*PI()/60</f>
        <v>37.090909939542598</v>
      </c>
      <c r="P21" s="6" t="s">
        <v>29</v>
      </c>
      <c r="U21" s="2">
        <v>17</v>
      </c>
      <c r="V21" s="2">
        <f t="shared" si="7"/>
        <v>0.97100830078125</v>
      </c>
      <c r="W21" s="2">
        <f t="shared" si="0"/>
        <v>4.4813854702674405E-6</v>
      </c>
      <c r="X21" s="2">
        <f t="shared" si="8"/>
        <v>0.97101593017578125</v>
      </c>
      <c r="Y21" s="2">
        <f t="shared" si="1"/>
        <v>-3.3017969522930457E-6</v>
      </c>
      <c r="Z21" s="2">
        <f t="shared" si="3"/>
        <v>0.97101211547851562</v>
      </c>
      <c r="AA21" s="2">
        <f t="shared" si="2"/>
        <v>5.8979396022618147E-7</v>
      </c>
      <c r="AB21" s="2">
        <f t="shared" si="4"/>
        <v>2.6430940838091025E-12</v>
      </c>
      <c r="AC21" s="2">
        <f t="shared" si="5"/>
        <v>-1.9473799003556518E-12</v>
      </c>
      <c r="AD21" s="2">
        <f t="shared" si="6"/>
        <v>7.62939453125E-6</v>
      </c>
      <c r="AF21" s="2">
        <v>17</v>
      </c>
      <c r="AG21" s="2">
        <f t="shared" si="13"/>
        <v>2569.561767578125</v>
      </c>
      <c r="AH21" s="2">
        <v>-3.9479820276483224E-2</v>
      </c>
      <c r="AI21" s="2">
        <f t="shared" si="14"/>
        <v>2569.7128295898438</v>
      </c>
      <c r="AJ21" s="2">
        <v>2.1905262263317127E-2</v>
      </c>
      <c r="AK21" s="2">
        <f t="shared" si="9"/>
        <v>2569.6372985839844</v>
      </c>
      <c r="AL21" s="2">
        <v>-8.7870157140059746E-3</v>
      </c>
      <c r="AM21" s="2">
        <f t="shared" si="10"/>
        <v>3.4690980115558979E-4</v>
      </c>
      <c r="AN21" s="2">
        <f t="shared" si="11"/>
        <v>-1.9248188372718967E-4</v>
      </c>
      <c r="AO21" s="2">
        <f t="shared" si="12"/>
        <v>0.15106201171875</v>
      </c>
    </row>
    <row r="22" spans="2:41" x14ac:dyDescent="0.2">
      <c r="B22" s="6" t="s">
        <v>113</v>
      </c>
      <c r="C22" s="17">
        <v>2</v>
      </c>
      <c r="F22" s="31" t="s">
        <v>83</v>
      </c>
      <c r="G22" s="31"/>
      <c r="H22" s="31"/>
      <c r="J22" s="14" t="s">
        <v>155</v>
      </c>
      <c r="K22" s="6">
        <f xml:space="preserve"> $C$79 * (0.04674 * ($C$5*2.20462)^0.397 * ($C$12*3.28084^2)^0.36 * $C$46^0.397 * $C$13^1.712 * 0.453592)</f>
        <v>210.94048642030307</v>
      </c>
      <c r="L22" s="6" t="s">
        <v>7</v>
      </c>
      <c r="N22" s="6" t="s">
        <v>30</v>
      </c>
      <c r="O22" s="6">
        <f xml:space="preserve"> $C$7 * COS(O19/180*PI()) / (O21 * $C$10)</f>
        <v>8.3227610529302234E-2</v>
      </c>
      <c r="U22" s="2">
        <v>18</v>
      </c>
      <c r="V22" s="2">
        <f t="shared" si="7"/>
        <v>0.97101211547851562</v>
      </c>
      <c r="W22" s="2">
        <f t="shared" si="0"/>
        <v>5.8979396022618147E-7</v>
      </c>
      <c r="X22" s="2">
        <f t="shared" si="8"/>
        <v>0.97101593017578125</v>
      </c>
      <c r="Y22" s="2">
        <f t="shared" si="1"/>
        <v>-3.3017969522930457E-6</v>
      </c>
      <c r="Z22" s="2">
        <f t="shared" si="3"/>
        <v>0.97101402282714844</v>
      </c>
      <c r="AA22" s="2">
        <f t="shared" si="2"/>
        <v>-1.3560015706959305E-6</v>
      </c>
      <c r="AB22" s="2">
        <f t="shared" si="4"/>
        <v>-7.9976153645367529E-13</v>
      </c>
      <c r="AC22" s="2">
        <f t="shared" si="5"/>
        <v>4.4772418534284062E-12</v>
      </c>
      <c r="AD22" s="2">
        <f t="shared" si="6"/>
        <v>3.814697265625E-6</v>
      </c>
      <c r="AF22" s="2">
        <v>18</v>
      </c>
      <c r="AG22" s="2">
        <f t="shared" si="13"/>
        <v>2569.6372985839844</v>
      </c>
      <c r="AH22" s="2">
        <v>-8.7870157140059746E-3</v>
      </c>
      <c r="AI22" s="2">
        <f t="shared" si="14"/>
        <v>2569.7128295898438</v>
      </c>
      <c r="AJ22" s="2">
        <v>2.1905262263317127E-2</v>
      </c>
      <c r="AK22" s="2">
        <f t="shared" si="9"/>
        <v>2569.6750640869141</v>
      </c>
      <c r="AL22" s="2">
        <v>6.5591890981977485E-3</v>
      </c>
      <c r="AM22" s="2">
        <f t="shared" si="10"/>
        <v>-5.7635697677000292E-5</v>
      </c>
      <c r="AN22" s="2">
        <f t="shared" si="11"/>
        <v>1.4368075743071223E-4</v>
      </c>
      <c r="AO22" s="2">
        <f t="shared" si="12"/>
        <v>7.5531005859375E-2</v>
      </c>
    </row>
    <row r="23" spans="2:41" x14ac:dyDescent="0.2">
      <c r="B23" s="6" t="s">
        <v>127</v>
      </c>
      <c r="C23" s="6">
        <f>$C$22*$C$9/PI()</f>
        <v>0.31022513338460861</v>
      </c>
      <c r="F23" s="6" t="s">
        <v>87</v>
      </c>
      <c r="G23" s="17">
        <f>300*0.3048/60</f>
        <v>1.524</v>
      </c>
      <c r="H23" s="6" t="s">
        <v>10</v>
      </c>
      <c r="J23" s="14" t="s">
        <v>64</v>
      </c>
      <c r="K23" s="6">
        <f xml:space="preserve"> $C$79 * (3.184 * ($C$5*2.20462)^0.887 * ($C$50*3.28084*3.28084)^0.101 * ($C$49)^0.138 ) / ( 174.04 * ($C$51*3.28084)^0.223 ) * 0.453592</f>
        <v>28.488718394712468</v>
      </c>
      <c r="L23" s="6" t="s">
        <v>7</v>
      </c>
      <c r="N23" s="6" t="s">
        <v>31</v>
      </c>
      <c r="O23" s="6">
        <f xml:space="preserve"> O20 / ( $C$71 * PI() * $C$10^2 * O21^2 * $C$10^2)</f>
        <v>3.8430827821032972E-2</v>
      </c>
      <c r="U23" s="2">
        <v>19</v>
      </c>
      <c r="V23" s="2">
        <f t="shared" si="7"/>
        <v>0.97101211547851562</v>
      </c>
      <c r="W23" s="2">
        <f t="shared" si="0"/>
        <v>5.8979396022618147E-7</v>
      </c>
      <c r="X23" s="2">
        <f t="shared" si="8"/>
        <v>0.97101402282714844</v>
      </c>
      <c r="Y23" s="2">
        <f t="shared" si="1"/>
        <v>-1.3560015706959305E-6</v>
      </c>
      <c r="Z23" s="2">
        <f t="shared" si="3"/>
        <v>0.97101306915283203</v>
      </c>
      <c r="AA23" s="2">
        <f t="shared" si="2"/>
        <v>-3.8310382388662134E-7</v>
      </c>
      <c r="AB23" s="2">
        <f t="shared" si="4"/>
        <v>-2.2595232146788397E-13</v>
      </c>
      <c r="AC23" s="2">
        <f t="shared" si="5"/>
        <v>5.1948938692987565E-13</v>
      </c>
      <c r="AD23" s="2">
        <f t="shared" si="6"/>
        <v>1.9073486328125E-6</v>
      </c>
      <c r="AF23" s="2">
        <v>19</v>
      </c>
      <c r="AG23" s="2">
        <f t="shared" si="13"/>
        <v>2569.6372985839844</v>
      </c>
      <c r="AH23" s="2">
        <v>-8.7870157140059746E-3</v>
      </c>
      <c r="AI23" s="2">
        <f t="shared" si="14"/>
        <v>2569.6750640869141</v>
      </c>
      <c r="AJ23" s="2">
        <v>6.5591890981977485E-3</v>
      </c>
      <c r="AK23" s="2">
        <f t="shared" si="9"/>
        <v>2569.6561813354492</v>
      </c>
      <c r="AL23" s="2">
        <v>-1.1138968513932923E-3</v>
      </c>
      <c r="AM23" s="2">
        <f t="shared" si="10"/>
        <v>9.7878291369746371E-6</v>
      </c>
      <c r="AN23" s="2">
        <f t="shared" si="11"/>
        <v>-7.3062600841756809E-6</v>
      </c>
      <c r="AO23" s="2">
        <f t="shared" si="12"/>
        <v>3.77655029296875E-2</v>
      </c>
    </row>
    <row r="24" spans="2:41" x14ac:dyDescent="0.2">
      <c r="B24" s="6" t="s">
        <v>156</v>
      </c>
      <c r="C24" s="17">
        <v>0.75</v>
      </c>
      <c r="F24" s="6" t="s">
        <v>93</v>
      </c>
      <c r="G24" s="17">
        <f>1000*0.3048</f>
        <v>304.8</v>
      </c>
      <c r="H24" s="6" t="s">
        <v>8</v>
      </c>
      <c r="J24" s="14" t="s">
        <v>65</v>
      </c>
      <c r="K24" s="6">
        <f xml:space="preserve"> $C$79 * ( 1.68 * ($C$5*2.20462)^0.567 * ($C$55*3.28084*3.28084)^1.249 * ($C$54)^0.482 ) / (639.95 * ($C$56*3.28084)^0.747 * (COS($C$57/180*PI()))^0.882 ) * 0.453592</f>
        <v>9.46138564670661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0.97101211547851562</v>
      </c>
      <c r="W24" s="2">
        <f t="shared" si="0"/>
        <v>5.8979396022618147E-7</v>
      </c>
      <c r="X24" s="2">
        <f t="shared" si="8"/>
        <v>0.97101306915283203</v>
      </c>
      <c r="Y24" s="2">
        <f t="shared" si="1"/>
        <v>-3.8310382388662134E-7</v>
      </c>
      <c r="Z24" s="2">
        <f t="shared" si="3"/>
        <v>0.97101259231567383</v>
      </c>
      <c r="AA24" s="2">
        <f t="shared" si="2"/>
        <v>1.0334506350684336E-7</v>
      </c>
      <c r="AB24" s="2">
        <f t="shared" si="4"/>
        <v>6.0952294275527366E-14</v>
      </c>
      <c r="AC24" s="2">
        <f t="shared" si="5"/>
        <v>-3.9591889009277414E-14</v>
      </c>
      <c r="AD24" s="2">
        <f t="shared" si="6"/>
        <v>9.5367431640625E-7</v>
      </c>
      <c r="AF24" s="2">
        <v>20</v>
      </c>
      <c r="AG24" s="2">
        <f t="shared" si="13"/>
        <v>2569.6561813354492</v>
      </c>
      <c r="AH24" s="2">
        <v>-1.1138968513932923E-3</v>
      </c>
      <c r="AI24" s="2">
        <f t="shared" si="14"/>
        <v>2569.6750640869141</v>
      </c>
      <c r="AJ24" s="2">
        <v>6.5591890981977485E-3</v>
      </c>
      <c r="AK24" s="2">
        <f t="shared" si="9"/>
        <v>2569.6656227111816</v>
      </c>
      <c r="AL24" s="2">
        <v>2.7226502372741379E-3</v>
      </c>
      <c r="AM24" s="2">
        <f t="shared" si="10"/>
        <v>-3.0327515267448623E-6</v>
      </c>
      <c r="AN24" s="2">
        <f t="shared" si="11"/>
        <v>1.7858377754534038E-5</v>
      </c>
      <c r="AO24" s="2">
        <f t="shared" si="12"/>
        <v>1.888275146484375E-2</v>
      </c>
    </row>
    <row r="25" spans="2:41" x14ac:dyDescent="0.2">
      <c r="B25" s="6" t="s">
        <v>192</v>
      </c>
      <c r="C25" s="17">
        <v>50</v>
      </c>
      <c r="D25" s="6" t="s">
        <v>60</v>
      </c>
      <c r="F25" s="6" t="s">
        <v>92</v>
      </c>
      <c r="G25" s="6">
        <f xml:space="preserve"> $G$24/$G$23</f>
        <v>200</v>
      </c>
      <c r="H25" s="6" t="s">
        <v>14</v>
      </c>
      <c r="J25" s="14" t="s">
        <v>116</v>
      </c>
      <c r="K25" s="6">
        <f>$C$79*(0.14*$G$10*1000/745.7)*0.453592</f>
        <v>29.393595030169351</v>
      </c>
      <c r="L25" s="6" t="s">
        <v>7</v>
      </c>
      <c r="N25" s="6" t="s">
        <v>32</v>
      </c>
      <c r="O25" s="6">
        <f xml:space="preserve"> ($C$30 * $O$24 / 8) * (1 + 4.65 * O22^2) * ( PI() * $C$71 * O21^3 * $C$10^5)</f>
        <v>3727.9901345440426</v>
      </c>
      <c r="P25" s="6" t="s">
        <v>19</v>
      </c>
      <c r="U25" s="2">
        <v>21</v>
      </c>
      <c r="V25" s="2">
        <f t="shared" si="7"/>
        <v>0.97101259231567383</v>
      </c>
      <c r="W25" s="2">
        <f t="shared" si="0"/>
        <v>1.0334506350684336E-7</v>
      </c>
      <c r="X25" s="2">
        <f t="shared" si="8"/>
        <v>0.97101306915283203</v>
      </c>
      <c r="Y25" s="2">
        <f t="shared" si="1"/>
        <v>-3.8310382388662134E-7</v>
      </c>
      <c r="Z25" s="2">
        <f t="shared" si="3"/>
        <v>0.97101283073425293</v>
      </c>
      <c r="AA25" s="2">
        <f t="shared" si="2"/>
        <v>-1.3987938141113432E-7</v>
      </c>
      <c r="AB25" s="2">
        <f t="shared" si="4"/>
        <v>-1.4455843555231641E-14</v>
      </c>
      <c r="AC25" s="2">
        <f t="shared" si="5"/>
        <v>5.3588325901500739E-14</v>
      </c>
      <c r="AD25" s="2">
        <f t="shared" si="6"/>
        <v>4.76837158203125E-7</v>
      </c>
      <c r="AF25" s="2">
        <v>21</v>
      </c>
      <c r="AG25" s="2">
        <f t="shared" si="13"/>
        <v>2569.6561813354492</v>
      </c>
      <c r="AH25" s="2">
        <v>-1.1138968513932923E-3</v>
      </c>
      <c r="AI25" s="2">
        <f t="shared" si="14"/>
        <v>2569.6656227111816</v>
      </c>
      <c r="AJ25" s="2">
        <v>2.7226502372741379E-3</v>
      </c>
      <c r="AK25" s="2">
        <f t="shared" si="9"/>
        <v>2569.6609020233154</v>
      </c>
      <c r="AL25" s="2">
        <v>8.0399232638228568E-4</v>
      </c>
      <c r="AM25" s="2">
        <f t="shared" si="10"/>
        <v>-8.9556452090159626E-7</v>
      </c>
      <c r="AN25" s="2">
        <f t="shared" si="11"/>
        <v>2.1889898981913161E-6</v>
      </c>
      <c r="AO25" s="2">
        <f t="shared" si="12"/>
        <v>9.441375732421875E-3</v>
      </c>
    </row>
    <row r="26" spans="2:41" x14ac:dyDescent="0.2">
      <c r="F26" s="6" t="s">
        <v>20</v>
      </c>
      <c r="G26" s="6">
        <f xml:space="preserve"> $C$5 * $C$68 / $C$21</f>
        <v>3148.3111622917122</v>
      </c>
      <c r="H26" s="6" t="s">
        <v>21</v>
      </c>
      <c r="J26" s="15" t="s">
        <v>66</v>
      </c>
      <c r="K26" s="6">
        <f xml:space="preserve"> $C$80 * (0.0268 * $C$5)</f>
        <v>55.093487302721158</v>
      </c>
      <c r="L26" s="6" t="s">
        <v>7</v>
      </c>
      <c r="N26" s="6" t="s">
        <v>33</v>
      </c>
      <c r="O26" s="18">
        <f>Z34</f>
        <v>0.97101269336417317</v>
      </c>
      <c r="U26" s="2">
        <v>22</v>
      </c>
      <c r="V26" s="2">
        <f t="shared" si="7"/>
        <v>0.97101259231567383</v>
      </c>
      <c r="W26" s="2">
        <f t="shared" si="0"/>
        <v>1.0334506350684336E-7</v>
      </c>
      <c r="X26" s="2">
        <f t="shared" si="8"/>
        <v>0.97101283073425293</v>
      </c>
      <c r="Y26" s="2">
        <f t="shared" si="1"/>
        <v>-1.3987938141113432E-7</v>
      </c>
      <c r="Z26" s="2">
        <f t="shared" si="3"/>
        <v>0.97101271152496338</v>
      </c>
      <c r="AA26" s="2">
        <f t="shared" si="2"/>
        <v>-1.8267159229701235E-8</v>
      </c>
      <c r="AB26" s="2">
        <f t="shared" si="4"/>
        <v>-1.8878207306830938E-15</v>
      </c>
      <c r="AC26" s="2">
        <f t="shared" si="5"/>
        <v>2.5551989331893015E-15</v>
      </c>
      <c r="AD26" s="2">
        <f t="shared" si="6"/>
        <v>2.384185791015625E-7</v>
      </c>
      <c r="AF26" s="2">
        <v>22</v>
      </c>
      <c r="AG26" s="2">
        <f t="shared" si="13"/>
        <v>2569.6561813354492</v>
      </c>
      <c r="AH26" s="2">
        <v>-1.1138968513932923E-3</v>
      </c>
      <c r="AI26" s="2">
        <f t="shared" si="14"/>
        <v>2569.6609020233154</v>
      </c>
      <c r="AJ26" s="2">
        <v>8.0399232638228568E-4</v>
      </c>
      <c r="AK26" s="2">
        <f t="shared" si="9"/>
        <v>2569.6585416793823</v>
      </c>
      <c r="AL26" s="2">
        <v>-1.5533740133832907E-4</v>
      </c>
      <c r="AM26" s="2">
        <f t="shared" si="10"/>
        <v>1.7302984225438095E-7</v>
      </c>
      <c r="AN26" s="2">
        <f t="shared" si="11"/>
        <v>-1.2489007867618198E-7</v>
      </c>
      <c r="AO26" s="2">
        <f t="shared" si="12"/>
        <v>4.7206878662109375E-3</v>
      </c>
    </row>
    <row r="27" spans="2:41" x14ac:dyDescent="0.2">
      <c r="B27" s="31" t="s">
        <v>157</v>
      </c>
      <c r="C27" s="31"/>
      <c r="D27" s="31"/>
      <c r="F27" t="s">
        <v>99</v>
      </c>
      <c r="G27" s="6">
        <f>G29/$C$21</f>
        <v>48.307198516709789</v>
      </c>
      <c r="H27" t="s">
        <v>103</v>
      </c>
      <c r="J27" s="15" t="s">
        <v>67</v>
      </c>
      <c r="K27" s="6">
        <f xml:space="preserve"> $C$80 * (11.5 * ($C$5*2.20462/1000)^0.4 * 0.453592)</f>
        <v>8.3509696185584534</v>
      </c>
      <c r="L27" s="6" t="s">
        <v>7</v>
      </c>
      <c r="N27" s="6" t="s">
        <v>34</v>
      </c>
      <c r="O27" s="6">
        <f xml:space="preserve"> O21 * $C$10 * O26 - $C$7 * SIN(O19/180*PI())</f>
        <v>1.3764888458645288</v>
      </c>
      <c r="P27" s="6" t="s">
        <v>10</v>
      </c>
      <c r="U27" s="2">
        <v>23</v>
      </c>
      <c r="V27" s="2">
        <f t="shared" si="7"/>
        <v>0.97101259231567383</v>
      </c>
      <c r="W27" s="2">
        <f t="shared" si="0"/>
        <v>1.0334506350684336E-7</v>
      </c>
      <c r="X27" s="2">
        <f t="shared" si="8"/>
        <v>0.97101271152496338</v>
      </c>
      <c r="Y27" s="2">
        <f t="shared" si="1"/>
        <v>-1.8267159229701235E-8</v>
      </c>
      <c r="Z27" s="2">
        <f t="shared" si="3"/>
        <v>0.9710126519203186</v>
      </c>
      <c r="AA27" s="2">
        <f t="shared" si="2"/>
        <v>4.253895202754876E-8</v>
      </c>
      <c r="AB27" s="2">
        <f t="shared" si="4"/>
        <v>4.3961906988015894E-15</v>
      </c>
      <c r="AC27" s="2">
        <f t="shared" si="5"/>
        <v>-7.7706581015185542E-16</v>
      </c>
      <c r="AD27" s="2">
        <f t="shared" si="6"/>
        <v>1.1920928955078125E-7</v>
      </c>
      <c r="AF27" s="2">
        <v>23</v>
      </c>
      <c r="AG27" s="2">
        <f t="shared" si="13"/>
        <v>2569.6585416793823</v>
      </c>
      <c r="AH27" s="2">
        <v>-1.5533740133832907E-4</v>
      </c>
      <c r="AI27" s="2">
        <f t="shared" si="14"/>
        <v>2569.6609020233154</v>
      </c>
      <c r="AJ27" s="2">
        <v>8.0399232638228568E-4</v>
      </c>
      <c r="AK27" s="2">
        <f t="shared" si="9"/>
        <v>2569.6597218513489</v>
      </c>
      <c r="AL27" s="2">
        <v>3.2432752664135478E-4</v>
      </c>
      <c r="AM27" s="2">
        <f t="shared" si="10"/>
        <v>-5.0380195170955744E-8</v>
      </c>
      <c r="AN27" s="2">
        <f t="shared" si="11"/>
        <v>2.6075684265419557E-7</v>
      </c>
      <c r="AO27" s="2">
        <f t="shared" si="12"/>
        <v>2.3603439331054688E-3</v>
      </c>
    </row>
    <row r="28" spans="2:41" x14ac:dyDescent="0.2">
      <c r="B28" s="6" t="s">
        <v>158</v>
      </c>
      <c r="C28" s="17">
        <v>1</v>
      </c>
      <c r="F28" t="s">
        <v>188</v>
      </c>
      <c r="G28" s="6">
        <f xml:space="preserve"> (G26/$C$68*1000) / (G27*1000)</f>
        <v>6.6492650205452399</v>
      </c>
      <c r="H28" s="6" t="s">
        <v>189</v>
      </c>
      <c r="J28" s="15" t="s">
        <v>68</v>
      </c>
      <c r="K28" s="6">
        <f xml:space="preserve"> $C$80 * (8 * ($C$5/1000))</f>
        <v>16.445817105289901</v>
      </c>
      <c r="L28" s="6" t="s">
        <v>7</v>
      </c>
      <c r="N28" s="6" t="s">
        <v>35</v>
      </c>
      <c r="O28" s="6">
        <f xml:space="preserve"> 1/$C$31 - O25 * SQRT( (2*$C$71*PI()*$C$10^2) / O20^3 )</f>
        <v>1.1501130449542862</v>
      </c>
      <c r="U28" s="2">
        <v>24</v>
      </c>
      <c r="V28" s="2">
        <f t="shared" si="7"/>
        <v>0.9710126519203186</v>
      </c>
      <c r="W28" s="2">
        <f t="shared" si="0"/>
        <v>4.253895202754876E-8</v>
      </c>
      <c r="X28" s="2">
        <f t="shared" si="8"/>
        <v>0.97101271152496338</v>
      </c>
      <c r="Y28" s="2">
        <f t="shared" si="1"/>
        <v>-1.8267159229701235E-8</v>
      </c>
      <c r="Z28" s="2">
        <f t="shared" si="3"/>
        <v>0.97101268172264099</v>
      </c>
      <c r="AA28" s="2">
        <f t="shared" si="2"/>
        <v>1.2135896398923762E-8</v>
      </c>
      <c r="AB28" s="2">
        <f t="shared" si="4"/>
        <v>5.1624831472511971E-16</v>
      </c>
      <c r="AC28" s="2">
        <f t="shared" si="5"/>
        <v>-2.216883519142982E-16</v>
      </c>
      <c r="AD28" s="2">
        <f t="shared" si="6"/>
        <v>5.9604644775390625E-8</v>
      </c>
      <c r="AF28" s="2">
        <v>24</v>
      </c>
      <c r="AG28" s="2">
        <f t="shared" si="13"/>
        <v>2569.6585416793823</v>
      </c>
      <c r="AH28" s="2">
        <v>-1.5533740133832907E-4</v>
      </c>
      <c r="AI28" s="2">
        <f t="shared" si="14"/>
        <v>2569.6597218513489</v>
      </c>
      <c r="AJ28" s="2">
        <v>3.2432752664135478E-4</v>
      </c>
      <c r="AK28" s="2">
        <f t="shared" si="9"/>
        <v>2569.6591317653656</v>
      </c>
      <c r="AL28" s="2">
        <v>8.4880474560122821E-5</v>
      </c>
      <c r="AM28" s="2">
        <f t="shared" si="10"/>
        <v>-1.318511234253363E-8</v>
      </c>
      <c r="AN28" s="2">
        <f t="shared" si="11"/>
        <v>2.7529074374229071E-8</v>
      </c>
      <c r="AO28" s="2">
        <f t="shared" si="12"/>
        <v>1.1801719665527344E-3</v>
      </c>
    </row>
    <row r="29" spans="2:41" x14ac:dyDescent="0.2">
      <c r="B29" s="6" t="s">
        <v>159</v>
      </c>
      <c r="C29" s="17">
        <v>6</v>
      </c>
      <c r="F29" s="25" t="s">
        <v>85</v>
      </c>
      <c r="G29" s="25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386.45758813367831</v>
      </c>
      <c r="H29" s="25" t="s">
        <v>103</v>
      </c>
      <c r="J29" s="15" t="s">
        <v>69</v>
      </c>
      <c r="K29" s="6">
        <f xml:space="preserve"> $C$80 * (13 * ($C$5*2.20462/1000)^1.3 * 0.453592)</f>
        <v>44.964598334379403</v>
      </c>
      <c r="L29" s="6" t="s">
        <v>7</v>
      </c>
      <c r="N29" s="6" t="s">
        <v>36</v>
      </c>
      <c r="O29" s="17">
        <v>1.1499999999999999</v>
      </c>
      <c r="U29" s="2">
        <v>25</v>
      </c>
      <c r="V29" s="2">
        <f t="shared" si="7"/>
        <v>0.97101268172264099</v>
      </c>
      <c r="W29" s="2">
        <f t="shared" si="0"/>
        <v>1.2135896398923762E-8</v>
      </c>
      <c r="X29" s="2">
        <f t="shared" si="8"/>
        <v>0.97101271152496338</v>
      </c>
      <c r="Y29" s="2">
        <f t="shared" si="1"/>
        <v>-1.8267159229701235E-8</v>
      </c>
      <c r="Z29" s="2">
        <f t="shared" si="3"/>
        <v>0.97101269662380219</v>
      </c>
      <c r="AA29" s="2">
        <f t="shared" si="2"/>
        <v>-3.0656314153887365E-9</v>
      </c>
      <c r="AB29" s="2">
        <f t="shared" si="4"/>
        <v>-3.7204185254443724E-17</v>
      </c>
      <c r="AC29" s="2">
        <f t="shared" si="5"/>
        <v>5.600037720448042E-17</v>
      </c>
      <c r="AD29" s="2">
        <f t="shared" si="6"/>
        <v>2.9802322387695312E-8</v>
      </c>
      <c r="AF29" s="2">
        <v>25</v>
      </c>
      <c r="AG29" s="2">
        <f t="shared" si="13"/>
        <v>2569.6585416793823</v>
      </c>
      <c r="AH29" s="2">
        <v>-1.5533740133832907E-4</v>
      </c>
      <c r="AI29" s="2">
        <f t="shared" si="14"/>
        <v>2569.6591317653656</v>
      </c>
      <c r="AJ29" s="2">
        <v>8.4880474560122821E-5</v>
      </c>
      <c r="AK29" s="2">
        <f t="shared" si="9"/>
        <v>2569.658836722374</v>
      </c>
      <c r="AL29" s="2">
        <v>-3.5228459410063806E-5</v>
      </c>
      <c r="AM29" s="2">
        <f t="shared" si="10"/>
        <v>5.4722973379121167E-9</v>
      </c>
      <c r="AN29" s="2">
        <f t="shared" si="11"/>
        <v>-2.9902083527482402E-9</v>
      </c>
      <c r="AO29" s="2">
        <f t="shared" si="12"/>
        <v>5.9008598327636719E-4</v>
      </c>
    </row>
    <row r="30" spans="2:41" x14ac:dyDescent="0.2">
      <c r="B30" s="6" t="s">
        <v>160</v>
      </c>
      <c r="C30" s="6">
        <f>$C$29*$C$11/PI()</f>
        <v>0.84998288907657626</v>
      </c>
      <c r="J30" s="10" t="s">
        <v>56</v>
      </c>
      <c r="K30" s="10">
        <f>$C$5 - $C$16 - SUM(K15:K29)</f>
        <v>-2.6134330255445093E-9</v>
      </c>
      <c r="L30" s="10" t="s">
        <v>7</v>
      </c>
      <c r="N30" s="6" t="s">
        <v>37</v>
      </c>
      <c r="O30" s="6">
        <f xml:space="preserve"> 1/$C$77 * LN( EXP($C$77 * O28) + EXP($C$77 * O29) )</f>
        <v>1.1731614764176412</v>
      </c>
      <c r="U30" s="2">
        <v>26</v>
      </c>
      <c r="V30" s="2">
        <f>IF(AB29&gt;0, Z29, V29)</f>
        <v>0.97101268172264099</v>
      </c>
      <c r="W30" s="2">
        <f t="shared" si="0"/>
        <v>1.2135896398923762E-8</v>
      </c>
      <c r="X30" s="2">
        <f t="shared" si="8"/>
        <v>0.97101269662380219</v>
      </c>
      <c r="Y30" s="2">
        <f t="shared" si="1"/>
        <v>-3.0656314153887365E-9</v>
      </c>
      <c r="Z30" s="2">
        <f t="shared" si="3"/>
        <v>0.97101268917322159</v>
      </c>
      <c r="AA30" s="2">
        <f t="shared" si="2"/>
        <v>4.5351324917675129E-9</v>
      </c>
      <c r="AB30" s="2">
        <f t="shared" si="4"/>
        <v>5.5037898075483508E-17</v>
      </c>
      <c r="AC30" s="2">
        <f t="shared" si="5"/>
        <v>-1.3903044639712688E-17</v>
      </c>
      <c r="AD30" s="2">
        <f t="shared" si="6"/>
        <v>1.4901161193847656E-8</v>
      </c>
      <c r="AF30" s="2">
        <v>26</v>
      </c>
      <c r="AG30" s="2">
        <f t="shared" si="13"/>
        <v>2569.658836722374</v>
      </c>
      <c r="AH30" s="2">
        <v>-3.5228459410063806E-5</v>
      </c>
      <c r="AI30" s="2">
        <f t="shared" si="14"/>
        <v>2569.6591317653656</v>
      </c>
      <c r="AJ30" s="2">
        <v>8.4880474560122821E-5</v>
      </c>
      <c r="AK30" s="2">
        <f t="shared" si="9"/>
        <v>2569.6589842438698</v>
      </c>
      <c r="AL30" s="2">
        <v>2.4440613060505711E-5</v>
      </c>
      <c r="AM30" s="2">
        <f t="shared" si="10"/>
        <v>-8.6100514515910084E-10</v>
      </c>
      <c r="AN30" s="2">
        <f t="shared" si="11"/>
        <v>2.0745308351160604E-9</v>
      </c>
      <c r="AO30" s="2">
        <f t="shared" si="12"/>
        <v>2.9504299163818359E-4</v>
      </c>
    </row>
    <row r="31" spans="2:41" x14ac:dyDescent="0.2">
      <c r="B31" s="6" t="s">
        <v>161</v>
      </c>
      <c r="C31" s="17">
        <v>0.75</v>
      </c>
      <c r="F31" s="34" t="s">
        <v>193</v>
      </c>
      <c r="G31" s="35"/>
      <c r="H31" s="35"/>
      <c r="J31" s="6" t="s">
        <v>57</v>
      </c>
      <c r="K31" s="4" t="str">
        <f>IF(ABS(K30)&lt;1, "TRUE", "FALSE")</f>
        <v>TRUE</v>
      </c>
      <c r="U31" s="2">
        <v>27</v>
      </c>
      <c r="V31" s="2">
        <f t="shared" si="7"/>
        <v>0.97101268917322159</v>
      </c>
      <c r="W31" s="2">
        <f t="shared" si="0"/>
        <v>4.5351324917675129E-9</v>
      </c>
      <c r="X31" s="2">
        <f t="shared" si="8"/>
        <v>0.97101269662380219</v>
      </c>
      <c r="Y31" s="2">
        <f t="shared" si="1"/>
        <v>-3.0656314153887365E-9</v>
      </c>
      <c r="Z31" s="2">
        <f t="shared" si="3"/>
        <v>0.97101269289851189</v>
      </c>
      <c r="AA31" s="2">
        <f t="shared" si="2"/>
        <v>7.3475048267823695E-10</v>
      </c>
      <c r="AB31" s="2">
        <f t="shared" si="4"/>
        <v>3.3321907873359355E-18</v>
      </c>
      <c r="AC31" s="2">
        <f t="shared" si="5"/>
        <v>-2.2524741621704409E-18</v>
      </c>
      <c r="AD31" s="2">
        <f t="shared" si="6"/>
        <v>7.4505805969238281E-9</v>
      </c>
      <c r="AF31" s="2">
        <v>27</v>
      </c>
      <c r="AG31" s="2">
        <f t="shared" si="13"/>
        <v>2569.658836722374</v>
      </c>
      <c r="AH31" s="2">
        <v>-3.5228459410063806E-5</v>
      </c>
      <c r="AI31" s="2">
        <f t="shared" si="14"/>
        <v>2569.6589842438698</v>
      </c>
      <c r="AJ31" s="2">
        <v>2.4440613060505711E-5</v>
      </c>
      <c r="AK31" s="2">
        <f t="shared" si="9"/>
        <v>2569.6589104831219</v>
      </c>
      <c r="AL31" s="2">
        <v>-5.0085272960131988E-6</v>
      </c>
      <c r="AM31" s="2">
        <f t="shared" si="10"/>
        <v>1.764427005517976E-10</v>
      </c>
      <c r="AN31" s="2">
        <f t="shared" si="11"/>
        <v>-1.2241147764483954E-10</v>
      </c>
      <c r="AO31" s="2">
        <f t="shared" si="12"/>
        <v>1.475214958190918E-4</v>
      </c>
    </row>
    <row r="32" spans="2:41" x14ac:dyDescent="0.2">
      <c r="B32" s="6" t="s">
        <v>192</v>
      </c>
      <c r="C32" s="17">
        <v>50</v>
      </c>
      <c r="D32" s="6" t="s">
        <v>60</v>
      </c>
      <c r="F32" s="9" t="s">
        <v>194</v>
      </c>
      <c r="G32" s="17">
        <f>20*60</f>
        <v>1200</v>
      </c>
      <c r="H32" s="6" t="s">
        <v>14</v>
      </c>
      <c r="U32" s="2">
        <v>28</v>
      </c>
      <c r="V32" s="2">
        <f t="shared" si="7"/>
        <v>0.97101269289851189</v>
      </c>
      <c r="W32" s="2">
        <f t="shared" si="0"/>
        <v>7.3475048267823695E-10</v>
      </c>
      <c r="X32" s="2">
        <f t="shared" si="8"/>
        <v>0.97101269662380219</v>
      </c>
      <c r="Y32" s="2">
        <f t="shared" si="1"/>
        <v>-3.0656314153887365E-9</v>
      </c>
      <c r="Z32" s="2">
        <f t="shared" si="3"/>
        <v>0.97101269476115704</v>
      </c>
      <c r="AA32" s="2">
        <f t="shared" si="2"/>
        <v>-1.1654404108440986E-9</v>
      </c>
      <c r="AB32" s="2">
        <f t="shared" si="4"/>
        <v>-8.5630790440042419E-19</v>
      </c>
      <c r="AC32" s="2">
        <f t="shared" si="5"/>
        <v>3.5728107362472244E-18</v>
      </c>
      <c r="AD32" s="2">
        <f t="shared" si="6"/>
        <v>3.7252902984619141E-9</v>
      </c>
      <c r="AF32" s="2">
        <v>28</v>
      </c>
      <c r="AG32" s="2">
        <f t="shared" si="13"/>
        <v>2569.6589104831219</v>
      </c>
      <c r="AH32" s="2">
        <v>-5.0085272960131988E-6</v>
      </c>
      <c r="AI32" s="2">
        <f t="shared" si="14"/>
        <v>2569.6589842438698</v>
      </c>
      <c r="AJ32" s="2">
        <v>2.4440613060505711E-5</v>
      </c>
      <c r="AK32" s="2">
        <f t="shared" si="9"/>
        <v>2569.6589473634958</v>
      </c>
      <c r="AL32" s="2">
        <v>1.0101438419951592E-5</v>
      </c>
      <c r="AM32" s="2">
        <f t="shared" si="10"/>
        <v>-5.0593330055323985E-11</v>
      </c>
      <c r="AN32" s="2">
        <f t="shared" si="11"/>
        <v>2.4688534777656305E-10</v>
      </c>
      <c r="AO32" s="2">
        <f t="shared" si="12"/>
        <v>7.3760747909545898E-5</v>
      </c>
    </row>
    <row r="33" spans="2:41" x14ac:dyDescent="0.2">
      <c r="F33" s="26" t="s">
        <v>139</v>
      </c>
      <c r="G33" s="25">
        <f xml:space="preserve"> G20</f>
        <v>146.75747472719638</v>
      </c>
      <c r="H33" s="25" t="s">
        <v>103</v>
      </c>
      <c r="J33" s="28" t="s">
        <v>58</v>
      </c>
      <c r="K33" s="28"/>
      <c r="L33" s="28"/>
      <c r="U33" s="2">
        <v>29</v>
      </c>
      <c r="V33" s="2">
        <f t="shared" si="7"/>
        <v>0.97101269289851189</v>
      </c>
      <c r="W33" s="2">
        <f t="shared" si="0"/>
        <v>7.3475048267823695E-10</v>
      </c>
      <c r="X33" s="2">
        <f t="shared" si="8"/>
        <v>0.97101269476115704</v>
      </c>
      <c r="Y33" s="2">
        <f t="shared" si="1"/>
        <v>-1.1654404108440986E-9</v>
      </c>
      <c r="Z33" s="2">
        <f t="shared" si="3"/>
        <v>0.97101269382983446</v>
      </c>
      <c r="AA33" s="2">
        <f t="shared" si="2"/>
        <v>-2.153449640829308E-10</v>
      </c>
      <c r="AB33" s="2">
        <f t="shared" si="4"/>
        <v>-1.5822481630226101E-19</v>
      </c>
      <c r="AC33" s="2">
        <f t="shared" si="5"/>
        <v>2.5097172341401852E-19</v>
      </c>
      <c r="AD33" s="2">
        <f t="shared" si="6"/>
        <v>1.862645149230957E-9</v>
      </c>
      <c r="AF33" s="2">
        <v>29</v>
      </c>
      <c r="AG33" s="2">
        <f t="shared" si="13"/>
        <v>2569.6589104831219</v>
      </c>
      <c r="AH33" s="2">
        <v>-5.0085272960131988E-6</v>
      </c>
      <c r="AI33" s="2">
        <f t="shared" si="14"/>
        <v>2569.6589473634958</v>
      </c>
      <c r="AJ33" s="2">
        <v>1.0101438419951592E-5</v>
      </c>
      <c r="AK33" s="2">
        <f t="shared" si="9"/>
        <v>2569.6589289233088</v>
      </c>
      <c r="AL33" s="2">
        <v>2.5464548798481701E-6</v>
      </c>
      <c r="AM33" s="2">
        <f t="shared" si="10"/>
        <v>-1.275398877378557E-11</v>
      </c>
      <c r="AN33" s="2">
        <f t="shared" si="11"/>
        <v>2.5722857157971519E-11</v>
      </c>
      <c r="AO33" s="2">
        <f t="shared" si="12"/>
        <v>3.6880373954772949E-5</v>
      </c>
    </row>
    <row r="34" spans="2:41" x14ac:dyDescent="0.2">
      <c r="B34" s="31" t="s">
        <v>106</v>
      </c>
      <c r="C34" s="31"/>
      <c r="D34" s="31"/>
      <c r="J34" s="6" t="s">
        <v>59</v>
      </c>
      <c r="K34" s="6">
        <f>ROUND($C$16/$C$5 * 100, 2)</f>
        <v>23.35</v>
      </c>
      <c r="L34" s="6" t="s">
        <v>60</v>
      </c>
      <c r="U34" s="2">
        <v>30</v>
      </c>
      <c r="V34" s="2">
        <f t="shared" si="7"/>
        <v>0.97101269289851189</v>
      </c>
      <c r="W34" s="2">
        <f t="shared" si="0"/>
        <v>7.3475048267823695E-10</v>
      </c>
      <c r="X34" s="2">
        <f t="shared" si="8"/>
        <v>0.97101269382983446</v>
      </c>
      <c r="Y34" s="2">
        <f t="shared" si="1"/>
        <v>-2.153449640829308E-10</v>
      </c>
      <c r="Z34" s="2">
        <f t="shared" si="3"/>
        <v>0.97101269336417317</v>
      </c>
      <c r="AA34" s="2">
        <f t="shared" si="2"/>
        <v>2.5970281480880431E-10</v>
      </c>
      <c r="AB34" s="2">
        <f t="shared" si="4"/>
        <v>1.9081676853366575E-19</v>
      </c>
      <c r="AC34" s="2">
        <f t="shared" si="5"/>
        <v>-5.5925693327237992E-20</v>
      </c>
      <c r="AD34" s="2">
        <f t="shared" si="6"/>
        <v>9.3132257461547852E-10</v>
      </c>
      <c r="AF34" s="2">
        <v>30</v>
      </c>
      <c r="AG34" s="2">
        <f t="shared" si="13"/>
        <v>2569.6589104831219</v>
      </c>
      <c r="AH34" s="2">
        <v>-5.0085272960131988E-6</v>
      </c>
      <c r="AI34" s="2">
        <f t="shared" si="14"/>
        <v>2569.6589289233088</v>
      </c>
      <c r="AJ34" s="2">
        <v>2.5464548798481701E-6</v>
      </c>
      <c r="AK34" s="2">
        <f t="shared" si="9"/>
        <v>2569.6589197032154</v>
      </c>
      <c r="AL34" s="2">
        <v>-1.2310360943956766E-6</v>
      </c>
      <c r="AM34" s="2">
        <f t="shared" si="10"/>
        <v>6.1656778811582272E-12</v>
      </c>
      <c r="AN34" s="2">
        <f t="shared" si="11"/>
        <v>-3.1347778698431033E-12</v>
      </c>
      <c r="AO34" s="2">
        <f t="shared" si="12"/>
        <v>1.8440186977386475E-5</v>
      </c>
    </row>
    <row r="35" spans="2:41" x14ac:dyDescent="0.2">
      <c r="B35" s="6" t="s">
        <v>107</v>
      </c>
      <c r="C35" s="17">
        <v>6</v>
      </c>
      <c r="J35" s="11" t="s">
        <v>54</v>
      </c>
      <c r="K35" s="6">
        <f>ROUND(K15/$C$5 * 100, 2)</f>
        <v>33.4</v>
      </c>
      <c r="L35" s="6" t="s">
        <v>60</v>
      </c>
      <c r="AF35" s="2">
        <v>31</v>
      </c>
      <c r="AG35" s="2">
        <f t="shared" si="13"/>
        <v>2569.6589197032154</v>
      </c>
      <c r="AH35" s="2">
        <v>-1.2310360943956766E-6</v>
      </c>
      <c r="AI35" s="2">
        <f t="shared" si="14"/>
        <v>2569.6589289233088</v>
      </c>
      <c r="AJ35" s="2">
        <v>2.5464548798481701E-6</v>
      </c>
      <c r="AK35" s="2">
        <f t="shared" si="9"/>
        <v>2569.6589243132621</v>
      </c>
      <c r="AL35" s="2">
        <v>6.5771041590778623E-7</v>
      </c>
      <c r="AM35" s="2">
        <f t="shared" si="10"/>
        <v>-8.0966526164247726E-13</v>
      </c>
      <c r="AN35" s="2">
        <f t="shared" si="11"/>
        <v>1.6748298981153518E-12</v>
      </c>
      <c r="AO35" s="2">
        <f t="shared" si="12"/>
        <v>9.2200934886932373E-6</v>
      </c>
    </row>
    <row r="36" spans="2:41" x14ac:dyDescent="0.2">
      <c r="B36" s="6" t="s">
        <v>108</v>
      </c>
      <c r="C36" s="17">
        <v>9.1440000000000001</v>
      </c>
      <c r="D36" s="6" t="s">
        <v>8</v>
      </c>
      <c r="J36" s="19" t="s">
        <v>80</v>
      </c>
      <c r="K36" s="6">
        <f>ROUND(SUM(K16:K19)/$C$5 * 100, 2)</f>
        <v>16.41</v>
      </c>
      <c r="L36" s="6" t="s">
        <v>60</v>
      </c>
      <c r="AF36" s="2">
        <v>32</v>
      </c>
      <c r="AG36" s="2">
        <f t="shared" si="13"/>
        <v>2569.6589197032154</v>
      </c>
      <c r="AH36" s="2">
        <v>-1.2310360943956766E-6</v>
      </c>
      <c r="AI36" s="2">
        <f t="shared" si="14"/>
        <v>2569.6589243132621</v>
      </c>
      <c r="AJ36" s="2">
        <v>6.5771041590778623E-7</v>
      </c>
      <c r="AK36" s="2">
        <f t="shared" si="9"/>
        <v>2569.6589220082387</v>
      </c>
      <c r="AL36" s="2">
        <v>-2.8666295293078292E-7</v>
      </c>
      <c r="AM36" s="2">
        <f t="shared" si="10"/>
        <v>3.5289244198384269E-13</v>
      </c>
      <c r="AN36" s="2">
        <f t="shared" si="11"/>
        <v>-1.8854120999745938E-13</v>
      </c>
      <c r="AO36" s="2">
        <f t="shared" si="12"/>
        <v>4.6100467443466187E-6</v>
      </c>
    </row>
    <row r="37" spans="2:41" x14ac:dyDescent="0.2">
      <c r="B37" s="6" t="s">
        <v>109</v>
      </c>
      <c r="C37" s="17">
        <v>1.8675309360000001</v>
      </c>
      <c r="D37" s="6" t="s">
        <v>8</v>
      </c>
      <c r="J37" s="20" t="s">
        <v>71</v>
      </c>
      <c r="K37" s="6">
        <f>ROUND(SUM(K20:K25)/$C$5 * 100, 2)</f>
        <v>21.98</v>
      </c>
      <c r="L37" s="6" t="s">
        <v>60</v>
      </c>
      <c r="AF37" s="2">
        <v>33</v>
      </c>
      <c r="AG37" s="2">
        <f t="shared" si="13"/>
        <v>2569.6589220082387</v>
      </c>
      <c r="AH37" s="2">
        <v>-2.8666295293078292E-7</v>
      </c>
      <c r="AI37" s="2">
        <f t="shared" si="14"/>
        <v>2569.6589243132621</v>
      </c>
      <c r="AJ37" s="2">
        <v>6.5771041590778623E-7</v>
      </c>
      <c r="AK37" s="2">
        <f t="shared" si="9"/>
        <v>2569.6589231607504</v>
      </c>
      <c r="AL37" s="2">
        <v>1.8552327674115077E-7</v>
      </c>
      <c r="AM37" s="2">
        <f t="shared" si="10"/>
        <v>-5.3182650348013116E-14</v>
      </c>
      <c r="AN37" s="2">
        <f t="shared" si="11"/>
        <v>1.2202059150599759E-13</v>
      </c>
      <c r="AO37" s="2">
        <f t="shared" si="12"/>
        <v>2.3050233721733093E-6</v>
      </c>
    </row>
    <row r="38" spans="2:41" x14ac:dyDescent="0.2">
      <c r="J38" s="15" t="s">
        <v>72</v>
      </c>
      <c r="K38" s="6">
        <f>ROUND(SUM(K26:K29)/$C$5*100, 2)</f>
        <v>4.8600000000000003</v>
      </c>
      <c r="L38" s="6" t="s">
        <v>60</v>
      </c>
      <c r="AF38" s="2">
        <v>34</v>
      </c>
      <c r="AG38" s="2">
        <f t="shared" si="13"/>
        <v>2569.6589220082387</v>
      </c>
      <c r="AH38" s="2">
        <v>-2.8666295293078292E-7</v>
      </c>
      <c r="AI38" s="2">
        <f t="shared" si="14"/>
        <v>2569.6589231607504</v>
      </c>
      <c r="AJ38" s="2">
        <v>1.8552327674115077E-7</v>
      </c>
      <c r="AK38" s="2">
        <f t="shared" si="9"/>
        <v>2569.6589225844946</v>
      </c>
      <c r="AL38" s="2">
        <v>-5.0569951781653799E-8</v>
      </c>
      <c r="AM38" s="2">
        <f t="shared" si="10"/>
        <v>1.4496531707296185E-14</v>
      </c>
      <c r="AN38" s="2">
        <f t="shared" si="11"/>
        <v>-9.381903159174408E-15</v>
      </c>
      <c r="AO38" s="2">
        <f t="shared" si="12"/>
        <v>1.1525116860866547E-6</v>
      </c>
    </row>
    <row r="39" spans="2:41" x14ac:dyDescent="0.2">
      <c r="B39" s="31" t="s">
        <v>110</v>
      </c>
      <c r="C39" s="31"/>
      <c r="D39" s="31"/>
      <c r="J39" s="10" t="s">
        <v>61</v>
      </c>
      <c r="K39" s="10">
        <f>SUM(K34:K38)</f>
        <v>100</v>
      </c>
      <c r="L39" s="10" t="s">
        <v>60</v>
      </c>
      <c r="AF39" s="2">
        <v>35</v>
      </c>
      <c r="AG39" s="2">
        <f t="shared" si="13"/>
        <v>2569.6589225844946</v>
      </c>
      <c r="AH39" s="2">
        <v>-5.0569951781653799E-8</v>
      </c>
      <c r="AI39" s="2">
        <f t="shared" si="14"/>
        <v>2569.6589231607504</v>
      </c>
      <c r="AJ39" s="2">
        <v>1.8552327674115077E-7</v>
      </c>
      <c r="AK39" s="2">
        <f t="shared" si="9"/>
        <v>2569.6589228726225</v>
      </c>
      <c r="AL39" s="2">
        <v>6.7476321419235319E-8</v>
      </c>
      <c r="AM39" s="2">
        <f t="shared" si="10"/>
        <v>-3.4122743205741035E-15</v>
      </c>
      <c r="AN39" s="2">
        <f t="shared" si="11"/>
        <v>1.2518428252135633E-14</v>
      </c>
      <c r="AO39" s="2">
        <f t="shared" si="12"/>
        <v>5.7625584304332733E-7</v>
      </c>
    </row>
    <row r="40" spans="2:41" x14ac:dyDescent="0.2">
      <c r="B40" s="6" t="s">
        <v>123</v>
      </c>
      <c r="C40" s="22" t="s">
        <v>124</v>
      </c>
      <c r="AF40" s="2">
        <v>36</v>
      </c>
      <c r="AG40" s="2">
        <f t="shared" si="13"/>
        <v>2569.6589225844946</v>
      </c>
      <c r="AH40" s="2">
        <v>-5.0569951781653799E-8</v>
      </c>
      <c r="AI40" s="2">
        <f t="shared" si="14"/>
        <v>2569.6589228726225</v>
      </c>
      <c r="AJ40" s="2">
        <v>6.7476321419235319E-8</v>
      </c>
      <c r="AK40" s="2">
        <f t="shared" si="9"/>
        <v>2569.6589227285585</v>
      </c>
      <c r="AL40" s="2">
        <v>8.452843758277595E-9</v>
      </c>
      <c r="AM40" s="2">
        <f t="shared" si="10"/>
        <v>-4.2745990127395126E-16</v>
      </c>
      <c r="AN40" s="2">
        <f t="shared" si="11"/>
        <v>5.7036680234011606E-16</v>
      </c>
      <c r="AO40" s="2">
        <f t="shared" si="12"/>
        <v>2.8812792152166367E-7</v>
      </c>
    </row>
    <row r="41" spans="2:41" x14ac:dyDescent="0.2">
      <c r="B41" s="6" t="s">
        <v>125</v>
      </c>
      <c r="C41" s="6">
        <f>IF(C40="wheeled",0.0325,0.014)</f>
        <v>3.2500000000000001E-2</v>
      </c>
      <c r="J41" s="31" t="s">
        <v>115</v>
      </c>
      <c r="K41" s="31"/>
      <c r="L41" s="31"/>
      <c r="AF41" s="2">
        <v>37</v>
      </c>
      <c r="AG41" s="2">
        <f t="shared" si="13"/>
        <v>2569.6589225844946</v>
      </c>
      <c r="AH41" s="2">
        <v>-5.0569951781653799E-8</v>
      </c>
      <c r="AI41" s="2">
        <f t="shared" si="14"/>
        <v>2569.6589227285585</v>
      </c>
      <c r="AJ41" s="2">
        <v>8.452843758277595E-9</v>
      </c>
      <c r="AK41" s="2">
        <f t="shared" si="9"/>
        <v>2569.6589226565266</v>
      </c>
      <c r="AL41" s="2">
        <v>-2.1058212951174937E-8</v>
      </c>
      <c r="AM41" s="2">
        <f t="shared" si="10"/>
        <v>1.0649128135487141E-15</v>
      </c>
      <c r="AN41" s="2">
        <f t="shared" si="11"/>
        <v>-1.7800178390481948E-16</v>
      </c>
      <c r="AO41" s="2">
        <f t="shared" si="12"/>
        <v>1.4406396076083183E-7</v>
      </c>
    </row>
    <row r="42" spans="2:41" x14ac:dyDescent="0.2">
      <c r="B42" s="6" t="s">
        <v>111</v>
      </c>
      <c r="C42" s="17">
        <v>0.30480000000000002</v>
      </c>
      <c r="D42" s="6" t="s">
        <v>8</v>
      </c>
      <c r="J42" s="6" t="s">
        <v>59</v>
      </c>
      <c r="K42" s="6">
        <f>ROUND(C16,2)</f>
        <v>600</v>
      </c>
      <c r="L42" s="6" t="s">
        <v>7</v>
      </c>
      <c r="AF42" s="2">
        <v>38</v>
      </c>
      <c r="AG42" s="2">
        <f t="shared" si="13"/>
        <v>2569.6589226565266</v>
      </c>
      <c r="AH42" s="2">
        <v>-2.1058212951174937E-8</v>
      </c>
      <c r="AI42" s="2">
        <f t="shared" si="14"/>
        <v>2569.6589227285585</v>
      </c>
      <c r="AJ42" s="2">
        <v>8.452843758277595E-9</v>
      </c>
      <c r="AK42" s="2">
        <f t="shared" si="9"/>
        <v>2569.6589226925425</v>
      </c>
      <c r="AL42" s="2">
        <v>-6.3018887885846198E-9</v>
      </c>
      <c r="AM42" s="2">
        <f t="shared" si="10"/>
        <v>1.3270651610463678E-16</v>
      </c>
      <c r="AN42" s="2">
        <f t="shared" si="11"/>
        <v>-5.3268881311947058E-17</v>
      </c>
      <c r="AO42" s="2">
        <f t="shared" si="12"/>
        <v>7.2031980380415916E-8</v>
      </c>
    </row>
    <row r="43" spans="2:41" x14ac:dyDescent="0.2">
      <c r="B43" s="6" t="s">
        <v>112</v>
      </c>
      <c r="C43" s="17">
        <v>5.7</v>
      </c>
      <c r="J43" s="11" t="s">
        <v>54</v>
      </c>
      <c r="K43" s="6">
        <f>ROUND(K15, 2)</f>
        <v>858.35</v>
      </c>
      <c r="L43" s="6" t="s">
        <v>7</v>
      </c>
      <c r="AF43" s="2">
        <v>39</v>
      </c>
      <c r="AG43" s="2">
        <f t="shared" si="13"/>
        <v>2569.6589226925425</v>
      </c>
      <c r="AH43" s="2">
        <v>-6.3018887885846198E-9</v>
      </c>
      <c r="AI43" s="2">
        <f t="shared" si="14"/>
        <v>2569.6589227285585</v>
      </c>
      <c r="AJ43" s="2">
        <v>8.452843758277595E-9</v>
      </c>
      <c r="AK43" s="2">
        <f t="shared" si="9"/>
        <v>2569.6589227105505</v>
      </c>
      <c r="AL43" s="2">
        <v>1.0754774848464876E-9</v>
      </c>
      <c r="AM43" s="2">
        <f t="shared" si="10"/>
        <v>-6.7775395041292658E-18</v>
      </c>
      <c r="AN43" s="2">
        <f t="shared" si="11"/>
        <v>9.0908431449527199E-18</v>
      </c>
      <c r="AO43" s="2">
        <f t="shared" si="12"/>
        <v>3.6015990190207958E-8</v>
      </c>
    </row>
    <row r="44" spans="2:41" x14ac:dyDescent="0.2">
      <c r="J44" s="19" t="s">
        <v>80</v>
      </c>
      <c r="K44" s="6">
        <f>ROUND(SUM(K16:K19), 2)</f>
        <v>421.59</v>
      </c>
      <c r="L44" s="6" t="s">
        <v>7</v>
      </c>
      <c r="AF44" s="2">
        <v>40</v>
      </c>
      <c r="AG44" s="2">
        <f t="shared" si="13"/>
        <v>2569.6589226925425</v>
      </c>
      <c r="AH44" s="2">
        <v>-6.3018887885846198E-9</v>
      </c>
      <c r="AI44" s="2">
        <f t="shared" si="14"/>
        <v>2569.6589227105505</v>
      </c>
      <c r="AJ44" s="2">
        <v>1.0754774848464876E-9</v>
      </c>
      <c r="AK44" s="5">
        <f t="shared" si="9"/>
        <v>2569.6589227015465</v>
      </c>
      <c r="AL44" s="2">
        <v>-2.6134330255445093E-9</v>
      </c>
      <c r="AM44" s="2">
        <f t="shared" si="10"/>
        <v>1.6469564283395725E-17</v>
      </c>
      <c r="AN44" s="2">
        <f t="shared" si="11"/>
        <v>-2.8106883771273553E-18</v>
      </c>
      <c r="AO44" s="2">
        <f t="shared" si="12"/>
        <v>1.8007995095103979E-8</v>
      </c>
    </row>
    <row r="45" spans="2:41" x14ac:dyDescent="0.2">
      <c r="B45" s="31" t="s">
        <v>162</v>
      </c>
      <c r="C45" s="31"/>
      <c r="D45" s="31"/>
      <c r="J45" s="20" t="s">
        <v>71</v>
      </c>
      <c r="K45" s="6">
        <f>ROUND(SUM(K20:K25), 2)</f>
        <v>564.86</v>
      </c>
      <c r="L45" s="6" t="s">
        <v>7</v>
      </c>
    </row>
    <row r="46" spans="2:41" x14ac:dyDescent="0.2">
      <c r="B46" s="6" t="s">
        <v>112</v>
      </c>
      <c r="C46" s="17">
        <v>3</v>
      </c>
      <c r="J46" s="15" t="s">
        <v>72</v>
      </c>
      <c r="K46" s="6">
        <f>ROUND(SUM(K26:K29), 2)</f>
        <v>124.85</v>
      </c>
      <c r="L46" s="6" t="s">
        <v>7</v>
      </c>
    </row>
    <row r="47" spans="2:41" x14ac:dyDescent="0.2">
      <c r="J47" s="10" t="s">
        <v>61</v>
      </c>
      <c r="K47" s="10">
        <f>SUM(K42:K46)</f>
        <v>2569.6499999999996</v>
      </c>
      <c r="L47" s="6" t="s">
        <v>7</v>
      </c>
    </row>
    <row r="48" spans="2:41" x14ac:dyDescent="0.2">
      <c r="B48" s="31" t="s">
        <v>163</v>
      </c>
      <c r="C48" s="31"/>
      <c r="D48" s="31"/>
    </row>
    <row r="49" spans="2:4" x14ac:dyDescent="0.2">
      <c r="B49" s="6" t="s">
        <v>164</v>
      </c>
      <c r="C49" s="17">
        <v>4.3036300000000001</v>
      </c>
    </row>
    <row r="50" spans="2:4" x14ac:dyDescent="0.2">
      <c r="B50" s="6" t="s">
        <v>165</v>
      </c>
      <c r="C50" s="17">
        <f>39.5112*0.3048^2</f>
        <v>3.6707105940480003</v>
      </c>
      <c r="D50" s="6" t="s">
        <v>11</v>
      </c>
    </row>
    <row r="51" spans="2:4" x14ac:dyDescent="0.2">
      <c r="B51" s="6" t="s">
        <v>166</v>
      </c>
      <c r="C51" s="17">
        <f>0.15*3.7875*0.3048</f>
        <v>0.1731645</v>
      </c>
      <c r="D51" s="6" t="s">
        <v>8</v>
      </c>
    </row>
    <row r="53" spans="2:4" x14ac:dyDescent="0.2">
      <c r="B53" s="31" t="s">
        <v>167</v>
      </c>
      <c r="C53" s="31"/>
      <c r="D53" s="31"/>
    </row>
    <row r="54" spans="2:4" x14ac:dyDescent="0.2">
      <c r="B54" s="6" t="s">
        <v>168</v>
      </c>
      <c r="C54" s="17">
        <v>1.1798999999999999</v>
      </c>
    </row>
    <row r="55" spans="2:4" x14ac:dyDescent="0.2">
      <c r="B55" s="6" t="s">
        <v>169</v>
      </c>
      <c r="C55" s="17">
        <f>27.34325*0.3048^2</f>
        <v>2.5402710484800002</v>
      </c>
      <c r="D55" s="6" t="s">
        <v>11</v>
      </c>
    </row>
    <row r="56" spans="2:4" x14ac:dyDescent="0.2">
      <c r="B56" s="6" t="s">
        <v>170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171</v>
      </c>
      <c r="C57" s="17">
        <v>35</v>
      </c>
      <c r="D57" s="6" t="s">
        <v>42</v>
      </c>
    </row>
    <row r="59" spans="2:4" x14ac:dyDescent="0.2">
      <c r="B59" s="34" t="s">
        <v>2</v>
      </c>
      <c r="C59" s="35"/>
      <c r="D59" s="35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31" t="s">
        <v>186</v>
      </c>
      <c r="C64" s="32"/>
      <c r="D64" s="32"/>
    </row>
    <row r="65" spans="2:4" x14ac:dyDescent="0.2">
      <c r="B65" s="6" t="s">
        <v>15</v>
      </c>
      <c r="C65" s="17">
        <v>1.0397562309141399</v>
      </c>
      <c r="D65" s="6" t="s">
        <v>16</v>
      </c>
    </row>
    <row r="66" spans="2:4" x14ac:dyDescent="0.2">
      <c r="B66" s="6" t="s">
        <v>137</v>
      </c>
      <c r="C66" s="23">
        <v>1.7363179204150701E-5</v>
      </c>
      <c r="D66" s="6" t="s">
        <v>136</v>
      </c>
    </row>
    <row r="67" spans="2:4" x14ac:dyDescent="0.2">
      <c r="B67" s="6" t="s">
        <v>131</v>
      </c>
      <c r="C67" s="17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1" t="s">
        <v>187</v>
      </c>
      <c r="C70" s="32"/>
      <c r="D70" s="32"/>
    </row>
    <row r="71" spans="2:4" x14ac:dyDescent="0.2">
      <c r="B71" s="6" t="s">
        <v>15</v>
      </c>
      <c r="C71" s="17">
        <v>1.00854450666398</v>
      </c>
      <c r="D71" s="6" t="s">
        <v>16</v>
      </c>
    </row>
    <row r="72" spans="2:4" x14ac:dyDescent="0.2">
      <c r="B72" s="6" t="s">
        <v>137</v>
      </c>
      <c r="C72" s="23">
        <v>1.7265641515845801E-5</v>
      </c>
      <c r="D72" s="6" t="s">
        <v>136</v>
      </c>
    </row>
    <row r="73" spans="2:4" x14ac:dyDescent="0.2">
      <c r="B73" s="6" t="s">
        <v>131</v>
      </c>
      <c r="C73" s="17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1" t="s">
        <v>73</v>
      </c>
      <c r="C76" s="31"/>
      <c r="D76" s="31"/>
    </row>
    <row r="77" spans="2:4" x14ac:dyDescent="0.2">
      <c r="B77" s="6" t="s">
        <v>178</v>
      </c>
      <c r="C77" s="17">
        <v>30</v>
      </c>
    </row>
    <row r="78" spans="2:4" x14ac:dyDescent="0.2">
      <c r="B78" s="6" t="s">
        <v>180</v>
      </c>
      <c r="C78" s="17">
        <v>0.8</v>
      </c>
    </row>
    <row r="79" spans="2:4" x14ac:dyDescent="0.2">
      <c r="B79" s="6" t="s">
        <v>181</v>
      </c>
      <c r="C79" s="17">
        <v>0.8</v>
      </c>
    </row>
    <row r="80" spans="2:4" x14ac:dyDescent="0.2">
      <c r="B80" s="6" t="s">
        <v>182</v>
      </c>
      <c r="C80" s="17">
        <v>0.8</v>
      </c>
    </row>
    <row r="81" spans="2:4" x14ac:dyDescent="0.2">
      <c r="B81" s="6" t="s">
        <v>172</v>
      </c>
      <c r="C81" s="17">
        <v>5</v>
      </c>
      <c r="D81" s="6" t="s">
        <v>42</v>
      </c>
    </row>
  </sheetData>
  <mergeCells count="23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F31:H31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11" priority="7" operator="containsText" text="FALSE">
      <formula>NOT(ISERROR(SEARCH("FALSE",K31)))</formula>
    </cfRule>
    <cfRule type="containsText" dxfId="10" priority="8" operator="containsText" text="TRUE">
      <formula>NOT(ISERROR(SEARCH("TRUE",K31)))</formula>
    </cfRule>
    <cfRule type="cellIs" dxfId="9" priority="9" operator="equal">
      <formula>1</formula>
    </cfRule>
    <cfRule type="cellIs" dxfId="8" priority="10" operator="equal">
      <formula>TRUE</formula>
    </cfRule>
    <cfRule type="containsText" dxfId="7" priority="11" operator="containsText" text="YES">
      <formula>NOT(ISERROR(SEARCH("YES",K31)))</formula>
    </cfRule>
    <cfRule type="cellIs" dxfId="6" priority="12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81D8-4D5B-F44B-8CA4-1306F430C019}">
  <dimension ref="B1:AO81"/>
  <sheetViews>
    <sheetView zoomScale="88" workbookViewId="0">
      <selection activeCell="C7" sqref="C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7" t="s">
        <v>0</v>
      </c>
      <c r="C1" s="37"/>
      <c r="D1" s="37"/>
    </row>
    <row r="2" spans="2:41" x14ac:dyDescent="0.2">
      <c r="U2" s="16" t="s">
        <v>95</v>
      </c>
      <c r="AF2" s="29" t="s">
        <v>140</v>
      </c>
    </row>
    <row r="3" spans="2:41" x14ac:dyDescent="0.2">
      <c r="B3" s="31" t="s">
        <v>126</v>
      </c>
      <c r="C3" s="32"/>
      <c r="D3" s="32"/>
      <c r="F3" s="34" t="s">
        <v>82</v>
      </c>
      <c r="G3" s="35"/>
      <c r="H3" s="35"/>
      <c r="J3" s="31" t="s">
        <v>100</v>
      </c>
      <c r="K3" s="31"/>
      <c r="L3" s="31"/>
      <c r="N3" s="31" t="s">
        <v>94</v>
      </c>
      <c r="O3" s="31"/>
      <c r="P3" s="31"/>
      <c r="U3" s="7" t="s">
        <v>43</v>
      </c>
      <c r="V3" s="7" t="s">
        <v>44</v>
      </c>
      <c r="W3" s="7" t="s">
        <v>45</v>
      </c>
      <c r="X3" s="7" t="s">
        <v>46</v>
      </c>
      <c r="Y3" s="7" t="s">
        <v>47</v>
      </c>
      <c r="Z3" s="7" t="s">
        <v>48</v>
      </c>
      <c r="AA3" s="7" t="s">
        <v>49</v>
      </c>
      <c r="AB3" s="7" t="s">
        <v>50</v>
      </c>
      <c r="AC3" s="7" t="s">
        <v>51</v>
      </c>
      <c r="AD3" s="7" t="s">
        <v>52</v>
      </c>
      <c r="AF3" s="7" t="s">
        <v>43</v>
      </c>
      <c r="AG3" s="7" t="s">
        <v>44</v>
      </c>
      <c r="AH3" s="7" t="s">
        <v>45</v>
      </c>
      <c r="AI3" s="7" t="s">
        <v>46</v>
      </c>
      <c r="AJ3" s="7" t="s">
        <v>47</v>
      </c>
      <c r="AK3" s="7" t="s">
        <v>48</v>
      </c>
      <c r="AL3" s="7" t="s">
        <v>49</v>
      </c>
      <c r="AM3" s="7" t="s">
        <v>50</v>
      </c>
      <c r="AN3" s="7" t="s">
        <v>51</v>
      </c>
      <c r="AO3" s="7" t="s">
        <v>52</v>
      </c>
    </row>
    <row r="4" spans="2:41" x14ac:dyDescent="0.2">
      <c r="B4" s="6" t="s">
        <v>38</v>
      </c>
      <c r="C4" s="3" t="s">
        <v>141</v>
      </c>
      <c r="F4" s="6" t="s">
        <v>86</v>
      </c>
      <c r="G4" s="17">
        <f>500*0.3048/60</f>
        <v>2.54</v>
      </c>
      <c r="H4" s="6" t="s">
        <v>10</v>
      </c>
      <c r="J4" s="6" t="s">
        <v>101</v>
      </c>
      <c r="K4" s="6">
        <f>(1+$C$25/100)*MAX(G10,G29)</f>
        <v>398.22775058709271</v>
      </c>
      <c r="L4" s="6" t="s">
        <v>103</v>
      </c>
      <c r="N4" s="6" t="s">
        <v>142</v>
      </c>
      <c r="O4" s="6">
        <f xml:space="preserve"> $C$5 * $C$74</f>
        <v>18652.25066455175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1.2875492164129358</v>
      </c>
      <c r="X4" s="3">
        <v>1</v>
      </c>
      <c r="Y4" s="2">
        <f t="shared" ref="Y4:Y34" si="1" xml:space="preserve"> $O$22 * TAN($O$19/180*PI()) + $O$23 / (2 * SQRT($O$22^2 + X4^2)) - X4</f>
        <v>-2.0815009957629638E-2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0.50650732111539676</v>
      </c>
      <c r="AB4" s="2">
        <f>W4*AA4</f>
        <v>0.65215310440954433</v>
      </c>
      <c r="AC4" s="2">
        <f>Y4*AA4</f>
        <v>-1.0542954932629295E-2</v>
      </c>
      <c r="AD4" s="2">
        <f>X4-V4</f>
        <v>1</v>
      </c>
      <c r="AF4" s="2">
        <v>0</v>
      </c>
      <c r="AH4" s="2">
        <f>K30</f>
        <v>-8.3741724665742368E-10</v>
      </c>
      <c r="AJ4" s="2">
        <f>K30</f>
        <v>-8.3741724665742368E-10</v>
      </c>
      <c r="AL4" s="2">
        <f>K30</f>
        <v>-8.3741724665742368E-10</v>
      </c>
    </row>
    <row r="5" spans="2:41" x14ac:dyDescent="0.2">
      <c r="B5" s="10" t="s">
        <v>39</v>
      </c>
      <c r="C5" s="10">
        <f>AK44</f>
        <v>1903.1833611253205</v>
      </c>
      <c r="D5" s="10" t="s">
        <v>7</v>
      </c>
      <c r="F5" s="6" t="s">
        <v>89</v>
      </c>
      <c r="G5" s="17">
        <f>1000*0.3048</f>
        <v>304.8</v>
      </c>
      <c r="H5" s="6" t="s">
        <v>8</v>
      </c>
      <c r="J5" s="6" t="s">
        <v>102</v>
      </c>
      <c r="K5" s="6">
        <f>K4/$C$21</f>
        <v>49.778468823386589</v>
      </c>
      <c r="L5" s="6" t="s">
        <v>103</v>
      </c>
      <c r="N5" s="6" t="s">
        <v>24</v>
      </c>
      <c r="O5" s="6">
        <f xml:space="preserve"> 0.5 * $C$71 * $C$7^2</f>
        <v>788.93863806294883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0.50650732111539676</v>
      </c>
      <c r="X5" s="2">
        <f>IF(AC4&gt;0, Z4, X4)</f>
        <v>1</v>
      </c>
      <c r="Y5" s="2">
        <f t="shared" si="1"/>
        <v>-2.0815009957629638E-2</v>
      </c>
      <c r="Z5" s="2">
        <f t="shared" ref="Z5:Z34" si="3" xml:space="preserve"> (V5 + X5)/2</f>
        <v>0.75</v>
      </c>
      <c r="AA5" s="2">
        <f t="shared" si="2"/>
        <v>0.23838228614603751</v>
      </c>
      <c r="AB5" s="2">
        <f t="shared" ref="AB5:AB34" si="4">W5*AA5</f>
        <v>0.12074237315719343</v>
      </c>
      <c r="AC5" s="2">
        <f t="shared" ref="AC5:AC34" si="5">Y5*AA5</f>
        <v>-4.9619296598522886E-3</v>
      </c>
      <c r="AD5" s="2">
        <f t="shared" ref="AD5:AD34" si="6">X5-V5</f>
        <v>0.5</v>
      </c>
      <c r="AF5" s="2">
        <v>1</v>
      </c>
      <c r="AG5" s="3">
        <v>100</v>
      </c>
      <c r="AH5" s="2">
        <f t="dataTable" ref="AH5:AH44" dt2D="0" dtr="0" r1="C5"/>
        <v>-858.72790329803581</v>
      </c>
      <c r="AI5" s="3">
        <v>10000</v>
      </c>
      <c r="AJ5" s="2">
        <f t="dataTable" ref="AJ5:AJ44" dt2D="0" dtr="0" r1="C5" ca="1"/>
        <v>2037.8484949113181</v>
      </c>
      <c r="AK5" s="2">
        <f>(AG5+AI5)/2</f>
        <v>5050</v>
      </c>
      <c r="AL5" s="2">
        <f t="dataTable" ref="AL5:AL44" dt2D="0" dtr="0" r1="C5" ca="1"/>
        <v>1465.5912845367507</v>
      </c>
      <c r="AM5" s="2">
        <f>AH5*AL5</f>
        <v>-1258544.1308621189</v>
      </c>
      <c r="AN5" s="2">
        <f>AJ5*AL5</f>
        <v>2986652.9933483629</v>
      </c>
      <c r="AO5" s="2">
        <f>AI5-AG5</f>
        <v>9900</v>
      </c>
    </row>
    <row r="6" spans="2:41" x14ac:dyDescent="0.2">
      <c r="B6" s="6" t="s">
        <v>185</v>
      </c>
      <c r="C6" s="17">
        <v>188.35180744713699</v>
      </c>
      <c r="D6" s="6" t="s">
        <v>133</v>
      </c>
      <c r="F6" s="6" t="s">
        <v>90</v>
      </c>
      <c r="G6" s="6">
        <f xml:space="preserve"> $G$5/$G$4</f>
        <v>120</v>
      </c>
      <c r="H6" s="6" t="s">
        <v>14</v>
      </c>
      <c r="J6" s="6" t="s">
        <v>143</v>
      </c>
      <c r="K6" s="6">
        <f>(1+$C$32/100)*MAX(G20)</f>
        <v>83.683404163796681</v>
      </c>
      <c r="L6" s="6" t="s">
        <v>103</v>
      </c>
      <c r="N6" s="6" t="s">
        <v>118</v>
      </c>
      <c r="O6" s="6">
        <f xml:space="preserve"> ($C$21+$C$28) * 0.4 * ($C$5/($C$21+$C$28) *2.20462/1000)^(2/3) * 0.3048^2</f>
        <v>0.20108530609146696</v>
      </c>
      <c r="P6" s="6" t="s">
        <v>119</v>
      </c>
      <c r="U6" s="2">
        <v>2</v>
      </c>
      <c r="V6" s="2">
        <f t="shared" ref="V6:V34" si="7">IF(AB5&gt;0, Z5, V5)</f>
        <v>0.75</v>
      </c>
      <c r="W6" s="2">
        <f t="shared" si="0"/>
        <v>0.23838228614603751</v>
      </c>
      <c r="X6" s="2">
        <f t="shared" ref="X6:X34" si="8">IF(AC5&gt;0, Z5, X5)</f>
        <v>1</v>
      </c>
      <c r="Y6" s="2">
        <f t="shared" si="1"/>
        <v>-2.0815009957629638E-2</v>
      </c>
      <c r="Z6" s="2">
        <f t="shared" si="3"/>
        <v>0.875</v>
      </c>
      <c r="AA6" s="2">
        <f t="shared" si="2"/>
        <v>0.10813564473715231</v>
      </c>
      <c r="AB6" s="2">
        <f t="shared" si="4"/>
        <v>2.5777622206318098E-2</v>
      </c>
      <c r="AC6" s="2">
        <f t="shared" si="5"/>
        <v>-2.2508445219785265E-3</v>
      </c>
      <c r="AD6" s="2">
        <f t="shared" si="6"/>
        <v>0.25</v>
      </c>
      <c r="AF6" s="2">
        <v>2</v>
      </c>
      <c r="AG6" s="2">
        <f>IF(AM5&gt;0,AK5,AG5)</f>
        <v>100</v>
      </c>
      <c r="AH6" s="2">
        <v>-858.72790329803581</v>
      </c>
      <c r="AI6" s="2">
        <f>IF(AN5&gt;0,AK5,AI5)</f>
        <v>5050</v>
      </c>
      <c r="AJ6" s="2">
        <v>1465.5912845367507</v>
      </c>
      <c r="AK6" s="2">
        <f t="shared" ref="AK6:AK43" si="9">(AG6+AI6)/2</f>
        <v>2575</v>
      </c>
      <c r="AL6" s="2">
        <v>207.06363426064877</v>
      </c>
      <c r="AM6" s="2">
        <f t="shared" ref="AM6:AM44" si="10">AH6*AL6</f>
        <v>-177811.32049791826</v>
      </c>
      <c r="AN6" s="2">
        <f t="shared" ref="AN6:AN44" si="11">AJ6*AL6</f>
        <v>303470.65771691216</v>
      </c>
      <c r="AO6" s="2">
        <f t="shared" ref="AO6:AO44" si="12">AI6-AG6</f>
        <v>4950</v>
      </c>
    </row>
    <row r="7" spans="2:41" x14ac:dyDescent="0.2">
      <c r="B7" s="6" t="s">
        <v>9</v>
      </c>
      <c r="C7" s="17">
        <f>142.393963121425*1000/3600</f>
        <v>39.553878644840282</v>
      </c>
      <c r="D7" s="6" t="s">
        <v>10</v>
      </c>
      <c r="F7" s="6" t="s">
        <v>20</v>
      </c>
      <c r="G7" s="6">
        <f xml:space="preserve"> $C$5 * $C$68 / $C$21</f>
        <v>2331.7543689492309</v>
      </c>
      <c r="H7" s="6" t="s">
        <v>21</v>
      </c>
      <c r="J7" s="6" t="s">
        <v>144</v>
      </c>
      <c r="K7" s="6">
        <f>K6/$C$28</f>
        <v>83.683404163796681</v>
      </c>
      <c r="L7" s="6" t="s">
        <v>103</v>
      </c>
      <c r="N7" s="6" t="s">
        <v>120</v>
      </c>
      <c r="O7" s="6">
        <f xml:space="preserve"> O6 / $C$12</f>
        <v>6.7028435364564105E-3</v>
      </c>
      <c r="U7" s="2">
        <v>3</v>
      </c>
      <c r="V7" s="2">
        <f t="shared" si="7"/>
        <v>0.875</v>
      </c>
      <c r="W7" s="2">
        <f t="shared" si="0"/>
        <v>0.10813564473715231</v>
      </c>
      <c r="X7" s="2">
        <f t="shared" si="8"/>
        <v>1</v>
      </c>
      <c r="Y7" s="2">
        <f t="shared" si="1"/>
        <v>-2.0815009957629638E-2</v>
      </c>
      <c r="Z7" s="2">
        <f t="shared" si="3"/>
        <v>0.9375</v>
      </c>
      <c r="AA7" s="2">
        <f t="shared" si="2"/>
        <v>4.3530178059450697E-2</v>
      </c>
      <c r="AB7" s="2">
        <f t="shared" si="4"/>
        <v>4.7071638699817432E-3</v>
      </c>
      <c r="AC7" s="2">
        <f t="shared" si="5"/>
        <v>-9.0608108976485743E-4</v>
      </c>
      <c r="AD7" s="2">
        <f t="shared" si="6"/>
        <v>0.125</v>
      </c>
      <c r="AF7" s="2">
        <v>3</v>
      </c>
      <c r="AG7" s="2">
        <f t="shared" ref="AG7:AG44" si="13">IF(AM6&gt;0,AK6,AG6)</f>
        <v>100</v>
      </c>
      <c r="AH7" s="2">
        <v>-858.72790329803581</v>
      </c>
      <c r="AI7" s="2">
        <f t="shared" ref="AI7:AI44" si="14">IF(AN6&gt;0,AK6,AI6)</f>
        <v>2575</v>
      </c>
      <c r="AJ7" s="2">
        <v>207.06363426064877</v>
      </c>
      <c r="AK7" s="2">
        <f t="shared" si="9"/>
        <v>1337.5</v>
      </c>
      <c r="AL7" s="2">
        <v>-230.83906883352063</v>
      </c>
      <c r="AM7" s="2">
        <f t="shared" si="10"/>
        <v>198227.94957868013</v>
      </c>
      <c r="AN7" s="2">
        <f t="shared" si="11"/>
        <v>-47798.376522012841</v>
      </c>
      <c r="AO7" s="2">
        <f t="shared" si="12"/>
        <v>2475</v>
      </c>
    </row>
    <row r="8" spans="2:41" x14ac:dyDescent="0.2">
      <c r="B8" s="6" t="s">
        <v>97</v>
      </c>
      <c r="C8" s="17">
        <v>2.0275344190607099</v>
      </c>
      <c r="D8" s="6" t="s">
        <v>8</v>
      </c>
      <c r="F8" t="s">
        <v>99</v>
      </c>
      <c r="G8" s="6">
        <f>G10/$C$21</f>
        <v>33.185645882257724</v>
      </c>
      <c r="H8" s="6" t="s">
        <v>19</v>
      </c>
      <c r="N8" s="6" t="s">
        <v>122</v>
      </c>
      <c r="O8" s="6">
        <f>$O$9-O7</f>
        <v>1.7289838813112888E-2</v>
      </c>
      <c r="U8" s="2">
        <v>4</v>
      </c>
      <c r="V8" s="2">
        <f t="shared" si="7"/>
        <v>0.9375</v>
      </c>
      <c r="W8" s="2">
        <f t="shared" si="0"/>
        <v>4.3530178059450697E-2</v>
      </c>
      <c r="X8" s="2">
        <f t="shared" si="8"/>
        <v>1</v>
      </c>
      <c r="Y8" s="2">
        <f t="shared" si="1"/>
        <v>-2.0815009957629638E-2</v>
      </c>
      <c r="Z8" s="2">
        <f t="shared" si="3"/>
        <v>0.96875</v>
      </c>
      <c r="AA8" s="2">
        <f t="shared" si="2"/>
        <v>1.1328150261177838E-2</v>
      </c>
      <c r="AB8" s="2">
        <f t="shared" si="4"/>
        <v>4.9311639795328419E-4</v>
      </c>
      <c r="AC8" s="2">
        <f t="shared" si="5"/>
        <v>-2.3579556048794147E-4</v>
      </c>
      <c r="AD8" s="2">
        <f t="shared" si="6"/>
        <v>6.25E-2</v>
      </c>
      <c r="AF8" s="2">
        <v>4</v>
      </c>
      <c r="AG8" s="2">
        <f t="shared" si="13"/>
        <v>1337.5</v>
      </c>
      <c r="AH8" s="2">
        <v>-230.83906883352063</v>
      </c>
      <c r="AI8" s="2">
        <f t="shared" si="14"/>
        <v>2575</v>
      </c>
      <c r="AJ8" s="2">
        <v>207.06363426064877</v>
      </c>
      <c r="AK8" s="2">
        <f t="shared" si="9"/>
        <v>1956.25</v>
      </c>
      <c r="AL8" s="2">
        <v>19.068624847129286</v>
      </c>
      <c r="AM8" s="2">
        <f t="shared" si="10"/>
        <v>-4401.783603647059</v>
      </c>
      <c r="AN8" s="2">
        <f t="shared" si="11"/>
        <v>3948.418761199498</v>
      </c>
      <c r="AO8" s="2">
        <f t="shared" si="12"/>
        <v>1237.5</v>
      </c>
    </row>
    <row r="9" spans="2:41" x14ac:dyDescent="0.2">
      <c r="B9" s="6" t="s">
        <v>138</v>
      </c>
      <c r="C9" s="17">
        <f>(0.548288+0.530863+0.513438+0.496013+0.478588+0.461163+0.443738+0.426313)/8</f>
        <v>0.48730050000000003</v>
      </c>
      <c r="D9" s="6" t="s">
        <v>8</v>
      </c>
      <c r="F9" t="s">
        <v>188</v>
      </c>
      <c r="G9" s="6">
        <f xml:space="preserve"> (G7/$C$68*1000) / (G8*1000)</f>
        <v>7.1686994125328773</v>
      </c>
      <c r="H9" s="6" t="s">
        <v>189</v>
      </c>
      <c r="J9" s="31" t="s">
        <v>22</v>
      </c>
      <c r="K9" s="31"/>
      <c r="L9" s="31"/>
      <c r="N9" s="6" t="s">
        <v>121</v>
      </c>
      <c r="O9" s="17">
        <v>2.3992682349569298E-2</v>
      </c>
      <c r="U9" s="2">
        <v>5</v>
      </c>
      <c r="V9" s="2">
        <f t="shared" si="7"/>
        <v>0.96875</v>
      </c>
      <c r="W9" s="2">
        <f t="shared" si="0"/>
        <v>1.1328150261177838E-2</v>
      </c>
      <c r="X9" s="2">
        <f t="shared" si="8"/>
        <v>1</v>
      </c>
      <c r="Y9" s="2">
        <f t="shared" si="1"/>
        <v>-2.0815009957629638E-2</v>
      </c>
      <c r="Z9" s="2">
        <f t="shared" si="3"/>
        <v>0.984375</v>
      </c>
      <c r="AA9" s="2">
        <f t="shared" si="2"/>
        <v>-4.7504429395774928E-3</v>
      </c>
      <c r="AB9" s="2">
        <f t="shared" si="4"/>
        <v>-5.3813731426685191E-5</v>
      </c>
      <c r="AC9" s="2">
        <f t="shared" si="5"/>
        <v>9.8880517090456921E-5</v>
      </c>
      <c r="AD9" s="2">
        <f t="shared" si="6"/>
        <v>3.125E-2</v>
      </c>
      <c r="AF9" s="2">
        <v>5</v>
      </c>
      <c r="AG9" s="2">
        <f t="shared" si="13"/>
        <v>1337.5</v>
      </c>
      <c r="AH9" s="2">
        <v>-230.83906883352063</v>
      </c>
      <c r="AI9" s="2">
        <f t="shared" si="14"/>
        <v>1956.25</v>
      </c>
      <c r="AJ9" s="2">
        <v>19.068624847129286</v>
      </c>
      <c r="AK9" s="2">
        <f t="shared" si="9"/>
        <v>1646.875</v>
      </c>
      <c r="AL9" s="2">
        <v>-98.430608087744304</v>
      </c>
      <c r="AM9" s="2">
        <f t="shared" si="10"/>
        <v>22721.629915692101</v>
      </c>
      <c r="AN9" s="2">
        <f t="shared" si="11"/>
        <v>-1876.9363391000059</v>
      </c>
      <c r="AO9" s="2">
        <f t="shared" si="12"/>
        <v>618.75</v>
      </c>
    </row>
    <row r="10" spans="2:41" x14ac:dyDescent="0.2">
      <c r="B10" s="6" t="s">
        <v>145</v>
      </c>
      <c r="C10" s="17">
        <v>2.0999999714521902</v>
      </c>
      <c r="D10" s="6" t="s">
        <v>8</v>
      </c>
      <c r="F10" s="25" t="s">
        <v>84</v>
      </c>
      <c r="G10" s="25">
        <f xml:space="preserve"> 1/1000 * (($C$5*$C$68)/$C$24 * ( ($G$4/2) + SQRT( ($G$4/2)^2 + ($C$5*$C$68) / (2*$C$65*PI()*$C$8^2 * $C$21) ) ) )</f>
        <v>265.48516705806179</v>
      </c>
      <c r="H10" s="25" t="s">
        <v>103</v>
      </c>
      <c r="J10" s="6" t="s">
        <v>98</v>
      </c>
      <c r="K10" s="6">
        <f xml:space="preserve"> $C$18 * (G10*G6 + G20*G13 + G29*G25 + G33*G32)/3600</f>
        <v>79.500376287351258</v>
      </c>
      <c r="L10" s="6" t="s">
        <v>104</v>
      </c>
      <c r="N10" s="6" t="s">
        <v>40</v>
      </c>
      <c r="O10" s="6">
        <f xml:space="preserve"> O5 * $C$12 * O9</f>
        <v>567.86262408410028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1.1328150261177838E-2</v>
      </c>
      <c r="X10" s="2">
        <f t="shared" si="8"/>
        <v>0.984375</v>
      </c>
      <c r="Y10" s="2">
        <f t="shared" si="1"/>
        <v>-4.7504429395774928E-3</v>
      </c>
      <c r="Z10" s="2">
        <f t="shared" si="3"/>
        <v>0.9765625</v>
      </c>
      <c r="AA10" s="2">
        <f t="shared" si="2"/>
        <v>3.2870589138153106E-3</v>
      </c>
      <c r="AB10" s="2">
        <f t="shared" si="4"/>
        <v>3.7236297293043855E-5</v>
      </c>
      <c r="AC10" s="2">
        <f t="shared" si="5"/>
        <v>-1.5614985809109203E-5</v>
      </c>
      <c r="AD10" s="2">
        <f t="shared" si="6"/>
        <v>1.5625E-2</v>
      </c>
      <c r="AF10" s="2">
        <v>6</v>
      </c>
      <c r="AG10" s="2">
        <f t="shared" si="13"/>
        <v>1646.875</v>
      </c>
      <c r="AH10" s="2">
        <v>-98.430608087744304</v>
      </c>
      <c r="AI10" s="2">
        <f t="shared" si="14"/>
        <v>1956.25</v>
      </c>
      <c r="AJ10" s="2">
        <v>19.068624847129286</v>
      </c>
      <c r="AK10" s="2">
        <f t="shared" si="9"/>
        <v>1801.5625</v>
      </c>
      <c r="AL10" s="2">
        <v>-37.778411779506996</v>
      </c>
      <c r="AM10" s="2">
        <f t="shared" si="10"/>
        <v>3718.5520440460759</v>
      </c>
      <c r="AN10" s="2">
        <f t="shared" si="11"/>
        <v>-720.38236154378876</v>
      </c>
      <c r="AO10" s="2">
        <f t="shared" si="12"/>
        <v>309.375</v>
      </c>
    </row>
    <row r="11" spans="2:41" x14ac:dyDescent="0.2">
      <c r="B11" s="6" t="s">
        <v>173</v>
      </c>
      <c r="C11" s="17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67.4699511257854</v>
      </c>
      <c r="L11" s="6" t="s">
        <v>105</v>
      </c>
      <c r="N11" s="6" t="s">
        <v>148</v>
      </c>
      <c r="O11" s="6">
        <f xml:space="preserve"> 1.78 * (1 - 0.045 * $C$13^0.68) - 0.64</f>
        <v>0.83125521592432949</v>
      </c>
      <c r="U11" s="2">
        <v>7</v>
      </c>
      <c r="V11" s="2">
        <f t="shared" si="7"/>
        <v>0.9765625</v>
      </c>
      <c r="W11" s="2">
        <f t="shared" si="0"/>
        <v>3.2870589138153106E-3</v>
      </c>
      <c r="X11" s="2">
        <f t="shared" si="8"/>
        <v>0.984375</v>
      </c>
      <c r="Y11" s="2">
        <f t="shared" si="1"/>
        <v>-4.7504429395774928E-3</v>
      </c>
      <c r="Z11" s="2">
        <f t="shared" si="3"/>
        <v>0.98046875</v>
      </c>
      <c r="AA11" s="2">
        <f t="shared" si="2"/>
        <v>-7.3213541394101522E-4</v>
      </c>
      <c r="AB11" s="2">
        <f t="shared" si="4"/>
        <v>-2.4065722385146761E-6</v>
      </c>
      <c r="AC11" s="2">
        <f t="shared" si="5"/>
        <v>3.4779675079707408E-6</v>
      </c>
      <c r="AD11" s="2">
        <f t="shared" si="6"/>
        <v>7.8125E-3</v>
      </c>
      <c r="AF11" s="2">
        <v>7</v>
      </c>
      <c r="AG11" s="2">
        <f t="shared" si="13"/>
        <v>1801.5625</v>
      </c>
      <c r="AH11" s="2">
        <v>-37.778411779506996</v>
      </c>
      <c r="AI11" s="2">
        <f t="shared" si="14"/>
        <v>1956.25</v>
      </c>
      <c r="AJ11" s="2">
        <v>19.068624847129286</v>
      </c>
      <c r="AK11" s="2">
        <f t="shared" si="9"/>
        <v>1878.90625</v>
      </c>
      <c r="AL11" s="2">
        <v>-8.8748479883890923</v>
      </c>
      <c r="AM11" s="2">
        <f t="shared" si="10"/>
        <v>335.27766178589246</v>
      </c>
      <c r="AN11" s="2">
        <f t="shared" si="11"/>
        <v>-169.23114686589162</v>
      </c>
      <c r="AO11" s="2">
        <f t="shared" si="12"/>
        <v>154.6875</v>
      </c>
    </row>
    <row r="12" spans="2:41" x14ac:dyDescent="0.2">
      <c r="B12" s="6" t="s">
        <v>146</v>
      </c>
      <c r="C12" s="17">
        <v>29.999999999667999</v>
      </c>
      <c r="D12" s="6" t="s">
        <v>11</v>
      </c>
      <c r="F12" s="34" t="s">
        <v>88</v>
      </c>
      <c r="G12" s="35"/>
      <c r="H12" s="35"/>
      <c r="N12" s="6" t="s">
        <v>149</v>
      </c>
      <c r="O12" s="6">
        <f xml:space="preserve"> O4 / (O5 * $C$12)</f>
        <v>0.78807356976685938</v>
      </c>
      <c r="U12" s="2">
        <v>8</v>
      </c>
      <c r="V12" s="2">
        <f t="shared" si="7"/>
        <v>0.9765625</v>
      </c>
      <c r="W12" s="2">
        <f t="shared" si="0"/>
        <v>3.2870589138153106E-3</v>
      </c>
      <c r="X12" s="2">
        <f t="shared" si="8"/>
        <v>0.98046875</v>
      </c>
      <c r="Y12" s="2">
        <f t="shared" si="1"/>
        <v>-7.3213541394101522E-4</v>
      </c>
      <c r="Z12" s="2">
        <f t="shared" si="3"/>
        <v>0.978515625</v>
      </c>
      <c r="AA12" s="2">
        <f t="shared" si="2"/>
        <v>1.2773502454361818E-3</v>
      </c>
      <c r="AB12" s="2">
        <f t="shared" si="4"/>
        <v>4.1987255103251765E-6</v>
      </c>
      <c r="AC12" s="2">
        <f t="shared" si="5"/>
        <v>-9.3519335069007634E-7</v>
      </c>
      <c r="AD12" s="2">
        <f t="shared" si="6"/>
        <v>3.90625E-3</v>
      </c>
      <c r="AF12" s="2">
        <v>8</v>
      </c>
      <c r="AG12" s="2">
        <f t="shared" si="13"/>
        <v>1878.90625</v>
      </c>
      <c r="AH12" s="2">
        <v>-8.8748479883890923</v>
      </c>
      <c r="AI12" s="2">
        <f t="shared" si="14"/>
        <v>1956.25</v>
      </c>
      <c r="AJ12" s="2">
        <v>19.068624847129286</v>
      </c>
      <c r="AK12" s="2">
        <f t="shared" si="9"/>
        <v>1917.578125</v>
      </c>
      <c r="AL12" s="2">
        <v>5.2174331371174958</v>
      </c>
      <c r="AM12" s="2">
        <f t="shared" si="10"/>
        <v>-46.303925981501799</v>
      </c>
      <c r="AN12" s="2">
        <f t="shared" si="11"/>
        <v>99.489275156674381</v>
      </c>
      <c r="AO12" s="2">
        <f t="shared" si="12"/>
        <v>77.34375</v>
      </c>
    </row>
    <row r="13" spans="2:41" x14ac:dyDescent="0.2">
      <c r="B13" s="6" t="s">
        <v>147</v>
      </c>
      <c r="C13" s="17">
        <v>7.2730461456832103</v>
      </c>
      <c r="F13" s="9" t="s">
        <v>91</v>
      </c>
      <c r="G13" s="6">
        <f xml:space="preserve"> $C$17/$C$7</f>
        <v>2528.1970675471239</v>
      </c>
      <c r="H13" s="6" t="s">
        <v>14</v>
      </c>
      <c r="J13" s="27" t="s">
        <v>53</v>
      </c>
      <c r="K13" s="27"/>
      <c r="L13" s="27"/>
      <c r="N13" s="6" t="s">
        <v>150</v>
      </c>
      <c r="O13" s="6">
        <f xml:space="preserve"> O9 + O12^2 / ( PI() * O11 * $C$13 )</f>
        <v>5.6691565985765149E-2</v>
      </c>
      <c r="U13" s="2">
        <v>9</v>
      </c>
      <c r="V13" s="2">
        <f t="shared" si="7"/>
        <v>0.978515625</v>
      </c>
      <c r="W13" s="2">
        <f t="shared" si="0"/>
        <v>1.2773502454361818E-3</v>
      </c>
      <c r="X13" s="2">
        <f t="shared" si="8"/>
        <v>0.98046875</v>
      </c>
      <c r="Y13" s="2">
        <f t="shared" si="1"/>
        <v>-7.3213541394101522E-4</v>
      </c>
      <c r="Z13" s="2">
        <f t="shared" si="3"/>
        <v>0.9794921875</v>
      </c>
      <c r="AA13" s="2">
        <f t="shared" si="2"/>
        <v>2.7257962180216033E-4</v>
      </c>
      <c r="AB13" s="2">
        <f t="shared" si="4"/>
        <v>3.4817964680989111E-7</v>
      </c>
      <c r="AC13" s="2">
        <f t="shared" si="5"/>
        <v>-1.9956519424001003E-7</v>
      </c>
      <c r="AD13" s="2">
        <f t="shared" si="6"/>
        <v>1.953125E-3</v>
      </c>
      <c r="AF13" s="2">
        <v>9</v>
      </c>
      <c r="AG13" s="2">
        <f t="shared" si="13"/>
        <v>1878.90625</v>
      </c>
      <c r="AH13" s="2">
        <v>-8.8748479883890923</v>
      </c>
      <c r="AI13" s="2">
        <f t="shared" si="14"/>
        <v>1917.578125</v>
      </c>
      <c r="AJ13" s="2">
        <v>5.2174331371174958</v>
      </c>
      <c r="AK13" s="2">
        <f t="shared" si="9"/>
        <v>1898.2421875</v>
      </c>
      <c r="AL13" s="2">
        <v>-1.798637141828749</v>
      </c>
      <c r="AM13" s="2">
        <f t="shared" si="10"/>
        <v>15.96263122000078</v>
      </c>
      <c r="AN13" s="2">
        <f t="shared" si="11"/>
        <v>-9.3842690254276153</v>
      </c>
      <c r="AO13" s="2">
        <f t="shared" si="12"/>
        <v>38.671875</v>
      </c>
    </row>
    <row r="14" spans="2:41" x14ac:dyDescent="0.2">
      <c r="F14" s="6" t="s">
        <v>153</v>
      </c>
      <c r="G14" s="6">
        <f>O21*$C$10</f>
        <v>41.420725256558505</v>
      </c>
      <c r="H14" s="6" t="s">
        <v>10</v>
      </c>
      <c r="J14" s="10" t="s">
        <v>81</v>
      </c>
      <c r="K14" s="18">
        <f>C5</f>
        <v>1903.1833611253205</v>
      </c>
      <c r="L14" s="6" t="s">
        <v>7</v>
      </c>
      <c r="N14" s="6" t="s">
        <v>41</v>
      </c>
      <c r="O14" s="6">
        <f xml:space="preserve"> O5 * O13 * $C$12</f>
        <v>1341.7850057391115</v>
      </c>
      <c r="P14" s="6" t="s">
        <v>21</v>
      </c>
      <c r="U14" s="2">
        <v>10</v>
      </c>
      <c r="V14" s="2">
        <f t="shared" si="7"/>
        <v>0.9794921875</v>
      </c>
      <c r="W14" s="2">
        <f t="shared" si="0"/>
        <v>2.7257962180216033E-4</v>
      </c>
      <c r="X14" s="2">
        <f t="shared" si="8"/>
        <v>0.98046875</v>
      </c>
      <c r="Y14" s="2">
        <f t="shared" si="1"/>
        <v>-7.3213541394101522E-4</v>
      </c>
      <c r="Z14" s="2">
        <f t="shared" si="3"/>
        <v>0.97998046875</v>
      </c>
      <c r="AA14" s="2">
        <f t="shared" si="2"/>
        <v>-2.2978483431845831E-4</v>
      </c>
      <c r="AB14" s="2">
        <f t="shared" si="4"/>
        <v>-6.2634663234397442E-8</v>
      </c>
      <c r="AC14" s="2">
        <f t="shared" si="5"/>
        <v>1.6823361479111207E-7</v>
      </c>
      <c r="AD14" s="2">
        <f t="shared" si="6"/>
        <v>9.765625E-4</v>
      </c>
      <c r="AF14" s="2">
        <v>10</v>
      </c>
      <c r="AG14" s="2">
        <f t="shared" si="13"/>
        <v>1898.2421875</v>
      </c>
      <c r="AH14" s="2">
        <v>-1.798637141828749</v>
      </c>
      <c r="AI14" s="2">
        <f t="shared" si="14"/>
        <v>1917.578125</v>
      </c>
      <c r="AJ14" s="2">
        <v>5.2174331371174958</v>
      </c>
      <c r="AK14" s="2">
        <f t="shared" si="9"/>
        <v>1907.91015625</v>
      </c>
      <c r="AL14" s="2">
        <v>1.7169239749769076</v>
      </c>
      <c r="AM14" s="2">
        <f t="shared" si="10"/>
        <v>-3.0881232310897198</v>
      </c>
      <c r="AN14" s="2">
        <f t="shared" si="11"/>
        <v>8.9579360409560085</v>
      </c>
      <c r="AO14" s="2">
        <f t="shared" si="12"/>
        <v>19.3359375</v>
      </c>
    </row>
    <row r="15" spans="2:41" x14ac:dyDescent="0.2">
      <c r="B15" s="31" t="s">
        <v>12</v>
      </c>
      <c r="C15" s="31"/>
      <c r="D15" s="31"/>
      <c r="F15" s="6" t="s">
        <v>154</v>
      </c>
      <c r="G15" s="6">
        <f>G14/$C$73</f>
        <v>0.12449058406653954</v>
      </c>
      <c r="H15" s="6" t="s">
        <v>130</v>
      </c>
      <c r="J15" s="11" t="s">
        <v>54</v>
      </c>
      <c r="K15" s="6">
        <f xml:space="preserve"> 1000 * K10 / ($C$60 * $C$61 * $C$62)</f>
        <v>467.64927227853684</v>
      </c>
      <c r="L15" s="6" t="s">
        <v>7</v>
      </c>
      <c r="N15" s="6" t="s">
        <v>151</v>
      </c>
      <c r="O15" s="6">
        <f>O4/O14</f>
        <v>13.901072515173404</v>
      </c>
      <c r="U15" s="2">
        <v>11</v>
      </c>
      <c r="V15" s="2">
        <f t="shared" si="7"/>
        <v>0.9794921875</v>
      </c>
      <c r="W15" s="2">
        <f t="shared" si="0"/>
        <v>2.7257962180216033E-4</v>
      </c>
      <c r="X15" s="2">
        <f t="shared" si="8"/>
        <v>0.97998046875</v>
      </c>
      <c r="Y15" s="2">
        <f t="shared" si="1"/>
        <v>-2.2978483431845831E-4</v>
      </c>
      <c r="Z15" s="2">
        <f t="shared" si="3"/>
        <v>0.979736328125</v>
      </c>
      <c r="AA15" s="2">
        <f t="shared" si="2"/>
        <v>2.1395657901490672E-5</v>
      </c>
      <c r="AB15" s="2">
        <f t="shared" si="4"/>
        <v>5.8320203389967306E-9</v>
      </c>
      <c r="AC15" s="2">
        <f t="shared" si="5"/>
        <v>-4.9163977060284478E-9</v>
      </c>
      <c r="AD15" s="2">
        <f t="shared" si="6"/>
        <v>4.8828125E-4</v>
      </c>
      <c r="AF15" s="2">
        <v>11</v>
      </c>
      <c r="AG15" s="2">
        <f t="shared" si="13"/>
        <v>1898.2421875</v>
      </c>
      <c r="AH15" s="2">
        <v>-1.798637141828749</v>
      </c>
      <c r="AI15" s="2">
        <f t="shared" si="14"/>
        <v>1907.91015625</v>
      </c>
      <c r="AJ15" s="2">
        <v>1.7169239749769076</v>
      </c>
      <c r="AK15" s="2">
        <f t="shared" si="9"/>
        <v>1903.076171875</v>
      </c>
      <c r="AL15" s="2">
        <v>-3.8976196130988683E-2</v>
      </c>
      <c r="AM15" s="2">
        <f t="shared" si="10"/>
        <v>7.0104034008398236E-2</v>
      </c>
      <c r="AN15" s="2">
        <f t="shared" si="11"/>
        <v>-6.6919165590696661E-2</v>
      </c>
      <c r="AO15" s="2">
        <f t="shared" si="12"/>
        <v>9.66796875</v>
      </c>
    </row>
    <row r="16" spans="2:41" x14ac:dyDescent="0.2">
      <c r="B16" s="6" t="s">
        <v>70</v>
      </c>
      <c r="C16" s="6">
        <f>C35*100</f>
        <v>600</v>
      </c>
      <c r="D16" s="6" t="s">
        <v>7</v>
      </c>
      <c r="F16" s="9" t="s">
        <v>20</v>
      </c>
      <c r="G16" s="6">
        <f>O20</f>
        <v>1341.7850057391115</v>
      </c>
      <c r="H16" s="6" t="s">
        <v>21</v>
      </c>
      <c r="J16" s="12" t="s">
        <v>134</v>
      </c>
      <c r="K16" s="6">
        <f xml:space="preserve"> $C$78 * ( $C$21 * (0.0095 * MAX(G7,G26) - 1.9275) +  $C$28 * (0.0095 * MAX(O20) - 1.9275) )</f>
        <v>138.09023167573051</v>
      </c>
      <c r="L16" s="6" t="s">
        <v>7</v>
      </c>
      <c r="N16" s="6" t="s">
        <v>117</v>
      </c>
      <c r="O16" s="6">
        <f>(O13*$C$12)/(0.3048^2)/($C$5*2.20462/1000)^(2/3)</f>
        <v>7.0372049515458066</v>
      </c>
      <c r="U16" s="2">
        <v>12</v>
      </c>
      <c r="V16" s="2">
        <f t="shared" si="7"/>
        <v>0.979736328125</v>
      </c>
      <c r="W16" s="2">
        <f t="shared" si="0"/>
        <v>2.1395657901490672E-5</v>
      </c>
      <c r="X16" s="2">
        <f t="shared" si="8"/>
        <v>0.97998046875</v>
      </c>
      <c r="Y16" s="2">
        <f t="shared" si="1"/>
        <v>-2.2978483431845831E-4</v>
      </c>
      <c r="Z16" s="2">
        <f t="shared" si="3"/>
        <v>0.9798583984375</v>
      </c>
      <c r="AA16" s="2">
        <f t="shared" si="2"/>
        <v>-1.041950220087573E-4</v>
      </c>
      <c r="AB16" s="2">
        <f t="shared" si="4"/>
        <v>-2.2293210459376625E-9</v>
      </c>
      <c r="AC16" s="2">
        <f t="shared" si="5"/>
        <v>2.3942435869090413E-8</v>
      </c>
      <c r="AD16" s="2">
        <f t="shared" si="6"/>
        <v>2.44140625E-4</v>
      </c>
      <c r="AF16" s="2">
        <v>12</v>
      </c>
      <c r="AG16" s="2">
        <f t="shared" si="13"/>
        <v>1903.076171875</v>
      </c>
      <c r="AH16" s="2">
        <v>-3.8976196130988683E-2</v>
      </c>
      <c r="AI16" s="2">
        <f t="shared" si="14"/>
        <v>1907.91015625</v>
      </c>
      <c r="AJ16" s="2">
        <v>1.7169239749769076</v>
      </c>
      <c r="AK16" s="2">
        <f t="shared" si="9"/>
        <v>1905.4931640625</v>
      </c>
      <c r="AL16" s="2">
        <v>0.83944416999634086</v>
      </c>
      <c r="AM16" s="2">
        <f t="shared" si="10"/>
        <v>-3.2718340610792387E-2</v>
      </c>
      <c r="AN16" s="2">
        <f t="shared" si="11"/>
        <v>1.4412618211213086</v>
      </c>
      <c r="AO16" s="2">
        <f t="shared" si="12"/>
        <v>4.833984375</v>
      </c>
    </row>
    <row r="17" spans="2:41" x14ac:dyDescent="0.2">
      <c r="B17" s="6" t="s">
        <v>13</v>
      </c>
      <c r="C17" s="17">
        <v>100000</v>
      </c>
      <c r="D17" s="6" t="s">
        <v>8</v>
      </c>
      <c r="F17" s="9" t="s">
        <v>99</v>
      </c>
      <c r="G17" s="6">
        <f xml:space="preserve"> 1/1000 * (O25 + O20 * (O30 * O27 + $C$7 * SIN(O19/180*PI())))</f>
        <v>55.788936109197785</v>
      </c>
      <c r="H17" s="6" t="s">
        <v>103</v>
      </c>
      <c r="J17" s="12" t="s">
        <v>135</v>
      </c>
      <c r="K17" s="6">
        <v>0</v>
      </c>
      <c r="L17" s="6" t="s">
        <v>7</v>
      </c>
      <c r="U17" s="2">
        <v>13</v>
      </c>
      <c r="V17" s="2">
        <f t="shared" si="7"/>
        <v>0.979736328125</v>
      </c>
      <c r="W17" s="2">
        <f t="shared" si="0"/>
        <v>2.1395657901490672E-5</v>
      </c>
      <c r="X17" s="2">
        <f t="shared" si="8"/>
        <v>0.9798583984375</v>
      </c>
      <c r="Y17" s="2">
        <f t="shared" si="1"/>
        <v>-1.041950220087573E-4</v>
      </c>
      <c r="Z17" s="2">
        <f t="shared" si="3"/>
        <v>0.97979736328125</v>
      </c>
      <c r="AA17" s="2">
        <f t="shared" si="2"/>
        <v>-4.1399790523644064E-5</v>
      </c>
      <c r="AB17" s="2">
        <f t="shared" si="4"/>
        <v>-8.8577575523726376E-10</v>
      </c>
      <c r="AC17" s="2">
        <f t="shared" si="5"/>
        <v>4.3136520847690354E-9</v>
      </c>
      <c r="AD17" s="2">
        <f t="shared" si="6"/>
        <v>1.220703125E-4</v>
      </c>
      <c r="AF17" s="2">
        <v>13</v>
      </c>
      <c r="AG17" s="2">
        <f t="shared" si="13"/>
        <v>1903.076171875</v>
      </c>
      <c r="AH17" s="2">
        <v>-3.8976196130988683E-2</v>
      </c>
      <c r="AI17" s="2">
        <f t="shared" si="14"/>
        <v>1905.4931640625</v>
      </c>
      <c r="AJ17" s="2">
        <v>0.83944416999634086</v>
      </c>
      <c r="AK17" s="2">
        <f t="shared" si="9"/>
        <v>1904.28466796875</v>
      </c>
      <c r="AL17" s="2">
        <v>0.40035154055635758</v>
      </c>
      <c r="AM17" s="2">
        <f t="shared" si="10"/>
        <v>-1.5604180166068063E-2</v>
      </c>
      <c r="AN17" s="2">
        <f t="shared" si="11"/>
        <v>0.33607276666908797</v>
      </c>
      <c r="AO17" s="2">
        <f t="shared" si="12"/>
        <v>2.4169921875</v>
      </c>
    </row>
    <row r="18" spans="2:41" x14ac:dyDescent="0.2">
      <c r="B18" s="6" t="s">
        <v>177</v>
      </c>
      <c r="C18" s="17">
        <v>1</v>
      </c>
      <c r="F18" t="s">
        <v>188</v>
      </c>
      <c r="G18" s="6">
        <f xml:space="preserve"> (G16/$C$74*1000) / (G17*1000)</f>
        <v>2.4540547283537486</v>
      </c>
      <c r="H18" s="6" t="s">
        <v>189</v>
      </c>
      <c r="J18" s="13" t="s">
        <v>55</v>
      </c>
      <c r="K18" s="6">
        <f xml:space="preserve"> $C$78 * (0.2138 * K4 + 0.2138 * K6)</f>
        <v>82.426083908592119</v>
      </c>
      <c r="L18" s="6" t="s">
        <v>7</v>
      </c>
      <c r="N18" s="34" t="s">
        <v>152</v>
      </c>
      <c r="O18" s="36"/>
      <c r="P18" s="36"/>
      <c r="U18" s="2">
        <v>14</v>
      </c>
      <c r="V18" s="2">
        <f t="shared" si="7"/>
        <v>0.979736328125</v>
      </c>
      <c r="W18" s="2">
        <f t="shared" si="0"/>
        <v>2.1395657901490672E-5</v>
      </c>
      <c r="X18" s="2">
        <f t="shared" si="8"/>
        <v>0.97979736328125</v>
      </c>
      <c r="Y18" s="2">
        <f t="shared" si="1"/>
        <v>-4.1399790523644064E-5</v>
      </c>
      <c r="Z18" s="2">
        <f t="shared" si="3"/>
        <v>0.979766845703125</v>
      </c>
      <c r="AA18" s="2">
        <f t="shared" si="2"/>
        <v>-1.000209343104963E-5</v>
      </c>
      <c r="AB18" s="2">
        <f t="shared" si="4"/>
        <v>-2.1400136934948497E-10</v>
      </c>
      <c r="AC18" s="2">
        <f t="shared" si="5"/>
        <v>4.1408457284337103E-10</v>
      </c>
      <c r="AD18" s="2">
        <f t="shared" si="6"/>
        <v>6.103515625E-5</v>
      </c>
      <c r="AF18" s="2">
        <v>14</v>
      </c>
      <c r="AG18" s="2">
        <f t="shared" si="13"/>
        <v>1903.076171875</v>
      </c>
      <c r="AH18" s="2">
        <v>-3.8976196130988683E-2</v>
      </c>
      <c r="AI18" s="2">
        <f t="shared" si="14"/>
        <v>1904.28466796875</v>
      </c>
      <c r="AJ18" s="2">
        <v>0.40035154055635758</v>
      </c>
      <c r="AK18" s="2">
        <f t="shared" si="9"/>
        <v>1903.680419921875</v>
      </c>
      <c r="AL18" s="2">
        <v>0.18071700682980918</v>
      </c>
      <c r="AM18" s="2">
        <f t="shared" si="10"/>
        <v>-7.0436615024038638E-3</v>
      </c>
      <c r="AN18" s="2">
        <f t="shared" si="11"/>
        <v>7.2350332089047897E-2</v>
      </c>
      <c r="AO18" s="2">
        <f t="shared" si="12"/>
        <v>1.20849609375</v>
      </c>
    </row>
    <row r="19" spans="2:41" x14ac:dyDescent="0.2">
      <c r="F19" s="9" t="s">
        <v>190</v>
      </c>
      <c r="G19" s="6">
        <f>O23 / ($C$29*$C$11/PI())</f>
        <v>6.5849705187468605E-2</v>
      </c>
      <c r="J19" s="13" t="s">
        <v>79</v>
      </c>
      <c r="K19" s="6">
        <f xml:space="preserve"> $C$78 * (0.1149 * K4 + 0.1149 * K6)</f>
        <v>44.297273344701757</v>
      </c>
      <c r="L19" s="6" t="s">
        <v>7</v>
      </c>
      <c r="N19" s="6" t="s">
        <v>27</v>
      </c>
      <c r="O19" s="6">
        <f xml:space="preserve"> 90 - $C$81</f>
        <v>85</v>
      </c>
      <c r="P19" s="6" t="s">
        <v>42</v>
      </c>
      <c r="U19" s="2">
        <v>15</v>
      </c>
      <c r="V19" s="2">
        <f t="shared" si="7"/>
        <v>0.979736328125</v>
      </c>
      <c r="W19" s="2">
        <f t="shared" si="0"/>
        <v>2.1395657901490672E-5</v>
      </c>
      <c r="X19" s="2">
        <f t="shared" si="8"/>
        <v>0.979766845703125</v>
      </c>
      <c r="Y19" s="2">
        <f t="shared" si="1"/>
        <v>-1.000209343104963E-5</v>
      </c>
      <c r="Z19" s="2">
        <f t="shared" si="3"/>
        <v>0.9797515869140625</v>
      </c>
      <c r="AA19" s="2">
        <f t="shared" si="2"/>
        <v>5.6967754549219762E-6</v>
      </c>
      <c r="AB19" s="2">
        <f t="shared" si="4"/>
        <v>1.218862587751195E-10</v>
      </c>
      <c r="AC19" s="2">
        <f t="shared" si="5"/>
        <v>-5.6979680355839867E-11</v>
      </c>
      <c r="AD19" s="2">
        <f t="shared" si="6"/>
        <v>3.0517578125E-5</v>
      </c>
      <c r="AF19" s="2">
        <v>15</v>
      </c>
      <c r="AG19" s="2">
        <f t="shared" si="13"/>
        <v>1903.076171875</v>
      </c>
      <c r="AH19" s="2">
        <v>-3.8976196130988683E-2</v>
      </c>
      <c r="AI19" s="2">
        <f t="shared" si="14"/>
        <v>1903.680419921875</v>
      </c>
      <c r="AJ19" s="2">
        <v>0.18071700682980918</v>
      </c>
      <c r="AK19" s="2">
        <f t="shared" si="9"/>
        <v>1903.3782958984375</v>
      </c>
      <c r="AL19" s="2">
        <v>7.0877583615583717E-2</v>
      </c>
      <c r="AM19" s="2">
        <f t="shared" si="10"/>
        <v>-2.762538600291541E-3</v>
      </c>
      <c r="AN19" s="2">
        <f t="shared" si="11"/>
        <v>1.2808784762337815E-2</v>
      </c>
      <c r="AO19" s="2">
        <f t="shared" si="12"/>
        <v>0.604248046875</v>
      </c>
    </row>
    <row r="20" spans="2:41" x14ac:dyDescent="0.2">
      <c r="B20" s="31" t="s">
        <v>114</v>
      </c>
      <c r="C20" s="31"/>
      <c r="D20" s="31"/>
      <c r="F20" s="26" t="s">
        <v>139</v>
      </c>
      <c r="G20" s="25">
        <f xml:space="preserve"> $C$28 * G17</f>
        <v>55.788936109197785</v>
      </c>
      <c r="H20" s="25" t="s">
        <v>103</v>
      </c>
      <c r="J20" s="14" t="s">
        <v>62</v>
      </c>
      <c r="K20" s="6">
        <f xml:space="preserve"> $C$79 * (14.86 * ($C$5*2.20462)^0.144 * ($C$36/(PI()*$C$37))^0.778 * ($C$36*3.28084)^0.383 * $C$35^0.455 * 0.453592)</f>
        <v>210.47026197966989</v>
      </c>
      <c r="L20" s="6" t="s">
        <v>7</v>
      </c>
      <c r="N20" s="6" t="s">
        <v>20</v>
      </c>
      <c r="O20" s="6">
        <f xml:space="preserve"> O14 / $C$28</f>
        <v>1341.7850057391115</v>
      </c>
      <c r="P20" s="6" t="s">
        <v>21</v>
      </c>
      <c r="U20" s="2">
        <v>16</v>
      </c>
      <c r="V20" s="2">
        <f t="shared" si="7"/>
        <v>0.9797515869140625</v>
      </c>
      <c r="W20" s="2">
        <f t="shared" si="0"/>
        <v>5.6967754549219762E-6</v>
      </c>
      <c r="X20" s="2">
        <f t="shared" si="8"/>
        <v>0.979766845703125</v>
      </c>
      <c r="Y20" s="2">
        <f t="shared" si="1"/>
        <v>-1.000209343104963E-5</v>
      </c>
      <c r="Z20" s="2">
        <f t="shared" si="3"/>
        <v>0.97975921630859375</v>
      </c>
      <c r="AA20" s="2">
        <f t="shared" si="2"/>
        <v>-2.1526606831523409E-6</v>
      </c>
      <c r="AB20" s="2">
        <f t="shared" si="4"/>
        <v>-1.2263224542557829E-11</v>
      </c>
      <c r="AC20" s="2">
        <f t="shared" si="5"/>
        <v>2.1531113278236838E-11</v>
      </c>
      <c r="AD20" s="2">
        <f t="shared" si="6"/>
        <v>1.52587890625E-5</v>
      </c>
      <c r="AF20" s="2">
        <v>16</v>
      </c>
      <c r="AG20" s="2">
        <f t="shared" si="13"/>
        <v>1903.076171875</v>
      </c>
      <c r="AH20" s="2">
        <v>-3.8976196130988683E-2</v>
      </c>
      <c r="AI20" s="2">
        <f t="shared" si="14"/>
        <v>1903.3782958984375</v>
      </c>
      <c r="AJ20" s="2">
        <v>7.0877583615583717E-2</v>
      </c>
      <c r="AK20" s="2">
        <f t="shared" si="9"/>
        <v>1903.2272338867188</v>
      </c>
      <c r="AL20" s="2">
        <v>1.59524882894857E-2</v>
      </c>
      <c r="AM20" s="2">
        <f t="shared" si="10"/>
        <v>-6.2176731234829486E-4</v>
      </c>
      <c r="AN20" s="2">
        <f t="shared" si="11"/>
        <v>1.1306738226146429E-3</v>
      </c>
      <c r="AO20" s="2">
        <f t="shared" si="12"/>
        <v>0.3021240234375</v>
      </c>
    </row>
    <row r="21" spans="2:41" x14ac:dyDescent="0.2">
      <c r="B21" s="6" t="s">
        <v>96</v>
      </c>
      <c r="C21" s="17">
        <v>8</v>
      </c>
      <c r="J21" s="14" t="s">
        <v>63</v>
      </c>
      <c r="K21" s="6">
        <f xml:space="preserve"> $C$79 * C41 * $C$5</f>
        <v>49.482767389258335</v>
      </c>
      <c r="L21" s="6" t="s">
        <v>7</v>
      </c>
      <c r="N21" s="6" t="s">
        <v>28</v>
      </c>
      <c r="O21" s="6">
        <f>$C$6*2*PI()/60</f>
        <v>19.724155152209494</v>
      </c>
      <c r="P21" s="6" t="s">
        <v>29</v>
      </c>
      <c r="U21" s="2">
        <v>17</v>
      </c>
      <c r="V21" s="2">
        <f t="shared" si="7"/>
        <v>0.9797515869140625</v>
      </c>
      <c r="W21" s="2">
        <f t="shared" si="0"/>
        <v>5.6967754549219762E-6</v>
      </c>
      <c r="X21" s="2">
        <f t="shared" si="8"/>
        <v>0.97975921630859375</v>
      </c>
      <c r="Y21" s="2">
        <f t="shared" si="1"/>
        <v>-2.1526606831523409E-6</v>
      </c>
      <c r="Z21" s="2">
        <f t="shared" si="3"/>
        <v>0.97975540161132812</v>
      </c>
      <c r="AA21" s="2">
        <f t="shared" si="2"/>
        <v>1.772056962057178E-6</v>
      </c>
      <c r="AB21" s="2">
        <f t="shared" si="4"/>
        <v>1.0095010606170935E-11</v>
      </c>
      <c r="AC21" s="2">
        <f t="shared" si="5"/>
        <v>-3.8146373505268665E-12</v>
      </c>
      <c r="AD21" s="2">
        <f t="shared" si="6"/>
        <v>7.62939453125E-6</v>
      </c>
      <c r="AF21" s="2">
        <v>17</v>
      </c>
      <c r="AG21" s="2">
        <f t="shared" si="13"/>
        <v>1903.076171875</v>
      </c>
      <c r="AH21" s="2">
        <v>-3.8976196130988683E-2</v>
      </c>
      <c r="AI21" s="2">
        <f t="shared" si="14"/>
        <v>1903.2272338867188</v>
      </c>
      <c r="AJ21" s="2">
        <v>1.59524882894857E-2</v>
      </c>
      <c r="AK21" s="2">
        <f t="shared" si="9"/>
        <v>1903.1517028808594</v>
      </c>
      <c r="AL21" s="2">
        <v>-1.1511405286455556E-2</v>
      </c>
      <c r="AM21" s="2">
        <f t="shared" si="10"/>
        <v>4.4867079018819171E-4</v>
      </c>
      <c r="AN21" s="2">
        <f t="shared" si="11"/>
        <v>-1.8363555802770605E-4</v>
      </c>
      <c r="AO21" s="2">
        <f t="shared" si="12"/>
        <v>0.15106201171875</v>
      </c>
    </row>
    <row r="22" spans="2:41" x14ac:dyDescent="0.2">
      <c r="B22" s="6" t="s">
        <v>113</v>
      </c>
      <c r="C22" s="17">
        <v>2</v>
      </c>
      <c r="F22" s="31" t="s">
        <v>83</v>
      </c>
      <c r="G22" s="31"/>
      <c r="H22" s="31"/>
      <c r="J22" s="14" t="s">
        <v>155</v>
      </c>
      <c r="K22" s="6">
        <f xml:space="preserve"> $C$79 * (0.04674 * ($C$5*2.20462)^0.397 * ($C$12*3.28084^2)^0.36 * $C$46^0.397 * $C$13^1.712 * 0.453592)</f>
        <v>172.04806570476637</v>
      </c>
      <c r="L22" s="6" t="s">
        <v>7</v>
      </c>
      <c r="N22" s="6" t="s">
        <v>30</v>
      </c>
      <c r="O22" s="6">
        <f xml:space="preserve"> $C$7 * COS(O19/180*PI()) / (O21 * $C$10)</f>
        <v>8.3227602860380834E-2</v>
      </c>
      <c r="U22" s="2">
        <v>18</v>
      </c>
      <c r="V22" s="2">
        <f t="shared" si="7"/>
        <v>0.97975540161132812</v>
      </c>
      <c r="W22" s="2">
        <f t="shared" si="0"/>
        <v>1.772056962057178E-6</v>
      </c>
      <c r="X22" s="2">
        <f t="shared" si="8"/>
        <v>0.97975921630859375</v>
      </c>
      <c r="Y22" s="2">
        <f t="shared" si="1"/>
        <v>-2.1526606831523409E-6</v>
      </c>
      <c r="Z22" s="2">
        <f t="shared" si="3"/>
        <v>0.97975730895996094</v>
      </c>
      <c r="AA22" s="2">
        <f t="shared" si="2"/>
        <v>-1.9030196640734687E-7</v>
      </c>
      <c r="AB22" s="2">
        <f t="shared" si="4"/>
        <v>-3.3722592446531022E-13</v>
      </c>
      <c r="AC22" s="2">
        <f t="shared" si="5"/>
        <v>4.0965556101167313E-13</v>
      </c>
      <c r="AD22" s="2">
        <f t="shared" si="6"/>
        <v>3.814697265625E-6</v>
      </c>
      <c r="AF22" s="2">
        <v>18</v>
      </c>
      <c r="AG22" s="2">
        <f t="shared" si="13"/>
        <v>1903.1517028808594</v>
      </c>
      <c r="AH22" s="2">
        <v>-1.1511405286455556E-2</v>
      </c>
      <c r="AI22" s="2">
        <f t="shared" si="14"/>
        <v>1903.2272338867188</v>
      </c>
      <c r="AJ22" s="2">
        <v>1.59524882894857E-2</v>
      </c>
      <c r="AK22" s="2">
        <f t="shared" si="9"/>
        <v>1903.1894683837891</v>
      </c>
      <c r="AL22" s="2">
        <v>2.2206536607427552E-3</v>
      </c>
      <c r="AM22" s="2">
        <f t="shared" si="10"/>
        <v>-2.5562844289661035E-5</v>
      </c>
      <c r="AN22" s="2">
        <f t="shared" si="11"/>
        <v>3.5424951518002355E-5</v>
      </c>
      <c r="AO22" s="2">
        <f t="shared" si="12"/>
        <v>7.5531005859375E-2</v>
      </c>
    </row>
    <row r="23" spans="2:41" x14ac:dyDescent="0.2">
      <c r="B23" s="6" t="s">
        <v>127</v>
      </c>
      <c r="C23" s="6">
        <f>$C$22*$C$9/PI()</f>
        <v>0.31022513338460861</v>
      </c>
      <c r="F23" s="6" t="s">
        <v>87</v>
      </c>
      <c r="G23" s="17">
        <f>300*0.3048/60</f>
        <v>1.524</v>
      </c>
      <c r="H23" s="6" t="s">
        <v>10</v>
      </c>
      <c r="J23" s="14" t="s">
        <v>64</v>
      </c>
      <c r="K23" s="6">
        <f xml:space="preserve"> $C$79 * (3.184 * ($C$5*2.20462)^0.887 * ($C$50*3.28084*3.28084)^0.101 * ($C$49)^0.138 ) / ( 174.04 * ($C$51*3.28084)^0.223 ) * 0.453592</f>
        <v>21.827936433645796</v>
      </c>
      <c r="L23" s="6" t="s">
        <v>7</v>
      </c>
      <c r="N23" s="6" t="s">
        <v>31</v>
      </c>
      <c r="O23" s="6">
        <f xml:space="preserve"> O20 / ( $C$71 * PI() * $C$10^2 * O21^2 * $C$10^2)</f>
        <v>5.5971122660085373E-2</v>
      </c>
      <c r="U23" s="2">
        <v>19</v>
      </c>
      <c r="V23" s="2">
        <f t="shared" si="7"/>
        <v>0.97975540161132812</v>
      </c>
      <c r="W23" s="2">
        <f t="shared" si="0"/>
        <v>1.772056962057178E-6</v>
      </c>
      <c r="X23" s="2">
        <f t="shared" si="8"/>
        <v>0.97975730895996094</v>
      </c>
      <c r="Y23" s="2">
        <f t="shared" si="1"/>
        <v>-1.9030196640734687E-7</v>
      </c>
      <c r="Z23" s="2">
        <f t="shared" si="3"/>
        <v>0.97975635528564453</v>
      </c>
      <c r="AA23" s="2">
        <f t="shared" si="2"/>
        <v>7.9087747129058528E-7</v>
      </c>
      <c r="AB23" s="2">
        <f t="shared" si="4"/>
        <v>1.4014799291346576E-12</v>
      </c>
      <c r="AC23" s="2">
        <f t="shared" si="5"/>
        <v>-1.505055379738684E-13</v>
      </c>
      <c r="AD23" s="2">
        <f t="shared" si="6"/>
        <v>1.9073486328125E-6</v>
      </c>
      <c r="AF23" s="2">
        <v>19</v>
      </c>
      <c r="AG23" s="2">
        <f t="shared" si="13"/>
        <v>1903.1517028808594</v>
      </c>
      <c r="AH23" s="2">
        <v>-1.1511405286455556E-2</v>
      </c>
      <c r="AI23" s="2">
        <f t="shared" si="14"/>
        <v>1903.1894683837891</v>
      </c>
      <c r="AJ23" s="2">
        <v>2.2206536607427552E-3</v>
      </c>
      <c r="AK23" s="2">
        <f t="shared" si="9"/>
        <v>1903.1705856323242</v>
      </c>
      <c r="AL23" s="2">
        <v>-4.6453477727936843E-3</v>
      </c>
      <c r="AM23" s="2">
        <f t="shared" si="10"/>
        <v>5.347448090916176E-5</v>
      </c>
      <c r="AN23" s="2">
        <f t="shared" si="11"/>
        <v>-1.03157085370775E-5</v>
      </c>
      <c r="AO23" s="2">
        <f t="shared" si="12"/>
        <v>3.77655029296875E-2</v>
      </c>
    </row>
    <row r="24" spans="2:41" x14ac:dyDescent="0.2">
      <c r="B24" s="6" t="s">
        <v>156</v>
      </c>
      <c r="C24" s="17">
        <v>0.75</v>
      </c>
      <c r="F24" s="6" t="s">
        <v>93</v>
      </c>
      <c r="G24" s="17">
        <f>1000*0.3048</f>
        <v>304.8</v>
      </c>
      <c r="H24" s="6" t="s">
        <v>8</v>
      </c>
      <c r="J24" s="14" t="s">
        <v>65</v>
      </c>
      <c r="K24" s="6">
        <f xml:space="preserve"> $C$79 * ( 1.68 * ($C$5*2.20462)^0.567 * ($C$55*3.28084*3.28084)^1.249 * ($C$54)^0.482 ) / (639.95 * ($C$56*3.28084)^0.747 * (COS($C$57/180*PI()))^0.882 ) * 0.453592</f>
        <v>7.9803302616946121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0.97975635528564453</v>
      </c>
      <c r="W24" s="2">
        <f t="shared" si="0"/>
        <v>7.9087747129058528E-7</v>
      </c>
      <c r="X24" s="2">
        <f t="shared" si="8"/>
        <v>0.97975730895996094</v>
      </c>
      <c r="Y24" s="2">
        <f t="shared" si="1"/>
        <v>-1.9030196640734687E-7</v>
      </c>
      <c r="Z24" s="2">
        <f t="shared" si="3"/>
        <v>0.97975683212280273</v>
      </c>
      <c r="AA24" s="2">
        <f t="shared" si="2"/>
        <v>3.0028774578028106E-7</v>
      </c>
      <c r="AB24" s="2">
        <f t="shared" si="4"/>
        <v>2.3749081304225879E-13</v>
      </c>
      <c r="AC24" s="2">
        <f t="shared" si="5"/>
        <v>-5.7145348510016958E-14</v>
      </c>
      <c r="AD24" s="2">
        <f t="shared" si="6"/>
        <v>9.5367431640625E-7</v>
      </c>
      <c r="AF24" s="2">
        <v>20</v>
      </c>
      <c r="AG24" s="2">
        <f t="shared" si="13"/>
        <v>1903.1705856323242</v>
      </c>
      <c r="AH24" s="2">
        <v>-4.6453477727936843E-3</v>
      </c>
      <c r="AI24" s="2">
        <f t="shared" si="14"/>
        <v>1903.1894683837891</v>
      </c>
      <c r="AJ24" s="2">
        <v>2.2206536607427552E-3</v>
      </c>
      <c r="AK24" s="2">
        <f t="shared" si="9"/>
        <v>1903.1800270080566</v>
      </c>
      <c r="AL24" s="2">
        <v>-1.212340046549798E-3</v>
      </c>
      <c r="AM24" s="2">
        <f t="shared" si="10"/>
        <v>5.631741135108696E-6</v>
      </c>
      <c r="AN24" s="2">
        <f t="shared" si="11"/>
        <v>-2.6921873624358513E-6</v>
      </c>
      <c r="AO24" s="2">
        <f t="shared" si="12"/>
        <v>1.888275146484375E-2</v>
      </c>
    </row>
    <row r="25" spans="2:41" x14ac:dyDescent="0.2">
      <c r="B25" s="6" t="s">
        <v>192</v>
      </c>
      <c r="C25" s="17">
        <v>50</v>
      </c>
      <c r="D25" s="6" t="s">
        <v>60</v>
      </c>
      <c r="F25" s="6" t="s">
        <v>92</v>
      </c>
      <c r="G25" s="6">
        <f xml:space="preserve"> $G$24/$G$23</f>
        <v>200</v>
      </c>
      <c r="H25" s="6" t="s">
        <v>14</v>
      </c>
      <c r="J25" s="14" t="s">
        <v>116</v>
      </c>
      <c r="K25" s="6">
        <f>$C$79*(0.14*$G$10*1000/745.7)*0.453592</f>
        <v>18.086708011766721</v>
      </c>
      <c r="L25" s="6" t="s">
        <v>7</v>
      </c>
      <c r="N25" s="6" t="s">
        <v>32</v>
      </c>
      <c r="O25" s="6">
        <f xml:space="preserve"> ($C$30 * $O$24 / 8) * (1 + 4.65 * O22^2) * ( PI() * $C$71 * O21^3 * $C$10^5)</f>
        <v>969.20308218968955</v>
      </c>
      <c r="P25" s="6" t="s">
        <v>19</v>
      </c>
      <c r="U25" s="2">
        <v>21</v>
      </c>
      <c r="V25" s="2">
        <f t="shared" si="7"/>
        <v>0.97975683212280273</v>
      </c>
      <c r="W25" s="2">
        <f t="shared" si="0"/>
        <v>3.0028774578028106E-7</v>
      </c>
      <c r="X25" s="2">
        <f t="shared" si="8"/>
        <v>0.97975730895996094</v>
      </c>
      <c r="Y25" s="2">
        <f t="shared" si="1"/>
        <v>-1.9030196640734687E-7</v>
      </c>
      <c r="Z25" s="2">
        <f t="shared" si="3"/>
        <v>0.97975707054138184</v>
      </c>
      <c r="AA25" s="2">
        <f t="shared" si="2"/>
        <v>5.4992888021132558E-8</v>
      </c>
      <c r="AB25" s="2">
        <f t="shared" si="4"/>
        <v>1.6513690377813317E-14</v>
      </c>
      <c r="AC25" s="2">
        <f t="shared" si="5"/>
        <v>-1.0465254728840555E-14</v>
      </c>
      <c r="AD25" s="2">
        <f t="shared" si="6"/>
        <v>4.76837158203125E-7</v>
      </c>
      <c r="AF25" s="2">
        <v>21</v>
      </c>
      <c r="AG25" s="2">
        <f t="shared" si="13"/>
        <v>1903.1800270080566</v>
      </c>
      <c r="AH25" s="2">
        <v>-1.212340046549798E-3</v>
      </c>
      <c r="AI25" s="2">
        <f t="shared" si="14"/>
        <v>1903.1894683837891</v>
      </c>
      <c r="AJ25" s="2">
        <v>2.2206536607427552E-3</v>
      </c>
      <c r="AK25" s="2">
        <f t="shared" si="9"/>
        <v>1903.1847476959229</v>
      </c>
      <c r="AL25" s="2">
        <v>5.0415855980645574E-4</v>
      </c>
      <c r="AM25" s="2">
        <f t="shared" si="10"/>
        <v>-6.1121161186423761E-7</v>
      </c>
      <c r="AN25" s="2">
        <f t="shared" si="11"/>
        <v>1.1195615514290012E-6</v>
      </c>
      <c r="AO25" s="2">
        <f t="shared" si="12"/>
        <v>9.441375732421875E-3</v>
      </c>
    </row>
    <row r="26" spans="2:41" x14ac:dyDescent="0.2">
      <c r="F26" s="6" t="s">
        <v>20</v>
      </c>
      <c r="G26" s="6">
        <f xml:space="preserve"> $C$5 * $C$68 / $C$21</f>
        <v>2331.7543689492309</v>
      </c>
      <c r="H26" s="6" t="s">
        <v>21</v>
      </c>
      <c r="J26" s="15" t="s">
        <v>66</v>
      </c>
      <c r="K26" s="6">
        <f xml:space="preserve"> $C$80 * (0.0268 * $C$5)</f>
        <v>40.804251262526876</v>
      </c>
      <c r="L26" s="6" t="s">
        <v>7</v>
      </c>
      <c r="N26" s="6" t="s">
        <v>33</v>
      </c>
      <c r="O26" s="18">
        <f>Z34</f>
        <v>0.97975712409242988</v>
      </c>
      <c r="U26" s="2">
        <v>22</v>
      </c>
      <c r="V26" s="2">
        <f t="shared" si="7"/>
        <v>0.97975707054138184</v>
      </c>
      <c r="W26" s="2">
        <f t="shared" si="0"/>
        <v>5.4992888021132558E-8</v>
      </c>
      <c r="X26" s="2">
        <f t="shared" si="8"/>
        <v>0.97975730895996094</v>
      </c>
      <c r="Y26" s="2">
        <f t="shared" si="1"/>
        <v>-1.9030196640734687E-7</v>
      </c>
      <c r="Z26" s="2">
        <f t="shared" si="3"/>
        <v>0.97975718975067139</v>
      </c>
      <c r="AA26" s="2">
        <f t="shared" si="2"/>
        <v>-6.7654539637196365E-8</v>
      </c>
      <c r="AB26" s="2">
        <f t="shared" si="4"/>
        <v>-3.7205185223896137E-15</v>
      </c>
      <c r="AC26" s="2">
        <f t="shared" si="5"/>
        <v>1.287479192934226E-14</v>
      </c>
      <c r="AD26" s="2">
        <f t="shared" si="6"/>
        <v>2.384185791015625E-7</v>
      </c>
      <c r="AF26" s="2">
        <v>22</v>
      </c>
      <c r="AG26" s="2">
        <f t="shared" si="13"/>
        <v>1903.1800270080566</v>
      </c>
      <c r="AH26" s="2">
        <v>-1.212340046549798E-3</v>
      </c>
      <c r="AI26" s="2">
        <f t="shared" si="14"/>
        <v>1903.1847476959229</v>
      </c>
      <c r="AJ26" s="2">
        <v>5.0415855980645574E-4</v>
      </c>
      <c r="AK26" s="2">
        <f t="shared" si="9"/>
        <v>1903.1823873519897</v>
      </c>
      <c r="AL26" s="2">
        <v>-3.5388348260312341E-4</v>
      </c>
      <c r="AM26" s="2">
        <f t="shared" si="10"/>
        <v>4.2902711777227524E-7</v>
      </c>
      <c r="AN26" s="2">
        <f t="shared" si="11"/>
        <v>-1.7841338692848363E-7</v>
      </c>
      <c r="AO26" s="2">
        <f t="shared" si="12"/>
        <v>4.7206878662109375E-3</v>
      </c>
    </row>
    <row r="27" spans="2:41" x14ac:dyDescent="0.2">
      <c r="B27" s="31" t="s">
        <v>157</v>
      </c>
      <c r="C27" s="31"/>
      <c r="D27" s="31"/>
      <c r="F27" t="s">
        <v>99</v>
      </c>
      <c r="G27" s="6">
        <f>G29/$C$21</f>
        <v>28.969366614757543</v>
      </c>
      <c r="H27" t="s">
        <v>103</v>
      </c>
      <c r="J27" s="15" t="s">
        <v>67</v>
      </c>
      <c r="K27" s="6">
        <f xml:space="preserve"> $C$80 * (11.5 * ($C$5*2.20462/1000)^0.4 * 0.453592)</f>
        <v>7.4059191009254839</v>
      </c>
      <c r="L27" s="6" t="s">
        <v>7</v>
      </c>
      <c r="N27" s="6" t="s">
        <v>34</v>
      </c>
      <c r="O27" s="6">
        <f xml:space="preserve"> O21 * $C$10 * O26 - $C$7 * SIN(O19/180*PI())</f>
        <v>1.1788864602342315</v>
      </c>
      <c r="P27" s="6" t="s">
        <v>10</v>
      </c>
      <c r="U27" s="2">
        <v>23</v>
      </c>
      <c r="V27" s="2">
        <f t="shared" si="7"/>
        <v>0.97975707054138184</v>
      </c>
      <c r="W27" s="2">
        <f t="shared" si="0"/>
        <v>5.4992888021132558E-8</v>
      </c>
      <c r="X27" s="2">
        <f t="shared" si="8"/>
        <v>0.97975718975067139</v>
      </c>
      <c r="Y27" s="2">
        <f t="shared" si="1"/>
        <v>-6.7654539637196365E-8</v>
      </c>
      <c r="Z27" s="2">
        <f t="shared" si="3"/>
        <v>0.97975713014602661</v>
      </c>
      <c r="AA27" s="2">
        <f t="shared" si="2"/>
        <v>-6.3308258635430548E-9</v>
      </c>
      <c r="AB27" s="2">
        <f t="shared" si="4"/>
        <v>-3.4815039779511304E-16</v>
      </c>
      <c r="AC27" s="2">
        <f t="shared" si="5"/>
        <v>4.2830910932126153E-16</v>
      </c>
      <c r="AD27" s="2">
        <f t="shared" si="6"/>
        <v>1.1920928955078125E-7</v>
      </c>
      <c r="AF27" s="2">
        <v>23</v>
      </c>
      <c r="AG27" s="2">
        <f t="shared" si="13"/>
        <v>1903.1823873519897</v>
      </c>
      <c r="AH27" s="2">
        <v>-3.5388348260312341E-4</v>
      </c>
      <c r="AI27" s="2">
        <f t="shared" si="14"/>
        <v>1903.1847476959229</v>
      </c>
      <c r="AJ27" s="2">
        <v>5.0415855980645574E-4</v>
      </c>
      <c r="AK27" s="2">
        <f t="shared" si="9"/>
        <v>1903.1835675239563</v>
      </c>
      <c r="AL27" s="2">
        <v>7.4930825576302595E-5</v>
      </c>
      <c r="AM27" s="2">
        <f t="shared" si="10"/>
        <v>-2.6516781509269154E-8</v>
      </c>
      <c r="AN27" s="2">
        <f t="shared" si="11"/>
        <v>3.7777017107657454E-8</v>
      </c>
      <c r="AO27" s="2">
        <f t="shared" si="12"/>
        <v>2.3603439331054688E-3</v>
      </c>
    </row>
    <row r="28" spans="2:41" x14ac:dyDescent="0.2">
      <c r="B28" s="6" t="s">
        <v>158</v>
      </c>
      <c r="C28" s="17">
        <v>1</v>
      </c>
      <c r="F28" t="s">
        <v>188</v>
      </c>
      <c r="G28" s="6">
        <f xml:space="preserve"> (G26/$C$68*1000) / (G27*1000)</f>
        <v>8.2120511402370582</v>
      </c>
      <c r="H28" s="6" t="s">
        <v>189</v>
      </c>
      <c r="J28" s="15" t="s">
        <v>68</v>
      </c>
      <c r="K28" s="6">
        <f xml:space="preserve"> $C$80 * (8 * ($C$5/1000))</f>
        <v>12.180373511202053</v>
      </c>
      <c r="L28" s="6" t="s">
        <v>7</v>
      </c>
      <c r="N28" s="6" t="s">
        <v>35</v>
      </c>
      <c r="O28" s="6">
        <f xml:space="preserve"> 1/$C$31 - O25 * SQRT( (2*$C$71*PI()*$C$10^2) / O20^3 )</f>
        <v>1.2290902755563808</v>
      </c>
      <c r="U28" s="2">
        <v>24</v>
      </c>
      <c r="V28" s="2">
        <f t="shared" si="7"/>
        <v>0.97975707054138184</v>
      </c>
      <c r="W28" s="2">
        <f t="shared" si="0"/>
        <v>5.4992888021132558E-8</v>
      </c>
      <c r="X28" s="2">
        <f t="shared" si="8"/>
        <v>0.97975713014602661</v>
      </c>
      <c r="Y28" s="2">
        <f t="shared" si="1"/>
        <v>-6.3308258635430548E-9</v>
      </c>
      <c r="Z28" s="2">
        <f t="shared" si="3"/>
        <v>0.97975710034370422</v>
      </c>
      <c r="AA28" s="2">
        <f t="shared" si="2"/>
        <v>2.4331031078794751E-8</v>
      </c>
      <c r="AB28" s="2">
        <f t="shared" si="4"/>
        <v>1.3380336675548559E-15</v>
      </c>
      <c r="AC28" s="2">
        <f t="shared" si="5"/>
        <v>-1.5403552084030369E-16</v>
      </c>
      <c r="AD28" s="2">
        <f t="shared" si="6"/>
        <v>5.9604644775390625E-8</v>
      </c>
      <c r="AF28" s="2">
        <v>24</v>
      </c>
      <c r="AG28" s="2">
        <f t="shared" si="13"/>
        <v>1903.1823873519897</v>
      </c>
      <c r="AH28" s="2">
        <v>-3.5388348260312341E-4</v>
      </c>
      <c r="AI28" s="2">
        <f t="shared" si="14"/>
        <v>1903.1835675239563</v>
      </c>
      <c r="AJ28" s="2">
        <v>7.4930825576302595E-5</v>
      </c>
      <c r="AK28" s="2">
        <f t="shared" si="9"/>
        <v>1903.182977437973</v>
      </c>
      <c r="AL28" s="2">
        <v>-1.3947630122856935E-4</v>
      </c>
      <c r="AM28" s="2">
        <f t="shared" si="10"/>
        <v>4.935835921936842E-8</v>
      </c>
      <c r="AN28" s="2">
        <f t="shared" si="11"/>
        <v>-1.045107439938577E-8</v>
      </c>
      <c r="AO28" s="2">
        <f t="shared" si="12"/>
        <v>1.1801719665527344E-3</v>
      </c>
    </row>
    <row r="29" spans="2:41" x14ac:dyDescent="0.2">
      <c r="B29" s="6" t="s">
        <v>159</v>
      </c>
      <c r="C29" s="17">
        <v>6</v>
      </c>
      <c r="F29" s="25" t="s">
        <v>85</v>
      </c>
      <c r="G29" s="25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231.75493291806035</v>
      </c>
      <c r="H29" s="25" t="s">
        <v>103</v>
      </c>
      <c r="J29" s="15" t="s">
        <v>69</v>
      </c>
      <c r="K29" s="6">
        <f xml:space="preserve"> $C$80 * (13 * ($C$5*2.20462/1000)^1.3 * 0.453592)</f>
        <v>30.433886263140408</v>
      </c>
      <c r="L29" s="6" t="s">
        <v>7</v>
      </c>
      <c r="N29" s="6" t="s">
        <v>36</v>
      </c>
      <c r="O29" s="17">
        <v>1.1499999999999999</v>
      </c>
      <c r="U29" s="2">
        <v>25</v>
      </c>
      <c r="V29" s="2">
        <f t="shared" si="7"/>
        <v>0.97975710034370422</v>
      </c>
      <c r="W29" s="2">
        <f t="shared" si="0"/>
        <v>2.4331031078794751E-8</v>
      </c>
      <c r="X29" s="2">
        <f t="shared" si="8"/>
        <v>0.97975713014602661</v>
      </c>
      <c r="Y29" s="2">
        <f t="shared" si="1"/>
        <v>-6.3308258635430548E-9</v>
      </c>
      <c r="Z29" s="2">
        <f t="shared" si="3"/>
        <v>0.97975711524486542</v>
      </c>
      <c r="AA29" s="2">
        <f t="shared" si="2"/>
        <v>9.0001025521146971E-9</v>
      </c>
      <c r="AB29" s="2">
        <f t="shared" si="4"/>
        <v>2.1898177490784264E-16</v>
      </c>
      <c r="AC29" s="2">
        <f t="shared" si="5"/>
        <v>-5.6978082011467578E-17</v>
      </c>
      <c r="AD29" s="2">
        <f t="shared" si="6"/>
        <v>2.9802322387695312E-8</v>
      </c>
      <c r="AF29" s="2">
        <v>25</v>
      </c>
      <c r="AG29" s="2">
        <f t="shared" si="13"/>
        <v>1903.182977437973</v>
      </c>
      <c r="AH29" s="2">
        <v>-1.3947630122856935E-4</v>
      </c>
      <c r="AI29" s="2">
        <f t="shared" si="14"/>
        <v>1903.1835675239563</v>
      </c>
      <c r="AJ29" s="2">
        <v>7.4930825576302595E-5</v>
      </c>
      <c r="AK29" s="2">
        <f t="shared" si="9"/>
        <v>1903.1832724809647</v>
      </c>
      <c r="AL29" s="2">
        <v>-3.2065908726508496E-5</v>
      </c>
      <c r="AM29" s="2">
        <f t="shared" si="10"/>
        <v>4.4724343447063094E-9</v>
      </c>
      <c r="AN29" s="2">
        <f t="shared" si="11"/>
        <v>-2.4027250137316474E-9</v>
      </c>
      <c r="AO29" s="2">
        <f t="shared" si="12"/>
        <v>5.9008598327636719E-4</v>
      </c>
    </row>
    <row r="30" spans="2:41" x14ac:dyDescent="0.2">
      <c r="B30" s="6" t="s">
        <v>160</v>
      </c>
      <c r="C30" s="6">
        <f>$C$29*$C$11/PI()</f>
        <v>0.84998288907657626</v>
      </c>
      <c r="J30" s="10" t="s">
        <v>56</v>
      </c>
      <c r="K30" s="10">
        <f>$C$5 - $C$16 - SUM(K15:K29)</f>
        <v>-8.3741724665742368E-10</v>
      </c>
      <c r="L30" s="10" t="s">
        <v>7</v>
      </c>
      <c r="N30" s="6" t="s">
        <v>37</v>
      </c>
      <c r="O30" s="6">
        <f xml:space="preserve"> 1/$C$77 * LN( EXP($C$77 * O28) + EXP($C$77 * O29) )</f>
        <v>1.2320614320355534</v>
      </c>
      <c r="U30" s="2">
        <v>26</v>
      </c>
      <c r="V30" s="2">
        <f>IF(AB29&gt;0, Z29, V29)</f>
        <v>0.97975711524486542</v>
      </c>
      <c r="W30" s="2">
        <f t="shared" si="0"/>
        <v>9.0001025521146971E-9</v>
      </c>
      <c r="X30" s="2">
        <f t="shared" si="8"/>
        <v>0.97975713014602661</v>
      </c>
      <c r="Y30" s="2">
        <f t="shared" si="1"/>
        <v>-6.3308258635430548E-9</v>
      </c>
      <c r="Z30" s="2">
        <f t="shared" si="3"/>
        <v>0.97975712269544601</v>
      </c>
      <c r="AA30" s="2">
        <f t="shared" si="2"/>
        <v>1.3346382887746699E-9</v>
      </c>
      <c r="AB30" s="2">
        <f t="shared" si="4"/>
        <v>1.2011881468950899E-17</v>
      </c>
      <c r="AC30" s="2">
        <f t="shared" si="5"/>
        <v>-8.4493625970495248E-18</v>
      </c>
      <c r="AD30" s="2">
        <f t="shared" si="6"/>
        <v>1.4901161193847656E-8</v>
      </c>
      <c r="AF30" s="2">
        <v>26</v>
      </c>
      <c r="AG30" s="2">
        <f t="shared" si="13"/>
        <v>1903.1832724809647</v>
      </c>
      <c r="AH30" s="2">
        <v>-3.2065908726508496E-5</v>
      </c>
      <c r="AI30" s="2">
        <f t="shared" si="14"/>
        <v>1903.1835675239563</v>
      </c>
      <c r="AJ30" s="2">
        <v>7.4930825576302595E-5</v>
      </c>
      <c r="AK30" s="2">
        <f t="shared" si="9"/>
        <v>1903.1834200024605</v>
      </c>
      <c r="AL30" s="2">
        <v>2.1432460016512778E-5</v>
      </c>
      <c r="AM30" s="2">
        <f t="shared" si="10"/>
        <v>-6.8725130667404151E-10</v>
      </c>
      <c r="AN30" s="2">
        <f t="shared" si="11"/>
        <v>1.6059519231683984E-9</v>
      </c>
      <c r="AO30" s="2">
        <f t="shared" si="12"/>
        <v>2.9504299163818359E-4</v>
      </c>
    </row>
    <row r="31" spans="2:41" x14ac:dyDescent="0.2">
      <c r="B31" s="6" t="s">
        <v>161</v>
      </c>
      <c r="C31" s="17">
        <v>0.75</v>
      </c>
      <c r="F31" s="34" t="s">
        <v>193</v>
      </c>
      <c r="G31" s="35"/>
      <c r="H31" s="35"/>
      <c r="J31" s="6" t="s">
        <v>57</v>
      </c>
      <c r="K31" s="4" t="str">
        <f>IF(ABS(K30)&lt;1, "TRUE", "FALSE")</f>
        <v>TRUE</v>
      </c>
      <c r="U31" s="2">
        <v>27</v>
      </c>
      <c r="V31" s="2">
        <f t="shared" si="7"/>
        <v>0.97975712269544601</v>
      </c>
      <c r="W31" s="2">
        <f t="shared" si="0"/>
        <v>1.3346382887746699E-9</v>
      </c>
      <c r="X31" s="2">
        <f t="shared" si="8"/>
        <v>0.97975713014602661</v>
      </c>
      <c r="Y31" s="2">
        <f t="shared" si="1"/>
        <v>-6.3308258635430548E-9</v>
      </c>
      <c r="Z31" s="2">
        <f t="shared" si="3"/>
        <v>0.97975712642073631</v>
      </c>
      <c r="AA31" s="2">
        <f t="shared" si="2"/>
        <v>-2.4980937318730412E-9</v>
      </c>
      <c r="AB31" s="2">
        <f t="shared" si="4"/>
        <v>-3.3340515435057648E-18</v>
      </c>
      <c r="AC31" s="2">
        <f t="shared" si="5"/>
        <v>1.5814996407296638E-17</v>
      </c>
      <c r="AD31" s="2">
        <f t="shared" si="6"/>
        <v>7.4505805969238281E-9</v>
      </c>
      <c r="AF31" s="2">
        <v>27</v>
      </c>
      <c r="AG31" s="2">
        <f t="shared" si="13"/>
        <v>1903.1832724809647</v>
      </c>
      <c r="AH31" s="2">
        <v>-3.2065908726508496E-5</v>
      </c>
      <c r="AI31" s="2">
        <f t="shared" si="14"/>
        <v>1903.1834200024605</v>
      </c>
      <c r="AJ31" s="2">
        <v>2.1432460016512778E-5</v>
      </c>
      <c r="AK31" s="2">
        <f t="shared" si="9"/>
        <v>1903.1833462417126</v>
      </c>
      <c r="AL31" s="2">
        <v>-5.5235459512914531E-6</v>
      </c>
      <c r="AM31" s="2">
        <f t="shared" si="10"/>
        <v>1.7711752032078728E-10</v>
      </c>
      <c r="AN31" s="2">
        <f t="shared" si="11"/>
        <v>-1.183831777504251E-10</v>
      </c>
      <c r="AO31" s="2">
        <f t="shared" si="12"/>
        <v>1.475214958190918E-4</v>
      </c>
    </row>
    <row r="32" spans="2:41" x14ac:dyDescent="0.2">
      <c r="B32" s="6" t="s">
        <v>192</v>
      </c>
      <c r="C32" s="17">
        <v>50</v>
      </c>
      <c r="D32" s="6" t="s">
        <v>60</v>
      </c>
      <c r="F32" s="9" t="s">
        <v>194</v>
      </c>
      <c r="G32" s="17">
        <f>20*60</f>
        <v>1200</v>
      </c>
      <c r="H32" s="6" t="s">
        <v>14</v>
      </c>
      <c r="U32" s="2">
        <v>28</v>
      </c>
      <c r="V32" s="2">
        <f t="shared" si="7"/>
        <v>0.97975712269544601</v>
      </c>
      <c r="W32" s="2">
        <f t="shared" si="0"/>
        <v>1.3346382887746699E-9</v>
      </c>
      <c r="X32" s="2">
        <f t="shared" si="8"/>
        <v>0.97975712642073631</v>
      </c>
      <c r="Y32" s="2">
        <f t="shared" si="1"/>
        <v>-2.4980937318730412E-9</v>
      </c>
      <c r="Z32" s="2">
        <f t="shared" si="3"/>
        <v>0.97975712455809116</v>
      </c>
      <c r="AA32" s="2">
        <f t="shared" si="2"/>
        <v>-5.8172777706033685E-10</v>
      </c>
      <c r="AB32" s="2">
        <f t="shared" si="4"/>
        <v>-7.7639616490850067E-19</v>
      </c>
      <c r="AC32" s="2">
        <f t="shared" si="5"/>
        <v>1.4532105135308654E-18</v>
      </c>
      <c r="AD32" s="2">
        <f t="shared" si="6"/>
        <v>3.7252902984619141E-9</v>
      </c>
      <c r="AF32" s="2">
        <v>28</v>
      </c>
      <c r="AG32" s="2">
        <f t="shared" si="13"/>
        <v>1903.1833462417126</v>
      </c>
      <c r="AH32" s="2">
        <v>-5.5235459512914531E-6</v>
      </c>
      <c r="AI32" s="2">
        <f t="shared" si="14"/>
        <v>1903.1834200024605</v>
      </c>
      <c r="AJ32" s="2">
        <v>2.1432460016512778E-5</v>
      </c>
      <c r="AK32" s="2">
        <f t="shared" si="9"/>
        <v>1903.1833831220865</v>
      </c>
      <c r="AL32" s="2">
        <v>8.1612795383989578E-6</v>
      </c>
      <c r="AM32" s="2">
        <f t="shared" si="10"/>
        <v>-4.5079202551681343E-11</v>
      </c>
      <c r="AN32" s="2">
        <f t="shared" si="11"/>
        <v>1.7491629739031952E-10</v>
      </c>
      <c r="AO32" s="2">
        <f t="shared" si="12"/>
        <v>7.3760747909545898E-5</v>
      </c>
    </row>
    <row r="33" spans="2:41" x14ac:dyDescent="0.2">
      <c r="F33" s="26" t="s">
        <v>139</v>
      </c>
      <c r="G33" s="25">
        <f xml:space="preserve"> G20</f>
        <v>55.788936109197785</v>
      </c>
      <c r="H33" s="25" t="s">
        <v>103</v>
      </c>
      <c r="J33" s="28" t="s">
        <v>58</v>
      </c>
      <c r="K33" s="28"/>
      <c r="L33" s="28"/>
      <c r="U33" s="2">
        <v>29</v>
      </c>
      <c r="V33" s="2">
        <f t="shared" si="7"/>
        <v>0.97975712269544601</v>
      </c>
      <c r="W33" s="2">
        <f t="shared" si="0"/>
        <v>1.3346382887746699E-9</v>
      </c>
      <c r="X33" s="2">
        <f t="shared" si="8"/>
        <v>0.97975712455809116</v>
      </c>
      <c r="Y33" s="2">
        <f t="shared" si="1"/>
        <v>-5.8172777706033685E-10</v>
      </c>
      <c r="Z33" s="2">
        <f t="shared" si="3"/>
        <v>0.97975712362676859</v>
      </c>
      <c r="AA33" s="2">
        <f t="shared" si="2"/>
        <v>3.7645531136831778E-10</v>
      </c>
      <c r="AB33" s="2">
        <f t="shared" si="4"/>
        <v>5.0243167256474719E-19</v>
      </c>
      <c r="AC33" s="2">
        <f t="shared" si="5"/>
        <v>-2.1899451144484846E-19</v>
      </c>
      <c r="AD33" s="2">
        <f t="shared" si="6"/>
        <v>1.862645149230957E-9</v>
      </c>
      <c r="AF33" s="2">
        <v>29</v>
      </c>
      <c r="AG33" s="2">
        <f t="shared" si="13"/>
        <v>1903.1833462417126</v>
      </c>
      <c r="AH33" s="2">
        <v>-5.5235459512914531E-6</v>
      </c>
      <c r="AI33" s="2">
        <f t="shared" si="14"/>
        <v>1903.1833831220865</v>
      </c>
      <c r="AJ33" s="2">
        <v>8.1612795383989578E-6</v>
      </c>
      <c r="AK33" s="2">
        <f t="shared" si="9"/>
        <v>1903.1833646818995</v>
      </c>
      <c r="AL33" s="2">
        <v>1.3188664524932392E-6</v>
      </c>
      <c r="AM33" s="2">
        <f t="shared" si="10"/>
        <v>-7.2848194539631529E-12</v>
      </c>
      <c r="AN33" s="2">
        <f t="shared" si="11"/>
        <v>1.0763637792613894E-11</v>
      </c>
      <c r="AO33" s="2">
        <f t="shared" si="12"/>
        <v>3.6880373954772949E-5</v>
      </c>
    </row>
    <row r="34" spans="2:41" x14ac:dyDescent="0.2">
      <c r="B34" s="31" t="s">
        <v>106</v>
      </c>
      <c r="C34" s="31"/>
      <c r="D34" s="31"/>
      <c r="J34" s="6" t="s">
        <v>59</v>
      </c>
      <c r="K34" s="6">
        <f>ROUND($C$16/$C$5 * 100, 2)</f>
        <v>31.53</v>
      </c>
      <c r="L34" s="6" t="s">
        <v>60</v>
      </c>
      <c r="U34" s="2">
        <v>30</v>
      </c>
      <c r="V34" s="2">
        <f t="shared" si="7"/>
        <v>0.97975712362676859</v>
      </c>
      <c r="W34" s="2">
        <f t="shared" si="0"/>
        <v>3.7645531136831778E-10</v>
      </c>
      <c r="X34" s="2">
        <f t="shared" si="8"/>
        <v>0.97975712455809116</v>
      </c>
      <c r="Y34" s="2">
        <f t="shared" si="1"/>
        <v>-5.8172777706033685E-10</v>
      </c>
      <c r="Z34" s="2">
        <f t="shared" si="3"/>
        <v>0.97975712409242988</v>
      </c>
      <c r="AA34" s="2">
        <f t="shared" si="2"/>
        <v>-1.0263623284600953E-10</v>
      </c>
      <c r="AB34" s="2">
        <f t="shared" si="4"/>
        <v>-3.8637954993715684E-20</v>
      </c>
      <c r="AC34" s="2">
        <f t="shared" si="5"/>
        <v>5.9706347579356256E-20</v>
      </c>
      <c r="AD34" s="2">
        <f t="shared" si="6"/>
        <v>9.3132257461547852E-10</v>
      </c>
      <c r="AF34" s="2">
        <v>30</v>
      </c>
      <c r="AG34" s="2">
        <f t="shared" si="13"/>
        <v>1903.1833462417126</v>
      </c>
      <c r="AH34" s="2">
        <v>-5.5235459512914531E-6</v>
      </c>
      <c r="AI34" s="2">
        <f t="shared" si="14"/>
        <v>1903.1833646818995</v>
      </c>
      <c r="AJ34" s="2">
        <v>1.3188664524932392E-6</v>
      </c>
      <c r="AK34" s="2">
        <f t="shared" si="9"/>
        <v>1903.1833554618061</v>
      </c>
      <c r="AL34" s="2">
        <v>-2.1023399767727824E-6</v>
      </c>
      <c r="AM34" s="2">
        <f t="shared" si="10"/>
        <v>1.161237146694147E-11</v>
      </c>
      <c r="AN34" s="2">
        <f t="shared" si="11"/>
        <v>-2.7727056671010384E-12</v>
      </c>
      <c r="AO34" s="2">
        <f t="shared" si="12"/>
        <v>1.8440186977386475E-5</v>
      </c>
    </row>
    <row r="35" spans="2:41" x14ac:dyDescent="0.2">
      <c r="B35" s="6" t="s">
        <v>107</v>
      </c>
      <c r="C35" s="17">
        <v>6</v>
      </c>
      <c r="J35" s="11" t="s">
        <v>54</v>
      </c>
      <c r="K35" s="6">
        <f>ROUND(K15/$C$5 * 100, 2)</f>
        <v>24.57</v>
      </c>
      <c r="L35" s="6" t="s">
        <v>60</v>
      </c>
      <c r="AF35" s="2">
        <v>31</v>
      </c>
      <c r="AG35" s="2">
        <f t="shared" si="13"/>
        <v>1903.1833554618061</v>
      </c>
      <c r="AH35" s="2">
        <v>-2.1023399767727824E-6</v>
      </c>
      <c r="AI35" s="2">
        <f t="shared" si="14"/>
        <v>1903.1833646818995</v>
      </c>
      <c r="AJ35" s="2">
        <v>1.3188664524932392E-6</v>
      </c>
      <c r="AK35" s="2">
        <f t="shared" si="9"/>
        <v>1903.1833600718528</v>
      </c>
      <c r="AL35" s="2">
        <v>-3.9173642107925843E-7</v>
      </c>
      <c r="AM35" s="2">
        <f t="shared" si="10"/>
        <v>8.2356313839282108E-13</v>
      </c>
      <c r="AN35" s="2">
        <f t="shared" si="11"/>
        <v>-5.1664802398119934E-13</v>
      </c>
      <c r="AO35" s="2">
        <f t="shared" si="12"/>
        <v>9.2200934886932373E-6</v>
      </c>
    </row>
    <row r="36" spans="2:41" x14ac:dyDescent="0.2">
      <c r="B36" s="6" t="s">
        <v>108</v>
      </c>
      <c r="C36" s="17">
        <v>9.1440000000000001</v>
      </c>
      <c r="D36" s="6" t="s">
        <v>8</v>
      </c>
      <c r="J36" s="19" t="s">
        <v>80</v>
      </c>
      <c r="K36" s="6">
        <f>ROUND(SUM(K16:K19)/$C$5 * 100, 2)</f>
        <v>13.91</v>
      </c>
      <c r="L36" s="6" t="s">
        <v>60</v>
      </c>
      <c r="AF36" s="2">
        <v>32</v>
      </c>
      <c r="AG36" s="2">
        <f t="shared" si="13"/>
        <v>1903.1833600718528</v>
      </c>
      <c r="AH36" s="2">
        <v>-3.9173642107925843E-7</v>
      </c>
      <c r="AI36" s="2">
        <f t="shared" si="14"/>
        <v>1903.1833646818995</v>
      </c>
      <c r="AJ36" s="2">
        <v>1.3188664524932392E-6</v>
      </c>
      <c r="AK36" s="2">
        <f t="shared" si="9"/>
        <v>1903.1833623768762</v>
      </c>
      <c r="AL36" s="2">
        <v>4.6356490202015266E-7</v>
      </c>
      <c r="AM36" s="2">
        <f t="shared" si="10"/>
        <v>-1.815952556553317E-13</v>
      </c>
      <c r="AN36" s="2">
        <f t="shared" si="11"/>
        <v>6.1138019782769475E-13</v>
      </c>
      <c r="AO36" s="2">
        <f t="shared" si="12"/>
        <v>4.6100467443466187E-6</v>
      </c>
    </row>
    <row r="37" spans="2:41" x14ac:dyDescent="0.2">
      <c r="B37" s="6" t="s">
        <v>109</v>
      </c>
      <c r="C37" s="17">
        <v>1.8675309360000001</v>
      </c>
      <c r="D37" s="6" t="s">
        <v>8</v>
      </c>
      <c r="J37" s="20" t="s">
        <v>71</v>
      </c>
      <c r="K37" s="6">
        <f>ROUND(SUM(K20:K25)/$C$5 * 100, 2)</f>
        <v>25.22</v>
      </c>
      <c r="L37" s="6" t="s">
        <v>60</v>
      </c>
      <c r="AF37" s="2">
        <v>33</v>
      </c>
      <c r="AG37" s="2">
        <f t="shared" si="13"/>
        <v>1903.1833600718528</v>
      </c>
      <c r="AH37" s="2">
        <v>-3.9173642107925843E-7</v>
      </c>
      <c r="AI37" s="2">
        <f t="shared" si="14"/>
        <v>1903.1833623768762</v>
      </c>
      <c r="AJ37" s="2">
        <v>4.6356490202015266E-7</v>
      </c>
      <c r="AK37" s="2">
        <f t="shared" si="9"/>
        <v>1903.1833612243645</v>
      </c>
      <c r="AL37" s="2">
        <v>3.5914354157284833E-8</v>
      </c>
      <c r="AM37" s="2">
        <f t="shared" si="10"/>
        <v>-1.4068960562947747E-14</v>
      </c>
      <c r="AN37" s="2">
        <f t="shared" si="11"/>
        <v>1.6648634066038806E-14</v>
      </c>
      <c r="AO37" s="2">
        <f t="shared" si="12"/>
        <v>2.3050233721733093E-6</v>
      </c>
    </row>
    <row r="38" spans="2:41" x14ac:dyDescent="0.2">
      <c r="J38" s="15" t="s">
        <v>72</v>
      </c>
      <c r="K38" s="6">
        <f>ROUND(SUM(K26:K29)/$C$5*100, 2)</f>
        <v>4.7699999999999996</v>
      </c>
      <c r="L38" s="6" t="s">
        <v>60</v>
      </c>
      <c r="AF38" s="2">
        <v>34</v>
      </c>
      <c r="AG38" s="2">
        <f t="shared" si="13"/>
        <v>1903.1833600718528</v>
      </c>
      <c r="AH38" s="2">
        <v>-3.9173642107925843E-7</v>
      </c>
      <c r="AI38" s="2">
        <f t="shared" si="14"/>
        <v>1903.1833612243645</v>
      </c>
      <c r="AJ38" s="2">
        <v>3.5914354157284833E-8</v>
      </c>
      <c r="AK38" s="2">
        <f t="shared" si="9"/>
        <v>1903.1833606481086</v>
      </c>
      <c r="AL38" s="2">
        <v>-1.7791126083466224E-7</v>
      </c>
      <c r="AM38" s="2">
        <f t="shared" si="10"/>
        <v>6.9694320589069028E-14</v>
      </c>
      <c r="AN38" s="2">
        <f t="shared" si="11"/>
        <v>-6.3895680301851383E-15</v>
      </c>
      <c r="AO38" s="2">
        <f t="shared" si="12"/>
        <v>1.1525116860866547E-6</v>
      </c>
    </row>
    <row r="39" spans="2:41" x14ac:dyDescent="0.2">
      <c r="B39" s="31" t="s">
        <v>110</v>
      </c>
      <c r="C39" s="31"/>
      <c r="D39" s="31"/>
      <c r="J39" s="10" t="s">
        <v>61</v>
      </c>
      <c r="K39" s="10">
        <f>SUM(K34:K38)</f>
        <v>100</v>
      </c>
      <c r="L39" s="10" t="s">
        <v>60</v>
      </c>
      <c r="AF39" s="2">
        <v>35</v>
      </c>
      <c r="AG39" s="2">
        <f t="shared" si="13"/>
        <v>1903.1833606481086</v>
      </c>
      <c r="AH39" s="2">
        <v>-1.7791126083466224E-7</v>
      </c>
      <c r="AI39" s="2">
        <f t="shared" si="14"/>
        <v>1903.1833612243645</v>
      </c>
      <c r="AJ39" s="2">
        <v>3.5914354157284833E-8</v>
      </c>
      <c r="AK39" s="2">
        <f t="shared" si="9"/>
        <v>1903.1833609362366</v>
      </c>
      <c r="AL39" s="2">
        <v>-7.099879439920187E-8</v>
      </c>
      <c r="AM39" s="2">
        <f t="shared" si="10"/>
        <v>1.2631485029302961E-14</v>
      </c>
      <c r="AN39" s="2">
        <f t="shared" si="11"/>
        <v>-2.5498758467931868E-15</v>
      </c>
      <c r="AO39" s="2">
        <f t="shared" si="12"/>
        <v>5.7625584304332733E-7</v>
      </c>
    </row>
    <row r="40" spans="2:41" x14ac:dyDescent="0.2">
      <c r="B40" s="6" t="s">
        <v>123</v>
      </c>
      <c r="C40" s="22" t="s">
        <v>124</v>
      </c>
      <c r="AF40" s="2">
        <v>36</v>
      </c>
      <c r="AG40" s="2">
        <f t="shared" si="13"/>
        <v>1903.1833609362366</v>
      </c>
      <c r="AH40" s="2">
        <v>-7.099879439920187E-8</v>
      </c>
      <c r="AI40" s="2">
        <f t="shared" si="14"/>
        <v>1903.1833612243645</v>
      </c>
      <c r="AJ40" s="2">
        <v>3.5914354157284833E-8</v>
      </c>
      <c r="AK40" s="2">
        <f t="shared" si="9"/>
        <v>1903.1833610803005</v>
      </c>
      <c r="AL40" s="2">
        <v>-1.754233380779624E-8</v>
      </c>
      <c r="AM40" s="2">
        <f t="shared" si="10"/>
        <v>1.2454845513018933E-15</v>
      </c>
      <c r="AN40" s="2">
        <f t="shared" si="11"/>
        <v>-6.3002158911850517E-16</v>
      </c>
      <c r="AO40" s="2">
        <f t="shared" si="12"/>
        <v>2.8812792152166367E-7</v>
      </c>
    </row>
    <row r="41" spans="2:41" x14ac:dyDescent="0.2">
      <c r="B41" s="6" t="s">
        <v>125</v>
      </c>
      <c r="C41" s="6">
        <f>IF(C40="wheeled",0.0325,0.014)</f>
        <v>3.2500000000000001E-2</v>
      </c>
      <c r="J41" s="31" t="s">
        <v>115</v>
      </c>
      <c r="K41" s="31"/>
      <c r="L41" s="31"/>
      <c r="AF41" s="2">
        <v>37</v>
      </c>
      <c r="AG41" s="2">
        <f t="shared" si="13"/>
        <v>1903.1833610803005</v>
      </c>
      <c r="AH41" s="2">
        <v>-1.754233380779624E-8</v>
      </c>
      <c r="AI41" s="2">
        <f t="shared" si="14"/>
        <v>1903.1833612243645</v>
      </c>
      <c r="AJ41" s="2">
        <v>3.5914354157284833E-8</v>
      </c>
      <c r="AK41" s="2">
        <f t="shared" si="9"/>
        <v>1903.1833611523325</v>
      </c>
      <c r="AL41" s="2">
        <v>9.1863512352574617E-9</v>
      </c>
      <c r="AM41" s="2">
        <f t="shared" si="10"/>
        <v>-1.6115003984454772E-16</v>
      </c>
      <c r="AN41" s="2">
        <f t="shared" si="11"/>
        <v>3.2992187167624748E-16</v>
      </c>
      <c r="AO41" s="2">
        <f t="shared" si="12"/>
        <v>1.4406396076083183E-7</v>
      </c>
    </row>
    <row r="42" spans="2:41" x14ac:dyDescent="0.2">
      <c r="B42" s="6" t="s">
        <v>111</v>
      </c>
      <c r="C42" s="17">
        <v>0.30480000000000002</v>
      </c>
      <c r="D42" s="6" t="s">
        <v>8</v>
      </c>
      <c r="J42" s="6" t="s">
        <v>59</v>
      </c>
      <c r="K42" s="6">
        <f>ROUND(C16,2)</f>
        <v>600</v>
      </c>
      <c r="L42" s="6" t="s">
        <v>7</v>
      </c>
      <c r="AF42" s="2">
        <v>38</v>
      </c>
      <c r="AG42" s="2">
        <f t="shared" si="13"/>
        <v>1903.1833610803005</v>
      </c>
      <c r="AH42" s="2">
        <v>-1.754233380779624E-8</v>
      </c>
      <c r="AI42" s="2">
        <f t="shared" si="14"/>
        <v>1903.1833611523325</v>
      </c>
      <c r="AJ42" s="2">
        <v>9.1863512352574617E-9</v>
      </c>
      <c r="AK42" s="2">
        <f t="shared" si="9"/>
        <v>1903.1833611163165</v>
      </c>
      <c r="AL42" s="2">
        <v>-4.1775365389185026E-9</v>
      </c>
      <c r="AM42" s="2">
        <f t="shared" si="10"/>
        <v>7.3283740459974141E-17</v>
      </c>
      <c r="AN42" s="2">
        <f t="shared" si="11"/>
        <v>-3.8376317944627168E-17</v>
      </c>
      <c r="AO42" s="2">
        <f t="shared" si="12"/>
        <v>7.2031980380415916E-8</v>
      </c>
    </row>
    <row r="43" spans="2:41" x14ac:dyDescent="0.2">
      <c r="B43" s="6" t="s">
        <v>112</v>
      </c>
      <c r="C43" s="17">
        <v>5.7</v>
      </c>
      <c r="J43" s="11" t="s">
        <v>54</v>
      </c>
      <c r="K43" s="6">
        <f>ROUND(K15, 2)</f>
        <v>467.65</v>
      </c>
      <c r="L43" s="6" t="s">
        <v>7</v>
      </c>
      <c r="AF43" s="2">
        <v>39</v>
      </c>
      <c r="AG43" s="2">
        <f t="shared" si="13"/>
        <v>1903.1833611163165</v>
      </c>
      <c r="AH43" s="2">
        <v>-4.1775365389185026E-9</v>
      </c>
      <c r="AI43" s="2">
        <f t="shared" si="14"/>
        <v>1903.1833611523325</v>
      </c>
      <c r="AJ43" s="2">
        <v>9.1863512352574617E-9</v>
      </c>
      <c r="AK43" s="2">
        <f t="shared" si="9"/>
        <v>1903.1833611343245</v>
      </c>
      <c r="AL43" s="2">
        <v>2.5038389139808714E-9</v>
      </c>
      <c r="AM43" s="2">
        <f t="shared" si="10"/>
        <v>-1.0459878550721112E-17</v>
      </c>
      <c r="AN43" s="2">
        <f t="shared" si="11"/>
        <v>2.300114370033388E-17</v>
      </c>
      <c r="AO43" s="2">
        <f t="shared" si="12"/>
        <v>3.6015990190207958E-8</v>
      </c>
    </row>
    <row r="44" spans="2:41" x14ac:dyDescent="0.2">
      <c r="J44" s="19" t="s">
        <v>80</v>
      </c>
      <c r="K44" s="6">
        <f>ROUND(SUM(K16:K19), 2)</f>
        <v>264.81</v>
      </c>
      <c r="L44" s="6" t="s">
        <v>7</v>
      </c>
      <c r="AF44" s="2">
        <v>40</v>
      </c>
      <c r="AG44" s="2">
        <f t="shared" si="13"/>
        <v>1903.1833611163165</v>
      </c>
      <c r="AH44" s="2">
        <v>-4.1775365389185026E-9</v>
      </c>
      <c r="AI44" s="2">
        <f t="shared" si="14"/>
        <v>1903.1833611343245</v>
      </c>
      <c r="AJ44" s="2">
        <v>2.5038389139808714E-9</v>
      </c>
      <c r="AK44" s="5">
        <f>(AG44+AI44)/2</f>
        <v>1903.1833611253205</v>
      </c>
      <c r="AL44" s="2">
        <v>-8.3741724665742368E-10</v>
      </c>
      <c r="AM44" s="2">
        <f t="shared" si="10"/>
        <v>3.4983411462319157E-18</v>
      </c>
      <c r="AN44" s="2">
        <f t="shared" si="11"/>
        <v>-2.0967578894195752E-18</v>
      </c>
      <c r="AO44" s="2">
        <f t="shared" si="12"/>
        <v>1.8007995095103979E-8</v>
      </c>
    </row>
    <row r="45" spans="2:41" x14ac:dyDescent="0.2">
      <c r="B45" s="31" t="s">
        <v>162</v>
      </c>
      <c r="C45" s="31"/>
      <c r="D45" s="31"/>
      <c r="J45" s="20" t="s">
        <v>71</v>
      </c>
      <c r="K45" s="6">
        <f>ROUND(SUM(K20:K25), 2)</f>
        <v>479.9</v>
      </c>
      <c r="L45" s="6" t="s">
        <v>7</v>
      </c>
    </row>
    <row r="46" spans="2:41" x14ac:dyDescent="0.2">
      <c r="B46" s="6" t="s">
        <v>112</v>
      </c>
      <c r="C46" s="17">
        <v>3</v>
      </c>
      <c r="J46" s="15" t="s">
        <v>72</v>
      </c>
      <c r="K46" s="6">
        <f>ROUND(SUM(K26:K29), 2)</f>
        <v>90.82</v>
      </c>
      <c r="L46" s="6" t="s">
        <v>7</v>
      </c>
    </row>
    <row r="47" spans="2:41" x14ac:dyDescent="0.2">
      <c r="J47" s="10" t="s">
        <v>61</v>
      </c>
      <c r="K47" s="10">
        <f>SUM(K42:K46)</f>
        <v>1903.18</v>
      </c>
      <c r="L47" s="6" t="s">
        <v>7</v>
      </c>
    </row>
    <row r="48" spans="2:41" x14ac:dyDescent="0.2">
      <c r="B48" s="31" t="s">
        <v>163</v>
      </c>
      <c r="C48" s="31"/>
      <c r="D48" s="31"/>
    </row>
    <row r="49" spans="2:9" x14ac:dyDescent="0.2">
      <c r="B49" s="6" t="s">
        <v>164</v>
      </c>
      <c r="C49" s="17">
        <v>4.3036300000000001</v>
      </c>
      <c r="F49" s="30"/>
      <c r="G49" s="30"/>
      <c r="H49" s="30"/>
      <c r="I49" s="30"/>
    </row>
    <row r="50" spans="2:9" x14ac:dyDescent="0.2">
      <c r="B50" s="6" t="s">
        <v>165</v>
      </c>
      <c r="C50" s="17">
        <f>39.5112*0.3048^2</f>
        <v>3.6707105940480003</v>
      </c>
      <c r="D50" s="6" t="s">
        <v>11</v>
      </c>
    </row>
    <row r="51" spans="2:9" x14ac:dyDescent="0.2">
      <c r="B51" s="6" t="s">
        <v>166</v>
      </c>
      <c r="C51" s="17">
        <f>0.15*3.7875*0.3048</f>
        <v>0.1731645</v>
      </c>
      <c r="D51" s="6" t="s">
        <v>8</v>
      </c>
    </row>
    <row r="53" spans="2:9" x14ac:dyDescent="0.2">
      <c r="B53" s="31" t="s">
        <v>167</v>
      </c>
      <c r="C53" s="31"/>
      <c r="D53" s="31"/>
    </row>
    <row r="54" spans="2:9" x14ac:dyDescent="0.2">
      <c r="B54" s="6" t="s">
        <v>168</v>
      </c>
      <c r="C54" s="17">
        <v>1.1798999999999999</v>
      </c>
    </row>
    <row r="55" spans="2:9" x14ac:dyDescent="0.2">
      <c r="B55" s="6" t="s">
        <v>169</v>
      </c>
      <c r="C55" s="17">
        <f>27.34325*0.3048^2</f>
        <v>2.5402710484800002</v>
      </c>
      <c r="D55" s="6" t="s">
        <v>11</v>
      </c>
    </row>
    <row r="56" spans="2:9" x14ac:dyDescent="0.2">
      <c r="B56" s="6" t="s">
        <v>170</v>
      </c>
      <c r="C56" s="17">
        <f>0.115*9.73719*0.3048</f>
        <v>0.34130798388000005</v>
      </c>
      <c r="D56" s="6" t="s">
        <v>8</v>
      </c>
    </row>
    <row r="57" spans="2:9" x14ac:dyDescent="0.2">
      <c r="B57" s="6" t="s">
        <v>171</v>
      </c>
      <c r="C57" s="17">
        <v>35</v>
      </c>
      <c r="D57" s="6" t="s">
        <v>42</v>
      </c>
    </row>
    <row r="59" spans="2:9" x14ac:dyDescent="0.2">
      <c r="B59" s="34" t="s">
        <v>2</v>
      </c>
      <c r="C59" s="35"/>
      <c r="D59" s="35"/>
    </row>
    <row r="60" spans="2:9" x14ac:dyDescent="0.2">
      <c r="B60" s="6" t="s">
        <v>3</v>
      </c>
      <c r="C60" s="17">
        <v>250</v>
      </c>
      <c r="D60" s="6" t="s">
        <v>4</v>
      </c>
    </row>
    <row r="61" spans="2:9" x14ac:dyDescent="0.2">
      <c r="B61" s="6" t="s">
        <v>5</v>
      </c>
      <c r="C61" s="17">
        <v>0.85</v>
      </c>
    </row>
    <row r="62" spans="2:9" x14ac:dyDescent="0.2">
      <c r="B62" s="6" t="s">
        <v>6</v>
      </c>
      <c r="C62" s="17">
        <v>0.8</v>
      </c>
    </row>
    <row r="64" spans="2:9" x14ac:dyDescent="0.2">
      <c r="B64" s="31" t="s">
        <v>186</v>
      </c>
      <c r="C64" s="32"/>
      <c r="D64" s="32"/>
    </row>
    <row r="65" spans="2:4" x14ac:dyDescent="0.2">
      <c r="B65" s="6" t="s">
        <v>15</v>
      </c>
      <c r="C65" s="17">
        <v>1.0397562309141399</v>
      </c>
      <c r="D65" s="6" t="s">
        <v>16</v>
      </c>
    </row>
    <row r="66" spans="2:4" x14ac:dyDescent="0.2">
      <c r="B66" s="6" t="s">
        <v>137</v>
      </c>
      <c r="C66" s="23">
        <v>1.7363179204150701E-5</v>
      </c>
      <c r="D66" s="6" t="s">
        <v>136</v>
      </c>
    </row>
    <row r="67" spans="2:4" x14ac:dyDescent="0.2">
      <c r="B67" s="6" t="s">
        <v>131</v>
      </c>
      <c r="C67" s="17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1" t="s">
        <v>187</v>
      </c>
      <c r="C70" s="32"/>
      <c r="D70" s="32"/>
    </row>
    <row r="71" spans="2:4" x14ac:dyDescent="0.2">
      <c r="B71" s="6" t="s">
        <v>15</v>
      </c>
      <c r="C71" s="17">
        <v>1.00854450666398</v>
      </c>
      <c r="D71" s="6" t="s">
        <v>16</v>
      </c>
    </row>
    <row r="72" spans="2:4" x14ac:dyDescent="0.2">
      <c r="B72" s="6" t="s">
        <v>137</v>
      </c>
      <c r="C72" s="23">
        <v>1.7265641515845801E-5</v>
      </c>
      <c r="D72" s="6" t="s">
        <v>136</v>
      </c>
    </row>
    <row r="73" spans="2:4" x14ac:dyDescent="0.2">
      <c r="B73" s="6" t="s">
        <v>131</v>
      </c>
      <c r="C73" s="17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1" t="s">
        <v>73</v>
      </c>
      <c r="C76" s="31"/>
      <c r="D76" s="31"/>
    </row>
    <row r="77" spans="2:4" x14ac:dyDescent="0.2">
      <c r="B77" s="6" t="s">
        <v>178</v>
      </c>
      <c r="C77" s="17">
        <v>30</v>
      </c>
    </row>
    <row r="78" spans="2:4" x14ac:dyDescent="0.2">
      <c r="B78" s="6" t="s">
        <v>180</v>
      </c>
      <c r="C78" s="17">
        <v>0.8</v>
      </c>
    </row>
    <row r="79" spans="2:4" x14ac:dyDescent="0.2">
      <c r="B79" s="6" t="s">
        <v>181</v>
      </c>
      <c r="C79" s="17">
        <v>0.8</v>
      </c>
    </row>
    <row r="80" spans="2:4" x14ac:dyDescent="0.2">
      <c r="B80" s="6" t="s">
        <v>182</v>
      </c>
      <c r="C80" s="17">
        <v>0.8</v>
      </c>
    </row>
    <row r="81" spans="2:4" x14ac:dyDescent="0.2">
      <c r="B81" s="6" t="s">
        <v>172</v>
      </c>
      <c r="C81" s="17">
        <v>5</v>
      </c>
      <c r="D81" s="6" t="s">
        <v>42</v>
      </c>
    </row>
  </sheetData>
  <mergeCells count="23">
    <mergeCell ref="B53:D53"/>
    <mergeCell ref="B59:D59"/>
    <mergeCell ref="B64:D64"/>
    <mergeCell ref="B70:D70"/>
    <mergeCell ref="B76:D76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1:D1"/>
    <mergeCell ref="B3:D3"/>
    <mergeCell ref="F3:H3"/>
    <mergeCell ref="J3:L3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multirotor_fidelity0</vt:lpstr>
      <vt:lpstr>multirotor_fidelity0_best</vt:lpstr>
      <vt:lpstr>lift+cruise_fidelity0</vt:lpstr>
      <vt:lpstr>lift+cruise_fidelity0_best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2025-03-10T09:40:51Z</dcterms:modified>
</cp:coreProperties>
</file>