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1_optimizations_of_ref_vehicle/multirotor/"/>
    </mc:Choice>
  </mc:AlternateContent>
  <xr:revisionPtr revIDLastSave="0" documentId="13_ncr:1_{D2C604E5-6A63-E24D-986A-59EE01558453}" xr6:coauthVersionLast="47" xr6:coauthVersionMax="47" xr10:uidLastSave="{00000000-0000-0000-0000-000000000000}"/>
  <bookViews>
    <workbookView xWindow="0" yWindow="740" windowWidth="30240" windowHeight="18900" activeTab="3" xr2:uid="{843CD013-835A-1741-B375-CD508AE79BD2}"/>
  </bookViews>
  <sheets>
    <sheet name="multirotor_ref" sheetId="13" r:id="rId1"/>
    <sheet name="multirotor_opt_weight" sheetId="16" r:id="rId2"/>
    <sheet name="multirotor_opt_energy" sheetId="17" r:id="rId3"/>
    <sheet name="multirotor_opt_time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8" l="1"/>
  <c r="O45" i="18"/>
  <c r="AN44" i="18"/>
  <c r="AM44" i="18"/>
  <c r="O44" i="18"/>
  <c r="AN43" i="18"/>
  <c r="AM43" i="18"/>
  <c r="AN42" i="18"/>
  <c r="AM42" i="18"/>
  <c r="AN41" i="18"/>
  <c r="AM41" i="18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G34" i="18"/>
  <c r="AN33" i="18"/>
  <c r="AM33" i="18"/>
  <c r="C33" i="18"/>
  <c r="AN32" i="18"/>
  <c r="AM32" i="18"/>
  <c r="AN31" i="18"/>
  <c r="AM31" i="18"/>
  <c r="K31" i="18"/>
  <c r="C31" i="18"/>
  <c r="AN30" i="18"/>
  <c r="AM30" i="18"/>
  <c r="AN29" i="18"/>
  <c r="AM29" i="18"/>
  <c r="AN28" i="18"/>
  <c r="AM28" i="18"/>
  <c r="G28" i="18"/>
  <c r="AN27" i="18"/>
  <c r="AM27" i="18"/>
  <c r="AN26" i="18"/>
  <c r="AM26" i="18"/>
  <c r="K26" i="18"/>
  <c r="G26" i="18"/>
  <c r="AN25" i="18"/>
  <c r="AM25" i="18"/>
  <c r="K25" i="18"/>
  <c r="G25" i="18"/>
  <c r="G27" i="18" s="1"/>
  <c r="AN24" i="18"/>
  <c r="AM24" i="18"/>
  <c r="K24" i="18"/>
  <c r="AN23" i="18"/>
  <c r="AM23" i="18"/>
  <c r="K23" i="18"/>
  <c r="AN22" i="18"/>
  <c r="AM22" i="18"/>
  <c r="AN21" i="18"/>
  <c r="AM21" i="18"/>
  <c r="K21" i="18"/>
  <c r="AN20" i="18"/>
  <c r="AM20" i="18"/>
  <c r="K20" i="18"/>
  <c r="AN19" i="18"/>
  <c r="AM19" i="18"/>
  <c r="O19" i="18"/>
  <c r="G16" i="18" s="1"/>
  <c r="G17" i="18" s="1"/>
  <c r="K19" i="18"/>
  <c r="AN18" i="18"/>
  <c r="AM18" i="18"/>
  <c r="K18" i="18"/>
  <c r="AN17" i="18"/>
  <c r="AM17" i="18"/>
  <c r="AN16" i="18"/>
  <c r="AM16" i="18"/>
  <c r="AN15" i="18"/>
  <c r="AM15" i="18"/>
  <c r="AN14" i="18"/>
  <c r="AM14" i="18"/>
  <c r="C14" i="18"/>
  <c r="G15" i="18" s="1"/>
  <c r="AN13" i="18"/>
  <c r="AM13" i="18"/>
  <c r="C13" i="18"/>
  <c r="K39" i="18" s="1"/>
  <c r="AN12" i="18"/>
  <c r="AM12" i="18"/>
  <c r="K12" i="18"/>
  <c r="G12" i="18"/>
  <c r="AN11" i="18"/>
  <c r="AM11" i="18"/>
  <c r="AN10" i="18"/>
  <c r="AM10" i="18"/>
  <c r="C10" i="18"/>
  <c r="C20" i="18" s="1"/>
  <c r="AN9" i="18"/>
  <c r="AM9" i="18"/>
  <c r="G9" i="18"/>
  <c r="AN8" i="18"/>
  <c r="AM8" i="18"/>
  <c r="AN7" i="18"/>
  <c r="AM7" i="18"/>
  <c r="G7" i="18"/>
  <c r="G8" i="18" s="1"/>
  <c r="AN6" i="18"/>
  <c r="AM6" i="18"/>
  <c r="AO5" i="18"/>
  <c r="AN5" i="18"/>
  <c r="AM5" i="18"/>
  <c r="AK5" i="18"/>
  <c r="O5" i="18"/>
  <c r="O7" i="18" s="1"/>
  <c r="O10" i="18" s="1"/>
  <c r="G5" i="18"/>
  <c r="G6" i="18" s="1"/>
  <c r="AD4" i="18"/>
  <c r="Z4" i="18"/>
  <c r="O4" i="18"/>
  <c r="G4" i="18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C14" i="17"/>
  <c r="G15" i="17" s="1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C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C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C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C8" i="13"/>
  <c r="O4" i="13" s="1"/>
  <c r="C14" i="13"/>
  <c r="O5" i="13"/>
  <c r="G34" i="13"/>
  <c r="AG6" i="16" l="1"/>
  <c r="AG6" i="17"/>
  <c r="AO6" i="17" s="1"/>
  <c r="AI6" i="18"/>
  <c r="O8" i="17"/>
  <c r="O9" i="17" s="1"/>
  <c r="O13" i="17" s="1"/>
  <c r="O14" i="17" s="1"/>
  <c r="O17" i="17" s="1"/>
  <c r="O20" i="17" s="1"/>
  <c r="O23" i="17" s="1"/>
  <c r="K35" i="18"/>
  <c r="K43" i="18"/>
  <c r="O8" i="18"/>
  <c r="O9" i="18" s="1"/>
  <c r="O13" i="18" s="1"/>
  <c r="K9" i="18"/>
  <c r="AG6" i="18"/>
  <c r="AK6" i="18" s="1"/>
  <c r="AI7" i="18" s="1"/>
  <c r="G10" i="18"/>
  <c r="G11" i="18" s="1"/>
  <c r="O46" i="18"/>
  <c r="O47" i="18" s="1"/>
  <c r="K22" i="18"/>
  <c r="K34" i="18" s="1"/>
  <c r="G31" i="18"/>
  <c r="G29" i="18" s="1"/>
  <c r="G30" i="18" s="1"/>
  <c r="K47" i="18"/>
  <c r="K43" i="17"/>
  <c r="K35" i="17"/>
  <c r="O46" i="17"/>
  <c r="O47" i="17" s="1"/>
  <c r="G10" i="17"/>
  <c r="G11" i="17" s="1"/>
  <c r="K34" i="17"/>
  <c r="K42" i="17"/>
  <c r="G6" i="17"/>
  <c r="K9" i="17" s="1"/>
  <c r="AK6" i="17"/>
  <c r="AI7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AK6" i="16"/>
  <c r="AI7" i="16" s="1"/>
  <c r="K43" i="16"/>
  <c r="O46" i="16"/>
  <c r="O47" i="16" s="1"/>
  <c r="G10" i="16"/>
  <c r="G11" i="16" s="1"/>
  <c r="K22" i="16"/>
  <c r="K42" i="16" s="1"/>
  <c r="G30" i="16"/>
  <c r="AO6" i="16"/>
  <c r="AG7" i="16"/>
  <c r="G6" i="16"/>
  <c r="G15" i="16"/>
  <c r="K47" i="16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G6" i="13" l="1"/>
  <c r="AG7" i="17"/>
  <c r="AK7" i="17" s="1"/>
  <c r="O18" i="16"/>
  <c r="O21" i="16" s="1"/>
  <c r="G21" i="16" s="1"/>
  <c r="O18" i="17"/>
  <c r="O21" i="17" s="1"/>
  <c r="G21" i="17" s="1"/>
  <c r="O14" i="18"/>
  <c r="O17" i="18" s="1"/>
  <c r="O20" i="18" s="1"/>
  <c r="O23" i="18" s="1"/>
  <c r="O18" i="18"/>
  <c r="AG7" i="18"/>
  <c r="K42" i="18"/>
  <c r="AO6" i="18"/>
  <c r="K34" i="16"/>
  <c r="O26" i="17"/>
  <c r="O28" i="17" s="1"/>
  <c r="AK7" i="16"/>
  <c r="AI8" i="16" s="1"/>
  <c r="AO7" i="16"/>
  <c r="K9" i="16"/>
  <c r="AI6" i="13"/>
  <c r="AO6" i="13" s="1"/>
  <c r="G27" i="13"/>
  <c r="G15" i="13"/>
  <c r="K9" i="13" s="1"/>
  <c r="K31" i="13"/>
  <c r="AO7" i="17" l="1"/>
  <c r="O26" i="16"/>
  <c r="O28" i="16" s="1"/>
  <c r="K14" i="17"/>
  <c r="G18" i="17"/>
  <c r="K14" i="16"/>
  <c r="K15" i="16" s="1"/>
  <c r="G18" i="16"/>
  <c r="AI8" i="17"/>
  <c r="AG8" i="17"/>
  <c r="AA4" i="17"/>
  <c r="Y4" i="17"/>
  <c r="K14" i="18"/>
  <c r="K15" i="18" s="1"/>
  <c r="G18" i="18"/>
  <c r="O21" i="18"/>
  <c r="O26" i="18"/>
  <c r="O28" i="18" s="1"/>
  <c r="AK7" i="18"/>
  <c r="AI8" i="18" s="1"/>
  <c r="AO7" i="18"/>
  <c r="Y4" i="16"/>
  <c r="W4" i="16"/>
  <c r="AA4" i="16"/>
  <c r="K15" i="17"/>
  <c r="W4" i="17"/>
  <c r="AG8" i="16"/>
  <c r="AO8" i="16" s="1"/>
  <c r="AK6" i="13"/>
  <c r="AG7" i="13" s="1"/>
  <c r="AI7" i="13"/>
  <c r="AK8" i="17" l="1"/>
  <c r="AI9" i="17" s="1"/>
  <c r="AB4" i="17"/>
  <c r="V5" i="17" s="1"/>
  <c r="W5" i="17" s="1"/>
  <c r="AG8" i="18"/>
  <c r="AO8" i="18" s="1"/>
  <c r="AC4" i="17"/>
  <c r="X5" i="17" s="1"/>
  <c r="Y5" i="17" s="1"/>
  <c r="AB4" i="16"/>
  <c r="V5" i="16" s="1"/>
  <c r="W5" i="16" s="1"/>
  <c r="AG9" i="17"/>
  <c r="AK9" i="17" s="1"/>
  <c r="AG10" i="17" s="1"/>
  <c r="AO8" i="17"/>
  <c r="AC4" i="16"/>
  <c r="X5" i="16" s="1"/>
  <c r="W4" i="18"/>
  <c r="Y4" i="18"/>
  <c r="G21" i="18"/>
  <c r="AA4" i="18"/>
  <c r="AK8" i="16"/>
  <c r="AI9" i="16" s="1"/>
  <c r="AG9" i="16"/>
  <c r="AK7" i="13"/>
  <c r="AI8" i="13" s="1"/>
  <c r="AO7" i="13"/>
  <c r="AG8" i="13"/>
  <c r="AD5" i="16" l="1"/>
  <c r="AK8" i="18"/>
  <c r="AI9" i="18" s="1"/>
  <c r="AD5" i="17"/>
  <c r="AG9" i="18"/>
  <c r="Z5" i="16"/>
  <c r="AA5" i="16" s="1"/>
  <c r="AB5" i="16" s="1"/>
  <c r="V6" i="16" s="1"/>
  <c r="W6" i="16" s="1"/>
  <c r="Y5" i="16"/>
  <c r="AO9" i="17"/>
  <c r="Z5" i="17"/>
  <c r="AA5" i="17" s="1"/>
  <c r="AC5" i="17" s="1"/>
  <c r="X6" i="17" s="1"/>
  <c r="Y6" i="17" s="1"/>
  <c r="AK8" i="13"/>
  <c r="AI9" i="13" s="1"/>
  <c r="AK9" i="16"/>
  <c r="AG10" i="16" s="1"/>
  <c r="AI10" i="17"/>
  <c r="AO10" i="17" s="1"/>
  <c r="AO9" i="16"/>
  <c r="AC4" i="18"/>
  <c r="X5" i="18" s="1"/>
  <c r="AB4" i="18"/>
  <c r="V5" i="18" s="1"/>
  <c r="AO8" i="13"/>
  <c r="AO9" i="18" l="1"/>
  <c r="AK9" i="18"/>
  <c r="AG10" i="18" s="1"/>
  <c r="AC5" i="16"/>
  <c r="X6" i="16" s="1"/>
  <c r="AD6" i="16" s="1"/>
  <c r="AG9" i="13"/>
  <c r="AO9" i="13" s="1"/>
  <c r="AI10" i="16"/>
  <c r="AK10" i="16" s="1"/>
  <c r="AI11" i="16" s="1"/>
  <c r="AI10" i="18"/>
  <c r="AK10" i="18" s="1"/>
  <c r="AG11" i="18" s="1"/>
  <c r="AB5" i="17"/>
  <c r="V6" i="17" s="1"/>
  <c r="AD6" i="17" s="1"/>
  <c r="AO10" i="16"/>
  <c r="AK10" i="17"/>
  <c r="Z5" i="18"/>
  <c r="AA5" i="18" s="1"/>
  <c r="W5" i="18"/>
  <c r="AD5" i="18"/>
  <c r="Y5" i="18"/>
  <c r="AK9" i="13" l="1"/>
  <c r="Z6" i="16"/>
  <c r="AA6" i="16" s="1"/>
  <c r="AB6" i="16" s="1"/>
  <c r="V7" i="16" s="1"/>
  <c r="Y6" i="16"/>
  <c r="AC6" i="16" s="1"/>
  <c r="X7" i="16" s="1"/>
  <c r="AC5" i="18"/>
  <c r="X6" i="18" s="1"/>
  <c r="Y6" i="18" s="1"/>
  <c r="AO10" i="18"/>
  <c r="AG11" i="16"/>
  <c r="AK11" i="16" s="1"/>
  <c r="AG12" i="16" s="1"/>
  <c r="Z6" i="17"/>
  <c r="AA6" i="17" s="1"/>
  <c r="AC6" i="17" s="1"/>
  <c r="X7" i="17" s="1"/>
  <c r="Y7" i="17" s="1"/>
  <c r="W6" i="17"/>
  <c r="AI11" i="18"/>
  <c r="AO11" i="18" s="1"/>
  <c r="AO11" i="16"/>
  <c r="AG11" i="17"/>
  <c r="AI11" i="17"/>
  <c r="AB5" i="18"/>
  <c r="V6" i="18" s="1"/>
  <c r="AG12" i="18"/>
  <c r="W7" i="16"/>
  <c r="AG10" i="13"/>
  <c r="AI10" i="13"/>
  <c r="AK11" i="18" l="1"/>
  <c r="AI12" i="18" s="1"/>
  <c r="AB6" i="17"/>
  <c r="V7" i="17" s="1"/>
  <c r="Z7" i="17" s="1"/>
  <c r="AA7" i="17" s="1"/>
  <c r="AC7" i="17" s="1"/>
  <c r="X8" i="17" s="1"/>
  <c r="Y8" i="17" s="1"/>
  <c r="AO11" i="17"/>
  <c r="AK11" i="17"/>
  <c r="AI12" i="17" s="1"/>
  <c r="AG12" i="17"/>
  <c r="AI12" i="16"/>
  <c r="AO12" i="16" s="1"/>
  <c r="W6" i="18"/>
  <c r="Z6" i="18"/>
  <c r="AA6" i="18" s="1"/>
  <c r="AC6" i="18" s="1"/>
  <c r="X7" i="18" s="1"/>
  <c r="AD6" i="18"/>
  <c r="AK12" i="18"/>
  <c r="AI13" i="18" s="1"/>
  <c r="AO12" i="18"/>
  <c r="AD7" i="16"/>
  <c r="Y7" i="16"/>
  <c r="Z7" i="16"/>
  <c r="AA7" i="16" s="1"/>
  <c r="AB7" i="16" s="1"/>
  <c r="V8" i="16" s="1"/>
  <c r="AO10" i="13"/>
  <c r="AK10" i="13"/>
  <c r="AG11" i="13" s="1"/>
  <c r="W7" i="17" l="1"/>
  <c r="AB7" i="17" s="1"/>
  <c r="V8" i="17" s="1"/>
  <c r="AD7" i="17"/>
  <c r="AG13" i="18"/>
  <c r="AK12" i="16"/>
  <c r="AI13" i="16" s="1"/>
  <c r="AK12" i="17"/>
  <c r="AI13" i="17" s="1"/>
  <c r="AO12" i="17"/>
  <c r="Y7" i="18"/>
  <c r="AB6" i="18"/>
  <c r="V7" i="18" s="1"/>
  <c r="AO13" i="18"/>
  <c r="AK13" i="18"/>
  <c r="AG14" i="18" s="1"/>
  <c r="AG13" i="16"/>
  <c r="W8" i="16"/>
  <c r="AC7" i="16"/>
  <c r="X8" i="16" s="1"/>
  <c r="AI11" i="13"/>
  <c r="AK11" i="13" s="1"/>
  <c r="W8" i="17" l="1"/>
  <c r="AD8" i="17"/>
  <c r="Z8" i="17"/>
  <c r="AA8" i="17" s="1"/>
  <c r="AC8" i="17" s="1"/>
  <c r="X9" i="17" s="1"/>
  <c r="AK13" i="16"/>
  <c r="AI14" i="16" s="1"/>
  <c r="AI14" i="18"/>
  <c r="AK14" i="18" s="1"/>
  <c r="AG13" i="17"/>
  <c r="AO13" i="17" s="1"/>
  <c r="Z7" i="18"/>
  <c r="AA7" i="18" s="1"/>
  <c r="AC7" i="18" s="1"/>
  <c r="X8" i="18" s="1"/>
  <c r="W7" i="18"/>
  <c r="AD7" i="18"/>
  <c r="AO14" i="18"/>
  <c r="AG14" i="16"/>
  <c r="AO13" i="16"/>
  <c r="AD8" i="16"/>
  <c r="Y8" i="16"/>
  <c r="Z8" i="16"/>
  <c r="AA8" i="16" s="1"/>
  <c r="AB8" i="16" s="1"/>
  <c r="V9" i="16" s="1"/>
  <c r="AO11" i="13"/>
  <c r="AG12" i="13"/>
  <c r="AI12" i="13"/>
  <c r="AK13" i="17" l="1"/>
  <c r="Y9" i="17"/>
  <c r="AB8" i="17"/>
  <c r="V9" i="17" s="1"/>
  <c r="AG15" i="18"/>
  <c r="AI15" i="18"/>
  <c r="AB7" i="18"/>
  <c r="V8" i="18" s="1"/>
  <c r="Z8" i="18" s="1"/>
  <c r="AA8" i="18" s="1"/>
  <c r="AG14" i="17"/>
  <c r="AI14" i="17"/>
  <c r="W8" i="18"/>
  <c r="AD8" i="18"/>
  <c r="Y8" i="18"/>
  <c r="AO14" i="16"/>
  <c r="AK14" i="16"/>
  <c r="W9" i="16"/>
  <c r="AC8" i="16"/>
  <c r="X9" i="16" s="1"/>
  <c r="AO12" i="13"/>
  <c r="AK12" i="13"/>
  <c r="AI13" i="13" s="1"/>
  <c r="AK15" i="18" l="1"/>
  <c r="AO14" i="17"/>
  <c r="AO15" i="18"/>
  <c r="W9" i="17"/>
  <c r="Z9" i="17"/>
  <c r="AA9" i="17" s="1"/>
  <c r="AC9" i="17" s="1"/>
  <c r="X10" i="17" s="1"/>
  <c r="AD9" i="17"/>
  <c r="AC8" i="18"/>
  <c r="X9" i="18" s="1"/>
  <c r="Y9" i="18" s="1"/>
  <c r="AB8" i="18"/>
  <c r="V9" i="18" s="1"/>
  <c r="W9" i="18" s="1"/>
  <c r="AK14" i="17"/>
  <c r="AI15" i="16"/>
  <c r="AG15" i="16"/>
  <c r="AD9" i="16"/>
  <c r="Y9" i="16"/>
  <c r="Z9" i="16"/>
  <c r="AA9" i="16" s="1"/>
  <c r="AB9" i="16" s="1"/>
  <c r="V10" i="16" s="1"/>
  <c r="AG13" i="13"/>
  <c r="AK13" i="13" s="1"/>
  <c r="AI14" i="13" s="1"/>
  <c r="AD9" i="18" l="1"/>
  <c r="AG16" i="18"/>
  <c r="AI16" i="18"/>
  <c r="Z9" i="18"/>
  <c r="AA9" i="18" s="1"/>
  <c r="AC9" i="18" s="1"/>
  <c r="X10" i="18" s="1"/>
  <c r="Y10" i="17"/>
  <c r="AB9" i="17"/>
  <c r="V10" i="17" s="1"/>
  <c r="AI17" i="18"/>
  <c r="AK15" i="16"/>
  <c r="AG16" i="16" s="1"/>
  <c r="AG15" i="17"/>
  <c r="AI15" i="17"/>
  <c r="AI16" i="16"/>
  <c r="AO15" i="16"/>
  <c r="W10" i="16"/>
  <c r="AC9" i="16"/>
  <c r="X10" i="16" s="1"/>
  <c r="AO13" i="13"/>
  <c r="AG14" i="13"/>
  <c r="AO14" i="13" s="1"/>
  <c r="AO16" i="18" l="1"/>
  <c r="AB9" i="18"/>
  <c r="V10" i="18" s="1"/>
  <c r="AD10" i="18" s="1"/>
  <c r="AK16" i="18"/>
  <c r="AG17" i="18" s="1"/>
  <c r="AK17" i="18" s="1"/>
  <c r="AI18" i="18" s="1"/>
  <c r="AO15" i="17"/>
  <c r="Z10" i="17"/>
  <c r="AA10" i="17" s="1"/>
  <c r="AC10" i="17" s="1"/>
  <c r="X11" i="17" s="1"/>
  <c r="W10" i="17"/>
  <c r="AD10" i="17"/>
  <c r="AK16" i="16"/>
  <c r="AI17" i="16" s="1"/>
  <c r="AK15" i="17"/>
  <c r="AG18" i="18"/>
  <c r="Y10" i="18"/>
  <c r="AO16" i="16"/>
  <c r="AD10" i="16"/>
  <c r="Y10" i="16"/>
  <c r="Z10" i="16"/>
  <c r="AA10" i="16" s="1"/>
  <c r="AB10" i="16" s="1"/>
  <c r="V11" i="16" s="1"/>
  <c r="AK14" i="13"/>
  <c r="AG15" i="13" s="1"/>
  <c r="AO17" i="18" l="1"/>
  <c r="Z10" i="18"/>
  <c r="AA10" i="18" s="1"/>
  <c r="AC10" i="18" s="1"/>
  <c r="X11" i="18" s="1"/>
  <c r="W10" i="18"/>
  <c r="AG17" i="16"/>
  <c r="AO17" i="16" s="1"/>
  <c r="AB10" i="17"/>
  <c r="V11" i="17" s="1"/>
  <c r="AO18" i="18"/>
  <c r="Y11" i="17"/>
  <c r="AD11" i="17"/>
  <c r="W11" i="17"/>
  <c r="Z11" i="17"/>
  <c r="AA11" i="17" s="1"/>
  <c r="AG16" i="17"/>
  <c r="AI16" i="17"/>
  <c r="AK18" i="18"/>
  <c r="W11" i="16"/>
  <c r="AC10" i="16"/>
  <c r="X11" i="16" s="1"/>
  <c r="AI15" i="13"/>
  <c r="AK15" i="13" s="1"/>
  <c r="AK17" i="16" l="1"/>
  <c r="AG18" i="16" s="1"/>
  <c r="AB10" i="18"/>
  <c r="V11" i="18" s="1"/>
  <c r="W11" i="18" s="1"/>
  <c r="AI18" i="16"/>
  <c r="AO18" i="16" s="1"/>
  <c r="AB11" i="17"/>
  <c r="V12" i="17" s="1"/>
  <c r="W12" i="17" s="1"/>
  <c r="AC11" i="17"/>
  <c r="X12" i="17" s="1"/>
  <c r="AO16" i="17"/>
  <c r="AK16" i="17"/>
  <c r="AI17" i="17" s="1"/>
  <c r="AG19" i="18"/>
  <c r="AI19" i="18"/>
  <c r="Y11" i="18"/>
  <c r="AD11" i="16"/>
  <c r="Y11" i="16"/>
  <c r="Z11" i="16"/>
  <c r="AA11" i="16" s="1"/>
  <c r="AB11" i="16" s="1"/>
  <c r="V12" i="16" s="1"/>
  <c r="AO15" i="13"/>
  <c r="AG16" i="13"/>
  <c r="AI16" i="13"/>
  <c r="AG17" i="17" l="1"/>
  <c r="AK18" i="16"/>
  <c r="AI19" i="16" s="1"/>
  <c r="Z11" i="18"/>
  <c r="AA11" i="18" s="1"/>
  <c r="AB11" i="18" s="1"/>
  <c r="V12" i="18" s="1"/>
  <c r="W12" i="18" s="1"/>
  <c r="AD11" i="18"/>
  <c r="AO19" i="18"/>
  <c r="AG19" i="16"/>
  <c r="AK19" i="16" s="1"/>
  <c r="AI20" i="16" s="1"/>
  <c r="AD12" i="17"/>
  <c r="Y12" i="17"/>
  <c r="Z12" i="17"/>
  <c r="AA12" i="17" s="1"/>
  <c r="AB12" i="17" s="1"/>
  <c r="V13" i="17" s="1"/>
  <c r="W13" i="17" s="1"/>
  <c r="AK17" i="17"/>
  <c r="AG18" i="17" s="1"/>
  <c r="AO17" i="17"/>
  <c r="AI18" i="17"/>
  <c r="AK19" i="18"/>
  <c r="W12" i="16"/>
  <c r="AC11" i="16"/>
  <c r="X12" i="16" s="1"/>
  <c r="AO16" i="13"/>
  <c r="AK16" i="13"/>
  <c r="AC11" i="18" l="1"/>
  <c r="X12" i="18" s="1"/>
  <c r="AD12" i="18" s="1"/>
  <c r="AO19" i="16"/>
  <c r="Y12" i="18"/>
  <c r="AC12" i="17"/>
  <c r="X13" i="17" s="1"/>
  <c r="Z13" i="17" s="1"/>
  <c r="AA13" i="17" s="1"/>
  <c r="AB13" i="17" s="1"/>
  <c r="V14" i="17" s="1"/>
  <c r="W14" i="17" s="1"/>
  <c r="AO18" i="17"/>
  <c r="AG20" i="16"/>
  <c r="AO20" i="16" s="1"/>
  <c r="AK18" i="17"/>
  <c r="AG20" i="18"/>
  <c r="AI20" i="18"/>
  <c r="AI21" i="16"/>
  <c r="AD12" i="16"/>
  <c r="Y12" i="16"/>
  <c r="Z12" i="16"/>
  <c r="AA12" i="16" s="1"/>
  <c r="AB12" i="16" s="1"/>
  <c r="V13" i="16" s="1"/>
  <c r="AG17" i="13"/>
  <c r="AI17" i="13"/>
  <c r="Z12" i="18" l="1"/>
  <c r="AA12" i="18" s="1"/>
  <c r="AK20" i="16"/>
  <c r="AG21" i="16" s="1"/>
  <c r="AO20" i="18"/>
  <c r="AD13" i="17"/>
  <c r="Y13" i="17"/>
  <c r="AC13" i="17" s="1"/>
  <c r="X14" i="17" s="1"/>
  <c r="AD14" i="17" s="1"/>
  <c r="AI19" i="17"/>
  <c r="AG19" i="17"/>
  <c r="AK20" i="18"/>
  <c r="AK21" i="16"/>
  <c r="AI22" i="16" s="1"/>
  <c r="AO21" i="16"/>
  <c r="W13" i="16"/>
  <c r="AC12" i="16"/>
  <c r="X13" i="16" s="1"/>
  <c r="AK17" i="13"/>
  <c r="AO17" i="13"/>
  <c r="AB12" i="18" l="1"/>
  <c r="V13" i="18" s="1"/>
  <c r="W13" i="18" s="1"/>
  <c r="AC12" i="18"/>
  <c r="X13" i="18" s="1"/>
  <c r="AG22" i="16"/>
  <c r="Z14" i="17"/>
  <c r="AA14" i="17" s="1"/>
  <c r="AB14" i="17" s="1"/>
  <c r="V15" i="17" s="1"/>
  <c r="Y14" i="17"/>
  <c r="AK19" i="17"/>
  <c r="AI20" i="17" s="1"/>
  <c r="AO22" i="16"/>
  <c r="AO19" i="17"/>
  <c r="AG21" i="18"/>
  <c r="AI21" i="18"/>
  <c r="W15" i="17"/>
  <c r="AK22" i="16"/>
  <c r="AD13" i="16"/>
  <c r="Y13" i="16"/>
  <c r="Z13" i="16"/>
  <c r="AA13" i="16" s="1"/>
  <c r="AB13" i="16" s="1"/>
  <c r="V14" i="16" s="1"/>
  <c r="AI18" i="13"/>
  <c r="AG18" i="13"/>
  <c r="Z13" i="18" l="1"/>
  <c r="AA13" i="18" s="1"/>
  <c r="AB13" i="18" s="1"/>
  <c r="V14" i="18" s="1"/>
  <c r="W14" i="18" s="1"/>
  <c r="Y13" i="18"/>
  <c r="AD13" i="18"/>
  <c r="AC14" i="17"/>
  <c r="X15" i="17" s="1"/>
  <c r="AO21" i="18"/>
  <c r="AG20" i="17"/>
  <c r="AK20" i="17" s="1"/>
  <c r="AG21" i="17" s="1"/>
  <c r="AK21" i="18"/>
  <c r="AD15" i="17"/>
  <c r="Y15" i="17"/>
  <c r="Z15" i="17"/>
  <c r="AA15" i="17" s="1"/>
  <c r="AB15" i="17" s="1"/>
  <c r="V16" i="17" s="1"/>
  <c r="AG23" i="16"/>
  <c r="AI23" i="16"/>
  <c r="W14" i="16"/>
  <c r="AC13" i="16"/>
  <c r="X14" i="16" s="1"/>
  <c r="AK18" i="13"/>
  <c r="AG19" i="13" s="1"/>
  <c r="AO18" i="13"/>
  <c r="AC13" i="18" l="1"/>
  <c r="X14" i="18" s="1"/>
  <c r="Z14" i="18"/>
  <c r="AA14" i="18" s="1"/>
  <c r="AB14" i="18" s="1"/>
  <c r="V15" i="18" s="1"/>
  <c r="Y14" i="18"/>
  <c r="AD14" i="18"/>
  <c r="AO20" i="17"/>
  <c r="AI21" i="17"/>
  <c r="AK21" i="17" s="1"/>
  <c r="AG22" i="17" s="1"/>
  <c r="AG22" i="18"/>
  <c r="AI22" i="18"/>
  <c r="W16" i="17"/>
  <c r="AC15" i="17"/>
  <c r="X16" i="17" s="1"/>
  <c r="AK23" i="16"/>
  <c r="AO23" i="16"/>
  <c r="AD14" i="16"/>
  <c r="Y14" i="16"/>
  <c r="Z14" i="16"/>
  <c r="AA14" i="16" s="1"/>
  <c r="AB14" i="16" s="1"/>
  <c r="V15" i="16" s="1"/>
  <c r="AI19" i="13"/>
  <c r="AO19" i="13" s="1"/>
  <c r="AC14" i="18" l="1"/>
  <c r="X15" i="18" s="1"/>
  <c r="AD15" i="18" s="1"/>
  <c r="W15" i="18"/>
  <c r="Z15" i="18"/>
  <c r="AA15" i="18" s="1"/>
  <c r="AO21" i="17"/>
  <c r="AO22" i="18"/>
  <c r="AI22" i="17"/>
  <c r="AO22" i="17" s="1"/>
  <c r="AK22" i="18"/>
  <c r="AD16" i="17"/>
  <c r="Y16" i="17"/>
  <c r="Z16" i="17"/>
  <c r="AA16" i="17" s="1"/>
  <c r="AB16" i="17" s="1"/>
  <c r="V17" i="17" s="1"/>
  <c r="AI24" i="16"/>
  <c r="AG24" i="16"/>
  <c r="W15" i="16"/>
  <c r="AC14" i="16"/>
  <c r="X15" i="16" s="1"/>
  <c r="AK19" i="13"/>
  <c r="AG20" i="13" s="1"/>
  <c r="Y15" i="18" l="1"/>
  <c r="AB15" i="18"/>
  <c r="V16" i="18" s="1"/>
  <c r="W16" i="18" s="1"/>
  <c r="AC15" i="18"/>
  <c r="X16" i="18" s="1"/>
  <c r="AK22" i="17"/>
  <c r="AK24" i="16"/>
  <c r="AI23" i="17"/>
  <c r="AG23" i="17"/>
  <c r="AG23" i="18"/>
  <c r="AI23" i="18"/>
  <c r="W17" i="17"/>
  <c r="AC16" i="17"/>
  <c r="X17" i="17" s="1"/>
  <c r="AI25" i="16"/>
  <c r="AG25" i="16"/>
  <c r="AO24" i="16"/>
  <c r="AD15" i="16"/>
  <c r="Y15" i="16"/>
  <c r="Z15" i="16"/>
  <c r="AA15" i="16" s="1"/>
  <c r="AB15" i="16" s="1"/>
  <c r="V16" i="16" s="1"/>
  <c r="AI20" i="13"/>
  <c r="AO20" i="13" s="1"/>
  <c r="Y16" i="18" l="1"/>
  <c r="AD16" i="18"/>
  <c r="Z16" i="18"/>
  <c r="AA16" i="18" s="1"/>
  <c r="AB16" i="18" s="1"/>
  <c r="V17" i="18" s="1"/>
  <c r="AO23" i="18"/>
  <c r="AK23" i="17"/>
  <c r="AG24" i="17" s="1"/>
  <c r="AK25" i="16"/>
  <c r="AI26" i="16" s="1"/>
  <c r="AI24" i="17"/>
  <c r="AO23" i="17"/>
  <c r="AK23" i="18"/>
  <c r="AD17" i="17"/>
  <c r="Y17" i="17"/>
  <c r="Z17" i="17"/>
  <c r="AA17" i="17" s="1"/>
  <c r="AB17" i="17" s="1"/>
  <c r="V18" i="17" s="1"/>
  <c r="AO25" i="16"/>
  <c r="W16" i="16"/>
  <c r="AC15" i="16"/>
  <c r="X16" i="16" s="1"/>
  <c r="AK20" i="13"/>
  <c r="AG21" i="13" s="1"/>
  <c r="AG26" i="16" l="1"/>
  <c r="W17" i="18"/>
  <c r="AC16" i="18"/>
  <c r="X17" i="18" s="1"/>
  <c r="AK24" i="17"/>
  <c r="AI25" i="17" s="1"/>
  <c r="AO24" i="17"/>
  <c r="AG24" i="18"/>
  <c r="AI24" i="18"/>
  <c r="W18" i="17"/>
  <c r="AC17" i="17"/>
  <c r="X18" i="17" s="1"/>
  <c r="AK26" i="16"/>
  <c r="AO26" i="16"/>
  <c r="AD16" i="16"/>
  <c r="Y16" i="16"/>
  <c r="Z16" i="16"/>
  <c r="AA16" i="16" s="1"/>
  <c r="AB16" i="16" s="1"/>
  <c r="V17" i="16" s="1"/>
  <c r="AI21" i="13"/>
  <c r="AO21" i="13" s="1"/>
  <c r="AO24" i="18" l="1"/>
  <c r="AD17" i="18"/>
  <c r="Y17" i="18"/>
  <c r="Z17" i="18"/>
  <c r="AA17" i="18" s="1"/>
  <c r="AB17" i="18" s="1"/>
  <c r="V18" i="18" s="1"/>
  <c r="AG25" i="17"/>
  <c r="AK25" i="17" s="1"/>
  <c r="AK24" i="18"/>
  <c r="AD18" i="17"/>
  <c r="Y18" i="17"/>
  <c r="Z18" i="17"/>
  <c r="AA18" i="17" s="1"/>
  <c r="AB18" i="17" s="1"/>
  <c r="V19" i="17" s="1"/>
  <c r="AG27" i="16"/>
  <c r="AI27" i="16"/>
  <c r="W17" i="16"/>
  <c r="AC16" i="16"/>
  <c r="X17" i="16" s="1"/>
  <c r="AK21" i="13"/>
  <c r="AG22" i="13" s="1"/>
  <c r="W18" i="18" l="1"/>
  <c r="AC17" i="18"/>
  <c r="X18" i="18" s="1"/>
  <c r="Z18" i="18" s="1"/>
  <c r="AA18" i="18" s="1"/>
  <c r="AB18" i="18" s="1"/>
  <c r="V19" i="18" s="1"/>
  <c r="AO25" i="17"/>
  <c r="AG26" i="17"/>
  <c r="AI26" i="17"/>
  <c r="AO27" i="16"/>
  <c r="AG25" i="18"/>
  <c r="AI25" i="18"/>
  <c r="W19" i="17"/>
  <c r="AC18" i="17"/>
  <c r="X19" i="17" s="1"/>
  <c r="AK27" i="16"/>
  <c r="AD17" i="16"/>
  <c r="Y17" i="16"/>
  <c r="Z17" i="16"/>
  <c r="AA17" i="16" s="1"/>
  <c r="AB17" i="16" s="1"/>
  <c r="V18" i="16" s="1"/>
  <c r="AI22" i="13"/>
  <c r="AO22" i="13" s="1"/>
  <c r="W19" i="18" l="1"/>
  <c r="AD18" i="18"/>
  <c r="Y18" i="18"/>
  <c r="AC18" i="18" s="1"/>
  <c r="X19" i="18" s="1"/>
  <c r="Z19" i="18" s="1"/>
  <c r="AA19" i="18" s="1"/>
  <c r="AB19" i="18" s="1"/>
  <c r="V20" i="18" s="1"/>
  <c r="W20" i="18" s="1"/>
  <c r="AO26" i="17"/>
  <c r="AK26" i="17"/>
  <c r="AG27" i="17" s="1"/>
  <c r="AI27" i="17"/>
  <c r="AO25" i="18"/>
  <c r="AK25" i="18"/>
  <c r="AD19" i="17"/>
  <c r="Y19" i="17"/>
  <c r="Z19" i="17"/>
  <c r="AA19" i="17" s="1"/>
  <c r="AB19" i="17" s="1"/>
  <c r="V20" i="17" s="1"/>
  <c r="AI28" i="16"/>
  <c r="AG28" i="16"/>
  <c r="W18" i="16"/>
  <c r="AC17" i="16"/>
  <c r="X18" i="16" s="1"/>
  <c r="AK22" i="13"/>
  <c r="AG23" i="13" s="1"/>
  <c r="AD19" i="18" l="1"/>
  <c r="Y19" i="18"/>
  <c r="AC19" i="18" s="1"/>
  <c r="X20" i="18" s="1"/>
  <c r="Z20" i="18" s="1"/>
  <c r="AA20" i="18" s="1"/>
  <c r="AB20" i="18" s="1"/>
  <c r="V21" i="18" s="1"/>
  <c r="AO27" i="17"/>
  <c r="AK27" i="17"/>
  <c r="AG28" i="17"/>
  <c r="AI28" i="17"/>
  <c r="AO28" i="17" s="1"/>
  <c r="AK28" i="16"/>
  <c r="AI29" i="16" s="1"/>
  <c r="AG26" i="18"/>
  <c r="AI26" i="18"/>
  <c r="Y20" i="18"/>
  <c r="W20" i="17"/>
  <c r="AC19" i="17"/>
  <c r="X20" i="17" s="1"/>
  <c r="AO28" i="16"/>
  <c r="AD18" i="16"/>
  <c r="Y18" i="16"/>
  <c r="Z18" i="16"/>
  <c r="AA18" i="16" s="1"/>
  <c r="AB18" i="16" s="1"/>
  <c r="V19" i="16" s="1"/>
  <c r="AI23" i="13"/>
  <c r="AO23" i="13" s="1"/>
  <c r="AK28" i="17" l="1"/>
  <c r="AD20" i="18"/>
  <c r="AO26" i="18"/>
  <c r="AG29" i="16"/>
  <c r="AO29" i="16" s="1"/>
  <c r="AI29" i="17"/>
  <c r="AG29" i="17"/>
  <c r="AK26" i="18"/>
  <c r="W21" i="18"/>
  <c r="AC20" i="18"/>
  <c r="X21" i="18" s="1"/>
  <c r="AD20" i="17"/>
  <c r="Y20" i="17"/>
  <c r="Z20" i="17"/>
  <c r="AA20" i="17" s="1"/>
  <c r="AB20" i="17" s="1"/>
  <c r="V21" i="17" s="1"/>
  <c r="W19" i="16"/>
  <c r="AC18" i="16"/>
  <c r="X19" i="16" s="1"/>
  <c r="AK23" i="13"/>
  <c r="AG24" i="13" s="1"/>
  <c r="AK29" i="16" l="1"/>
  <c r="AK29" i="17"/>
  <c r="AI30" i="17"/>
  <c r="AG30" i="17"/>
  <c r="AO29" i="17"/>
  <c r="AG27" i="18"/>
  <c r="AI27" i="18"/>
  <c r="AD21" i="18"/>
  <c r="Y21" i="18"/>
  <c r="Z21" i="18"/>
  <c r="AA21" i="18" s="1"/>
  <c r="AB21" i="18" s="1"/>
  <c r="V22" i="18" s="1"/>
  <c r="W21" i="17"/>
  <c r="AC20" i="17"/>
  <c r="X21" i="17" s="1"/>
  <c r="AI30" i="16"/>
  <c r="AG30" i="16"/>
  <c r="AD19" i="16"/>
  <c r="Y19" i="16"/>
  <c r="Z19" i="16"/>
  <c r="AA19" i="16" s="1"/>
  <c r="AB19" i="16" s="1"/>
  <c r="V20" i="16" s="1"/>
  <c r="AI24" i="13"/>
  <c r="AO24" i="13" s="1"/>
  <c r="AK30" i="16" l="1"/>
  <c r="AK30" i="17"/>
  <c r="AO30" i="17"/>
  <c r="AK27" i="18"/>
  <c r="AO27" i="18"/>
  <c r="W22" i="18"/>
  <c r="AC21" i="18"/>
  <c r="X22" i="18" s="1"/>
  <c r="AD21" i="17"/>
  <c r="Y21" i="17"/>
  <c r="Z21" i="17"/>
  <c r="AA21" i="17" s="1"/>
  <c r="AB21" i="17" s="1"/>
  <c r="V22" i="17" s="1"/>
  <c r="AI31" i="16"/>
  <c r="AG31" i="16"/>
  <c r="AO30" i="16"/>
  <c r="W20" i="16"/>
  <c r="AC19" i="16"/>
  <c r="X20" i="16" s="1"/>
  <c r="AK24" i="13"/>
  <c r="AI25" i="13" s="1"/>
  <c r="AK31" i="16" l="1"/>
  <c r="AI31" i="17"/>
  <c r="AG31" i="17"/>
  <c r="AK31" i="17" s="1"/>
  <c r="AG28" i="18"/>
  <c r="AI28" i="18"/>
  <c r="AD22" i="18"/>
  <c r="Y22" i="18"/>
  <c r="Z22" i="18"/>
  <c r="AA22" i="18" s="1"/>
  <c r="AB22" i="18" s="1"/>
  <c r="V23" i="18" s="1"/>
  <c r="W22" i="17"/>
  <c r="AC21" i="17"/>
  <c r="X22" i="17" s="1"/>
  <c r="AI32" i="16"/>
  <c r="AG32" i="16"/>
  <c r="AO31" i="16"/>
  <c r="AD20" i="16"/>
  <c r="Y20" i="16"/>
  <c r="Z20" i="16"/>
  <c r="AA20" i="16" s="1"/>
  <c r="AB20" i="16" s="1"/>
  <c r="V21" i="16" s="1"/>
  <c r="AG25" i="13"/>
  <c r="AK25" i="13" s="1"/>
  <c r="AK32" i="16" l="1"/>
  <c r="AG32" i="17"/>
  <c r="AI32" i="17"/>
  <c r="AO32" i="17" s="1"/>
  <c r="AO31" i="17"/>
  <c r="AK28" i="18"/>
  <c r="AO28" i="18"/>
  <c r="W23" i="18"/>
  <c r="AC22" i="18"/>
  <c r="X23" i="18" s="1"/>
  <c r="AD22" i="17"/>
  <c r="Y22" i="17"/>
  <c r="Z22" i="17"/>
  <c r="AA22" i="17" s="1"/>
  <c r="AB22" i="17" s="1"/>
  <c r="V23" i="17" s="1"/>
  <c r="AI33" i="16"/>
  <c r="AG33" i="16"/>
  <c r="AO32" i="16"/>
  <c r="W21" i="16"/>
  <c r="AC20" i="16"/>
  <c r="X21" i="16" s="1"/>
  <c r="AI26" i="13"/>
  <c r="AG26" i="13"/>
  <c r="AO25" i="13"/>
  <c r="AK33" i="16" l="1"/>
  <c r="AK32" i="17"/>
  <c r="AG29" i="18"/>
  <c r="AI29" i="18"/>
  <c r="AO29" i="18" s="1"/>
  <c r="AD23" i="18"/>
  <c r="Y23" i="18"/>
  <c r="Z23" i="18"/>
  <c r="AA23" i="18" s="1"/>
  <c r="AB23" i="18" s="1"/>
  <c r="V24" i="18" s="1"/>
  <c r="W23" i="17"/>
  <c r="AC22" i="17"/>
  <c r="X23" i="17" s="1"/>
  <c r="AG34" i="16"/>
  <c r="AI34" i="16"/>
  <c r="AO33" i="16"/>
  <c r="AD21" i="16"/>
  <c r="Y21" i="16"/>
  <c r="Z21" i="16"/>
  <c r="AA21" i="16" s="1"/>
  <c r="AB21" i="16" s="1"/>
  <c r="V22" i="16" s="1"/>
  <c r="AO26" i="13"/>
  <c r="AK26" i="13"/>
  <c r="AG27" i="13" s="1"/>
  <c r="AI27" i="13"/>
  <c r="AI33" i="17" l="1"/>
  <c r="AG33" i="17"/>
  <c r="AO34" i="16"/>
  <c r="AK29" i="18"/>
  <c r="W24" i="18"/>
  <c r="AC23" i="18"/>
  <c r="X24" i="18" s="1"/>
  <c r="AD23" i="17"/>
  <c r="Y23" i="17"/>
  <c r="Z23" i="17"/>
  <c r="AA23" i="17" s="1"/>
  <c r="AB23" i="17" s="1"/>
  <c r="V24" i="17" s="1"/>
  <c r="AK34" i="16"/>
  <c r="W22" i="16"/>
  <c r="AC21" i="16"/>
  <c r="X22" i="16" s="1"/>
  <c r="AK27" i="13"/>
  <c r="AI28" i="13" s="1"/>
  <c r="AO27" i="13"/>
  <c r="AK33" i="17" l="1"/>
  <c r="AG34" i="17"/>
  <c r="AI34" i="17"/>
  <c r="AO33" i="17"/>
  <c r="AG30" i="18"/>
  <c r="AI30" i="18"/>
  <c r="AO30" i="18" s="1"/>
  <c r="AD24" i="18"/>
  <c r="Y24" i="18"/>
  <c r="Z24" i="18"/>
  <c r="AA24" i="18" s="1"/>
  <c r="AB24" i="18" s="1"/>
  <c r="V25" i="18" s="1"/>
  <c r="W24" i="17"/>
  <c r="AC23" i="17"/>
  <c r="X24" i="17" s="1"/>
  <c r="AI35" i="16"/>
  <c r="AG35" i="16"/>
  <c r="AD22" i="16"/>
  <c r="Y22" i="16"/>
  <c r="Z22" i="16"/>
  <c r="AA22" i="16" s="1"/>
  <c r="AB22" i="16" s="1"/>
  <c r="V23" i="16" s="1"/>
  <c r="AG28" i="13"/>
  <c r="AO28" i="13" s="1"/>
  <c r="AK35" i="16" l="1"/>
  <c r="AO34" i="17"/>
  <c r="AK34" i="17"/>
  <c r="AK30" i="18"/>
  <c r="W25" i="18"/>
  <c r="AC24" i="18"/>
  <c r="X25" i="18" s="1"/>
  <c r="AD24" i="17"/>
  <c r="Y24" i="17"/>
  <c r="Z24" i="17"/>
  <c r="AA24" i="17" s="1"/>
  <c r="AB24" i="17" s="1"/>
  <c r="V25" i="17" s="1"/>
  <c r="AI36" i="16"/>
  <c r="AG36" i="16"/>
  <c r="AO35" i="16"/>
  <c r="W23" i="16"/>
  <c r="AC22" i="16"/>
  <c r="X23" i="16" s="1"/>
  <c r="AK28" i="13"/>
  <c r="AG29" i="13" s="1"/>
  <c r="AK36" i="16" l="1"/>
  <c r="AG35" i="17"/>
  <c r="AI35" i="17"/>
  <c r="AG31" i="18"/>
  <c r="AI31" i="18"/>
  <c r="AO31" i="18" s="1"/>
  <c r="AD25" i="18"/>
  <c r="Y25" i="18"/>
  <c r="Z25" i="18"/>
  <c r="AA25" i="18" s="1"/>
  <c r="AB25" i="18" s="1"/>
  <c r="V26" i="18" s="1"/>
  <c r="W25" i="17"/>
  <c r="AC24" i="17"/>
  <c r="X25" i="17" s="1"/>
  <c r="AI37" i="16"/>
  <c r="AG37" i="16"/>
  <c r="AO36" i="16"/>
  <c r="AD23" i="16"/>
  <c r="Y23" i="16"/>
  <c r="Z23" i="16"/>
  <c r="AA23" i="16" s="1"/>
  <c r="AB23" i="16" s="1"/>
  <c r="V24" i="16" s="1"/>
  <c r="AI29" i="13"/>
  <c r="AK29" i="13" s="1"/>
  <c r="AO35" i="17" l="1"/>
  <c r="AK35" i="17"/>
  <c r="AK31" i="18"/>
  <c r="W26" i="18"/>
  <c r="AC25" i="18"/>
  <c r="X26" i="18" s="1"/>
  <c r="AD25" i="17"/>
  <c r="Y25" i="17"/>
  <c r="Z25" i="17"/>
  <c r="AA25" i="17" s="1"/>
  <c r="AB25" i="17" s="1"/>
  <c r="V26" i="17" s="1"/>
  <c r="AK37" i="16"/>
  <c r="AI38" i="16" s="1"/>
  <c r="AG38" i="16"/>
  <c r="AO37" i="16"/>
  <c r="W24" i="16"/>
  <c r="AC23" i="16"/>
  <c r="X24" i="16" s="1"/>
  <c r="AO29" i="13"/>
  <c r="AG30" i="13"/>
  <c r="AI30" i="13"/>
  <c r="AG36" i="17" l="1"/>
  <c r="AI36" i="17"/>
  <c r="AK38" i="16"/>
  <c r="AG32" i="18"/>
  <c r="AI32" i="18"/>
  <c r="AD26" i="18"/>
  <c r="Y26" i="18"/>
  <c r="Z26" i="18"/>
  <c r="AA26" i="18" s="1"/>
  <c r="AB26" i="18" s="1"/>
  <c r="V27" i="18" s="1"/>
  <c r="W26" i="17"/>
  <c r="AC25" i="17"/>
  <c r="X26" i="17" s="1"/>
  <c r="AI39" i="16"/>
  <c r="AG39" i="16"/>
  <c r="AO38" i="16"/>
  <c r="AD24" i="16"/>
  <c r="Y24" i="16"/>
  <c r="Z24" i="16"/>
  <c r="AA24" i="16" s="1"/>
  <c r="AB24" i="16" s="1"/>
  <c r="V25" i="16" s="1"/>
  <c r="AK30" i="13"/>
  <c r="AO30" i="13"/>
  <c r="AO36" i="17" l="1"/>
  <c r="AK39" i="16"/>
  <c r="AK36" i="17"/>
  <c r="AO32" i="18"/>
  <c r="AK32" i="18"/>
  <c r="W27" i="18"/>
  <c r="AC26" i="18"/>
  <c r="X27" i="18" s="1"/>
  <c r="AD26" i="17"/>
  <c r="Y26" i="17"/>
  <c r="Z26" i="17"/>
  <c r="AA26" i="17" s="1"/>
  <c r="AB26" i="17" s="1"/>
  <c r="V27" i="17" s="1"/>
  <c r="AG40" i="16"/>
  <c r="AI40" i="16"/>
  <c r="AO39" i="16"/>
  <c r="W25" i="16"/>
  <c r="AC24" i="16"/>
  <c r="X25" i="16" s="1"/>
  <c r="AG31" i="13"/>
  <c r="AI31" i="13"/>
  <c r="AG37" i="17" l="1"/>
  <c r="AI37" i="17"/>
  <c r="AO40" i="16"/>
  <c r="AG33" i="18"/>
  <c r="AI33" i="18"/>
  <c r="AO33" i="18" s="1"/>
  <c r="AD27" i="18"/>
  <c r="Y27" i="18"/>
  <c r="Z27" i="18"/>
  <c r="AA27" i="18" s="1"/>
  <c r="AB27" i="18" s="1"/>
  <c r="V28" i="18" s="1"/>
  <c r="W27" i="17"/>
  <c r="AC26" i="17"/>
  <c r="X27" i="17" s="1"/>
  <c r="AK40" i="16"/>
  <c r="AD25" i="16"/>
  <c r="Y25" i="16"/>
  <c r="Z25" i="16"/>
  <c r="AA25" i="16" s="1"/>
  <c r="AB25" i="16" s="1"/>
  <c r="V26" i="16" s="1"/>
  <c r="AK31" i="13"/>
  <c r="AO31" i="13"/>
  <c r="AO37" i="17" l="1"/>
  <c r="AK37" i="17"/>
  <c r="AK33" i="18"/>
  <c r="W28" i="18"/>
  <c r="AC27" i="18"/>
  <c r="X28" i="18" s="1"/>
  <c r="AD27" i="17"/>
  <c r="Y27" i="17"/>
  <c r="Z27" i="17"/>
  <c r="AA27" i="17" s="1"/>
  <c r="AB27" i="17" s="1"/>
  <c r="V28" i="17" s="1"/>
  <c r="AI41" i="16"/>
  <c r="AG41" i="16"/>
  <c r="AK41" i="16" s="1"/>
  <c r="W26" i="16"/>
  <c r="AC25" i="16"/>
  <c r="X26" i="16" s="1"/>
  <c r="AG32" i="13"/>
  <c r="AI32" i="13"/>
  <c r="AG38" i="17" l="1"/>
  <c r="AI38" i="17"/>
  <c r="AO38" i="17" s="1"/>
  <c r="AG34" i="18"/>
  <c r="AI34" i="18"/>
  <c r="AO34" i="18" s="1"/>
  <c r="AD28" i="18"/>
  <c r="Y28" i="18"/>
  <c r="Z28" i="18"/>
  <c r="AA28" i="18" s="1"/>
  <c r="AB28" i="18" s="1"/>
  <c r="V29" i="18" s="1"/>
  <c r="W28" i="17"/>
  <c r="AC27" i="17"/>
  <c r="X28" i="17" s="1"/>
  <c r="AG42" i="16"/>
  <c r="AI42" i="16"/>
  <c r="AO41" i="16"/>
  <c r="AD26" i="16"/>
  <c r="Y26" i="16"/>
  <c r="Z26" i="16"/>
  <c r="AA26" i="16" s="1"/>
  <c r="AB26" i="16" s="1"/>
  <c r="V27" i="16" s="1"/>
  <c r="AO32" i="13"/>
  <c r="AK32" i="13"/>
  <c r="AK38" i="17" l="1"/>
  <c r="AO42" i="16"/>
  <c r="AK34" i="18"/>
  <c r="W29" i="18"/>
  <c r="AC28" i="18"/>
  <c r="X29" i="18" s="1"/>
  <c r="AD28" i="17"/>
  <c r="Y28" i="17"/>
  <c r="Z28" i="17"/>
  <c r="AA28" i="17" s="1"/>
  <c r="AB28" i="17" s="1"/>
  <c r="V29" i="17" s="1"/>
  <c r="AK42" i="16"/>
  <c r="W27" i="16"/>
  <c r="AC26" i="16"/>
  <c r="X27" i="16" s="1"/>
  <c r="AG33" i="13"/>
  <c r="AI33" i="13"/>
  <c r="AI39" i="17" l="1"/>
  <c r="AG39" i="17"/>
  <c r="AG35" i="18"/>
  <c r="AI35" i="18"/>
  <c r="AO35" i="18" s="1"/>
  <c r="AD29" i="18"/>
  <c r="Y29" i="18"/>
  <c r="Z29" i="18"/>
  <c r="AA29" i="18" s="1"/>
  <c r="AB29" i="18" s="1"/>
  <c r="V30" i="18" s="1"/>
  <c r="W29" i="17"/>
  <c r="AC28" i="17"/>
  <c r="X29" i="17" s="1"/>
  <c r="AG43" i="16"/>
  <c r="AI43" i="16"/>
  <c r="AD27" i="16"/>
  <c r="Y27" i="16"/>
  <c r="Z27" i="16"/>
  <c r="AA27" i="16" s="1"/>
  <c r="AB27" i="16" s="1"/>
  <c r="V28" i="16" s="1"/>
  <c r="AK33" i="13"/>
  <c r="AO33" i="13"/>
  <c r="AK39" i="17" l="1"/>
  <c r="AI40" i="17"/>
  <c r="AG40" i="17"/>
  <c r="AO39" i="17"/>
  <c r="AO43" i="16"/>
  <c r="AK35" i="18"/>
  <c r="W30" i="18"/>
  <c r="AC29" i="18"/>
  <c r="X30" i="18" s="1"/>
  <c r="AD29" i="17"/>
  <c r="Y29" i="17"/>
  <c r="Z29" i="17"/>
  <c r="AA29" i="17" s="1"/>
  <c r="AB29" i="17" s="1"/>
  <c r="V30" i="17" s="1"/>
  <c r="AK43" i="16"/>
  <c r="W28" i="16"/>
  <c r="AC27" i="16"/>
  <c r="X28" i="16" s="1"/>
  <c r="AG34" i="13"/>
  <c r="AI34" i="13"/>
  <c r="AK40" i="17" l="1"/>
  <c r="AG41" i="17" s="1"/>
  <c r="AO40" i="17"/>
  <c r="AG36" i="18"/>
  <c r="AI36" i="18"/>
  <c r="AO36" i="18" s="1"/>
  <c r="AD30" i="18"/>
  <c r="Y30" i="18"/>
  <c r="Z30" i="18"/>
  <c r="AA30" i="18" s="1"/>
  <c r="AB30" i="18" s="1"/>
  <c r="V31" i="18" s="1"/>
  <c r="W30" i="17"/>
  <c r="AC29" i="17"/>
  <c r="X30" i="17" s="1"/>
  <c r="AI44" i="16"/>
  <c r="AG44" i="16"/>
  <c r="AD28" i="16"/>
  <c r="Y28" i="16"/>
  <c r="Z28" i="16"/>
  <c r="AA28" i="16" s="1"/>
  <c r="AB28" i="16" s="1"/>
  <c r="V29" i="16" s="1"/>
  <c r="AO34" i="13"/>
  <c r="AK34" i="13"/>
  <c r="AI41" i="17" l="1"/>
  <c r="AO41" i="17" s="1"/>
  <c r="AK44" i="16"/>
  <c r="AK36" i="18"/>
  <c r="W31" i="18"/>
  <c r="AC30" i="18"/>
  <c r="X31" i="18" s="1"/>
  <c r="AD30" i="17"/>
  <c r="Y30" i="17"/>
  <c r="Z30" i="17"/>
  <c r="AA30" i="17" s="1"/>
  <c r="AB30" i="17" s="1"/>
  <c r="V31" i="17" s="1"/>
  <c r="AO44" i="16"/>
  <c r="W29" i="16"/>
  <c r="AC28" i="16"/>
  <c r="X29" i="16" s="1"/>
  <c r="AG35" i="13"/>
  <c r="AI35" i="13"/>
  <c r="AK41" i="17" l="1"/>
  <c r="AG42" i="17"/>
  <c r="AI42" i="17"/>
  <c r="AG37" i="18"/>
  <c r="AI37" i="18"/>
  <c r="AD31" i="18"/>
  <c r="Y31" i="18"/>
  <c r="Z31" i="18"/>
  <c r="AA31" i="18" s="1"/>
  <c r="AB31" i="18" s="1"/>
  <c r="V32" i="18" s="1"/>
  <c r="W31" i="17"/>
  <c r="AC30" i="17"/>
  <c r="X31" i="17" s="1"/>
  <c r="AD29" i="16"/>
  <c r="Y29" i="16"/>
  <c r="Z29" i="16"/>
  <c r="AA29" i="16" s="1"/>
  <c r="AB29" i="16" s="1"/>
  <c r="V30" i="16" s="1"/>
  <c r="AO35" i="13"/>
  <c r="AK35" i="13"/>
  <c r="AO37" i="18" l="1"/>
  <c r="AO42" i="17"/>
  <c r="AK42" i="17"/>
  <c r="AK37" i="18"/>
  <c r="W32" i="18"/>
  <c r="AC31" i="18"/>
  <c r="X32" i="18" s="1"/>
  <c r="AD31" i="17"/>
  <c r="Y31" i="17"/>
  <c r="Z31" i="17"/>
  <c r="AA31" i="17" s="1"/>
  <c r="AB31" i="17" s="1"/>
  <c r="V32" i="17" s="1"/>
  <c r="W30" i="16"/>
  <c r="AC29" i="16"/>
  <c r="X30" i="16" s="1"/>
  <c r="AG36" i="13"/>
  <c r="AI36" i="13"/>
  <c r="AG43" i="17" l="1"/>
  <c r="AI43" i="17"/>
  <c r="AG38" i="18"/>
  <c r="AI38" i="18"/>
  <c r="AO38" i="18" s="1"/>
  <c r="AD32" i="18"/>
  <c r="Y32" i="18"/>
  <c r="Z32" i="18"/>
  <c r="AA32" i="18" s="1"/>
  <c r="AB32" i="18" s="1"/>
  <c r="V33" i="18" s="1"/>
  <c r="W32" i="17"/>
  <c r="AC31" i="17"/>
  <c r="X32" i="17" s="1"/>
  <c r="AD30" i="16"/>
  <c r="Y30" i="16"/>
  <c r="Z30" i="16"/>
  <c r="AA30" i="16" s="1"/>
  <c r="AB30" i="16" s="1"/>
  <c r="V31" i="16" s="1"/>
  <c r="AO36" i="13"/>
  <c r="AK36" i="13"/>
  <c r="AO43" i="17" l="1"/>
  <c r="AK43" i="17"/>
  <c r="AK38" i="18"/>
  <c r="W33" i="18"/>
  <c r="AC32" i="18"/>
  <c r="X33" i="18" s="1"/>
  <c r="AD32" i="17"/>
  <c r="Y32" i="17"/>
  <c r="Z32" i="17"/>
  <c r="AA32" i="17" s="1"/>
  <c r="AB32" i="17" s="1"/>
  <c r="V33" i="17" s="1"/>
  <c r="W31" i="16"/>
  <c r="AC30" i="16"/>
  <c r="X31" i="16" s="1"/>
  <c r="AG37" i="13"/>
  <c r="AI37" i="13"/>
  <c r="AG44" i="17" l="1"/>
  <c r="AI44" i="17"/>
  <c r="AO44" i="17" s="1"/>
  <c r="AG39" i="18"/>
  <c r="AI39" i="18"/>
  <c r="AO39" i="18" s="1"/>
  <c r="AD33" i="18"/>
  <c r="Y33" i="18"/>
  <c r="Z33" i="18"/>
  <c r="AA33" i="18" s="1"/>
  <c r="AB33" i="18" s="1"/>
  <c r="V34" i="18" s="1"/>
  <c r="W33" i="17"/>
  <c r="AC32" i="17"/>
  <c r="X33" i="17" s="1"/>
  <c r="AD31" i="16"/>
  <c r="Y31" i="16"/>
  <c r="Z31" i="16"/>
  <c r="AA31" i="16" s="1"/>
  <c r="AB31" i="16" s="1"/>
  <c r="V32" i="16" s="1"/>
  <c r="AO37" i="13"/>
  <c r="AK37" i="13"/>
  <c r="AK44" i="17" l="1"/>
  <c r="AK39" i="18"/>
  <c r="W34" i="18"/>
  <c r="AC33" i="18"/>
  <c r="X34" i="18" s="1"/>
  <c r="AD33" i="17"/>
  <c r="Y33" i="17"/>
  <c r="Z33" i="17"/>
  <c r="AA33" i="17" s="1"/>
  <c r="AB33" i="17" s="1"/>
  <c r="V34" i="17" s="1"/>
  <c r="W32" i="16"/>
  <c r="AC31" i="16"/>
  <c r="X32" i="16" s="1"/>
  <c r="AI38" i="13"/>
  <c r="AG38" i="13"/>
  <c r="AG40" i="18" l="1"/>
  <c r="AI40" i="18"/>
  <c r="AD34" i="18"/>
  <c r="Y34" i="18"/>
  <c r="Z34" i="18"/>
  <c r="W34" i="17"/>
  <c r="AC33" i="17"/>
  <c r="X34" i="17" s="1"/>
  <c r="AD32" i="16"/>
  <c r="Y32" i="16"/>
  <c r="Z32" i="16"/>
  <c r="AA32" i="16" s="1"/>
  <c r="AB32" i="16" s="1"/>
  <c r="V33" i="16" s="1"/>
  <c r="AK38" i="13"/>
  <c r="AI39" i="13" s="1"/>
  <c r="AO38" i="13"/>
  <c r="AO40" i="18" l="1"/>
  <c r="AK40" i="18"/>
  <c r="O24" i="18"/>
  <c r="O25" i="18" s="1"/>
  <c r="G19" i="18" s="1"/>
  <c r="AA34" i="18"/>
  <c r="AB34" i="18" s="1"/>
  <c r="AD34" i="17"/>
  <c r="Y34" i="17"/>
  <c r="Z34" i="17"/>
  <c r="W33" i="16"/>
  <c r="AC32" i="16"/>
  <c r="X33" i="16" s="1"/>
  <c r="AG39" i="13"/>
  <c r="AO39" i="13" s="1"/>
  <c r="AG41" i="18" l="1"/>
  <c r="AI41" i="18"/>
  <c r="AO41" i="18" s="1"/>
  <c r="AC34" i="18"/>
  <c r="G22" i="18"/>
  <c r="G20" i="18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K39" i="13"/>
  <c r="AG40" i="13" s="1"/>
  <c r="AI40" i="13"/>
  <c r="AK41" i="18" l="1"/>
  <c r="G35" i="18"/>
  <c r="K8" i="18" s="1"/>
  <c r="K13" i="18" s="1"/>
  <c r="K4" i="18"/>
  <c r="AC34" i="17"/>
  <c r="G22" i="17"/>
  <c r="G20" i="17"/>
  <c r="W34" i="16"/>
  <c r="AC33" i="16"/>
  <c r="X34" i="16" s="1"/>
  <c r="AO40" i="13"/>
  <c r="AK40" i="13"/>
  <c r="AG42" i="18" l="1"/>
  <c r="AI42" i="18"/>
  <c r="K5" i="18"/>
  <c r="K17" i="18"/>
  <c r="K16" i="18"/>
  <c r="K40" i="18"/>
  <c r="K48" i="18"/>
  <c r="K32" i="18"/>
  <c r="K27" i="18"/>
  <c r="G35" i="17"/>
  <c r="K4" i="17"/>
  <c r="K8" i="17"/>
  <c r="K13" i="17" s="1"/>
  <c r="AD34" i="16"/>
  <c r="Y34" i="16"/>
  <c r="Z34" i="16"/>
  <c r="AI41" i="13"/>
  <c r="AG41" i="13"/>
  <c r="AO42" i="18" l="1"/>
  <c r="AK42" i="18"/>
  <c r="K28" i="18"/>
  <c r="AJ4" i="18"/>
  <c r="AH4" i="18"/>
  <c r="AL4" i="18"/>
  <c r="K41" i="18"/>
  <c r="K44" i="18" s="1"/>
  <c r="K33" i="18"/>
  <c r="K36" i="18" s="1"/>
  <c r="K49" i="18"/>
  <c r="K50" i="18" s="1"/>
  <c r="K48" i="17"/>
  <c r="K32" i="17"/>
  <c r="K40" i="17"/>
  <c r="K5" i="17"/>
  <c r="K17" i="17"/>
  <c r="K16" i="17"/>
  <c r="O24" i="16"/>
  <c r="O25" i="16" s="1"/>
  <c r="G19" i="16" s="1"/>
  <c r="AA34" i="16"/>
  <c r="AB34" i="16" s="1"/>
  <c r="AK41" i="13"/>
  <c r="AI42" i="13" s="1"/>
  <c r="AO41" i="13"/>
  <c r="AG43" i="18" l="1"/>
  <c r="AI43" i="18"/>
  <c r="AO43" i="18" s="1"/>
  <c r="K27" i="17"/>
  <c r="K28" i="17" s="1"/>
  <c r="K49" i="17"/>
  <c r="K50" i="17" s="1"/>
  <c r="K41" i="17"/>
  <c r="K44" i="17" s="1"/>
  <c r="K33" i="17"/>
  <c r="K36" i="17" s="1"/>
  <c r="AC34" i="16"/>
  <c r="G22" i="16"/>
  <c r="G20" i="16"/>
  <c r="AG42" i="13"/>
  <c r="AO42" i="13" s="1"/>
  <c r="AJ4" i="17" l="1"/>
  <c r="AL4" i="17"/>
  <c r="AH4" i="17"/>
  <c r="AK43" i="18"/>
  <c r="G35" i="16"/>
  <c r="K4" i="16"/>
  <c r="K8" i="16"/>
  <c r="K13" i="16" s="1"/>
  <c r="AK42" i="13"/>
  <c r="AG43" i="13" s="1"/>
  <c r="AG44" i="18" l="1"/>
  <c r="AI44" i="18"/>
  <c r="K40" i="16"/>
  <c r="K32" i="16"/>
  <c r="K48" i="16"/>
  <c r="K17" i="16"/>
  <c r="K16" i="16"/>
  <c r="K5" i="16"/>
  <c r="AI43" i="13"/>
  <c r="AK43" i="13" s="1"/>
  <c r="AG44" i="13" s="1"/>
  <c r="AO44" i="18" l="1"/>
  <c r="AK44" i="18"/>
  <c r="K33" i="16"/>
  <c r="K41" i="16"/>
  <c r="K44" i="16" s="1"/>
  <c r="K49" i="16"/>
  <c r="K50" i="16" s="1"/>
  <c r="K27" i="16"/>
  <c r="K36" i="16"/>
  <c r="AI44" i="13"/>
  <c r="AK44" i="13" s="1"/>
  <c r="AO43" i="13"/>
  <c r="K28" i="16" l="1"/>
  <c r="AJ4" i="16"/>
  <c r="AH4" i="16"/>
  <c r="AL4" i="16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O8" i="13" l="1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/>
  <c r="W10" i="13" l="1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/>
  <c r="Z26" i="13" l="1"/>
  <c r="AA26" i="13" s="1"/>
  <c r="AB26" i="13" s="1"/>
  <c r="V27" i="13" s="1"/>
  <c r="W27" i="13" s="1"/>
  <c r="AC26" i="13" l="1"/>
  <c r="X27" i="13" s="1"/>
  <c r="AD27" i="13" l="1"/>
  <c r="Z27" i="13"/>
  <c r="AA27" i="13" s="1"/>
  <c r="AB27" i="13" s="1"/>
  <c r="V28" i="13" s="1"/>
  <c r="W28" i="13" s="1"/>
  <c r="Y27" i="13"/>
  <c r="AC27" i="13" s="1"/>
  <c r="X28" i="13" s="1"/>
  <c r="Z28" i="13" s="1"/>
  <c r="AA28" i="13" s="1"/>
  <c r="AB28" i="13" s="1"/>
  <c r="V29" i="13" s="1"/>
  <c r="W29" i="13" s="1"/>
  <c r="AD28" i="13" l="1"/>
  <c r="Y28" i="13"/>
  <c r="AC28" i="13" s="1"/>
  <c r="X29" i="13" s="1"/>
  <c r="AD29" i="13" s="1"/>
  <c r="Y29" i="13"/>
  <c r="Z29" i="13"/>
  <c r="AA29" i="13" s="1"/>
  <c r="AB29" i="13" s="1"/>
  <c r="V30" i="13" s="1"/>
  <c r="W30" i="13" s="1"/>
  <c r="AC29" i="13" l="1"/>
  <c r="X30" i="13" s="1"/>
  <c r="Z30" i="13" s="1"/>
  <c r="AA30" i="13" s="1"/>
  <c r="AB30" i="13" s="1"/>
  <c r="V31" i="13" s="1"/>
  <c r="W31" i="13" s="1"/>
  <c r="Y30" i="13" l="1"/>
  <c r="AC30" i="13" s="1"/>
  <c r="X31" i="13" s="1"/>
  <c r="AD30" i="13"/>
  <c r="AD31" i="13" l="1"/>
  <c r="Y31" i="13"/>
  <c r="Z31" i="13"/>
  <c r="AA31" i="13" s="1"/>
  <c r="AB31" i="13" s="1"/>
  <c r="V32" i="13" s="1"/>
  <c r="W32" i="13" s="1"/>
  <c r="AC31" i="13" l="1"/>
  <c r="X32" i="13" s="1"/>
  <c r="AD32" i="13" s="1"/>
  <c r="Z32" i="13" l="1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Y33" i="13" l="1"/>
  <c r="AC33" i="13" s="1"/>
  <c r="X34" i="13" s="1"/>
  <c r="Z34" i="13" s="1"/>
  <c r="AD33" i="13"/>
  <c r="W34" i="13"/>
  <c r="O24" i="13" l="1"/>
  <c r="O25" i="13" s="1"/>
  <c r="G19" i="13" s="1"/>
  <c r="AA34" i="13"/>
  <c r="AB34" i="13" s="1"/>
  <c r="AD34" i="13"/>
  <c r="Y34" i="13"/>
  <c r="AC34" i="13" l="1"/>
  <c r="G20" i="13"/>
  <c r="G22" i="13"/>
  <c r="G35" i="13" l="1"/>
  <c r="K4" i="13" s="1"/>
  <c r="K5" i="13" s="1"/>
  <c r="K8" i="13" l="1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<sst xmlns="http://schemas.openxmlformats.org/spreadsheetml/2006/main" count="1076" uniqueCount="160">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</sst>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multirotor_ref!$K$39:$K$43</c:f>
              <c:numCache>
                <c:formatCode>General</c:formatCode>
                <c:ptCount val="5"/>
                <c:pt idx="0">
                  <c:v>14.56</c:v>
                </c:pt>
                <c:pt idx="1">
                  <c:v>51.1</c:v>
                </c:pt>
                <c:pt idx="2">
                  <c:v>23.72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2106</c:v>
                </c:pt>
                <c:pt idx="2">
                  <c:v>977.54</c:v>
                </c:pt>
                <c:pt idx="3">
                  <c:v>229.7</c:v>
                </c:pt>
                <c:pt idx="4">
                  <c:v>207.91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45.08</c:v>
                </c:pt>
                <c:pt idx="2">
                  <c:v>23.23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1341.91</c:v>
                </c:pt>
                <c:pt idx="2">
                  <c:v>691.48</c:v>
                </c:pt>
                <c:pt idx="3">
                  <c:v>197.37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19.579999999999998</c:v>
                </c:pt>
                <c:pt idx="1">
                  <c:v>42.62</c:v>
                </c:pt>
                <c:pt idx="2">
                  <c:v>26.47</c:v>
                </c:pt>
                <c:pt idx="3">
                  <c:v>6.42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1306.05</c:v>
                </c:pt>
                <c:pt idx="2">
                  <c:v>811.06</c:v>
                </c:pt>
                <c:pt idx="3">
                  <c:v>196.6</c:v>
                </c:pt>
                <c:pt idx="4">
                  <c:v>150.81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54-C54F-81DD-33605AD030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54-C54F-81DD-33605AD030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54-C54F-81DD-33605AD030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54-C54F-81DD-33605AD0302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54-C54F-81DD-33605AD030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multirotor_opt_time!$K$39:$K$43</c:f>
              <c:numCache>
                <c:formatCode>General</c:formatCode>
                <c:ptCount val="5"/>
                <c:pt idx="0">
                  <c:v>10.79</c:v>
                </c:pt>
                <c:pt idx="1">
                  <c:v>56.31</c:v>
                </c:pt>
                <c:pt idx="2">
                  <c:v>22.75</c:v>
                </c:pt>
                <c:pt idx="3">
                  <c:v>4.95</c:v>
                </c:pt>
                <c:pt idx="4">
                  <c:v>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54-C54F-81DD-33605AD030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6E-0F48-B66C-F189451234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6E-0F48-B66C-F1894512349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6E-0F48-B66C-F1894512349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6E-0F48-B66C-F1894512349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6E-0F48-B66C-F189451234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multirotor_opt_time!$K$31:$K$35</c:f>
              <c:numCache>
                <c:formatCode>General</c:formatCode>
                <c:ptCount val="5"/>
                <c:pt idx="0">
                  <c:v>600</c:v>
                </c:pt>
                <c:pt idx="1">
                  <c:v>3130.57</c:v>
                </c:pt>
                <c:pt idx="2">
                  <c:v>1264.6400000000001</c:v>
                </c:pt>
                <c:pt idx="3">
                  <c:v>275.17</c:v>
                </c:pt>
                <c:pt idx="4">
                  <c:v>288.75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6E-0F48-B66C-F189451234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57518-282F-5D4E-887B-1110506BB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E6E0D-D8FE-3044-84E3-EBBC256B0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workbookViewId="0">
      <selection activeCell="D7" sqref="D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864.65478830902669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2.9093317191606963E-2</v>
      </c>
      <c r="X4" s="3">
        <v>1</v>
      </c>
      <c r="Y4" s="2">
        <f t="shared" ref="Y4:Y34" si="1" xml:space="preserve"> $O$20 * TAN($O$17/180*PI()) + $O$21 / (2 * SQRT($O$20^2 + X4^2)) - X4</f>
        <v>-0.97553556355802817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-0.47390419187939531</v>
      </c>
      <c r="AB4" s="2">
        <f>W4*AA4</f>
        <v>-1.3787444972779417E-2</v>
      </c>
      <c r="AC4" s="2">
        <f>Y4*AA4</f>
        <v>0.4623103928975778</v>
      </c>
      <c r="AD4" s="2">
        <f>X4-V4</f>
        <v>1</v>
      </c>
      <c r="AF4" s="2">
        <v>0</v>
      </c>
      <c r="AG4" s="2"/>
      <c r="AH4" s="2">
        <f>K27</f>
        <v>-7.2038954540403211E-3</v>
      </c>
      <c r="AI4" s="2"/>
      <c r="AJ4" s="2">
        <f>K27</f>
        <v>-7.2038954540403211E-3</v>
      </c>
      <c r="AK4" s="2"/>
      <c r="AL4" s="2">
        <f>K27</f>
        <v>-7.2038954540403211E-3</v>
      </c>
      <c r="AM4" s="2"/>
      <c r="AN4" s="2"/>
      <c r="AO4" s="2"/>
    </row>
    <row r="5" spans="2:41" x14ac:dyDescent="0.2">
      <c r="B5" s="10" t="s">
        <v>37</v>
      </c>
      <c r="C5" s="10">
        <v>4121.1399736181002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216.16369707725667</v>
      </c>
      <c r="L5" s="6" t="s">
        <v>101</v>
      </c>
      <c r="N5" s="6" t="s">
        <v>114</v>
      </c>
      <c r="O5" s="6">
        <f xml:space="preserve"> $C$18 * 0.85 * ($C$5/$C$18 *2.20462/1000)^(2/3) * 0.3048^2</f>
        <v>0.54580342145897975</v>
      </c>
      <c r="P5" s="6" t="s">
        <v>115</v>
      </c>
      <c r="U5" s="2">
        <v>1</v>
      </c>
      <c r="V5" s="2">
        <f>IF(AB4&gt;0, Z4, V4)</f>
        <v>0</v>
      </c>
      <c r="W5" s="2">
        <f t="shared" si="0"/>
        <v>2.9093317191606963E-2</v>
      </c>
      <c r="X5" s="2">
        <f>IF(AC4&gt;0, Z4, X4)</f>
        <v>0.5</v>
      </c>
      <c r="Y5" s="2">
        <f t="shared" si="1"/>
        <v>-0.47390419187939531</v>
      </c>
      <c r="Z5" s="2">
        <f t="shared" ref="Z5:Z34" si="3" xml:space="preserve"> (V5 + X5)/2</f>
        <v>0.25</v>
      </c>
      <c r="AA5" s="2">
        <f t="shared" si="2"/>
        <v>-0.22224320273669629</v>
      </c>
      <c r="AB5" s="2">
        <f t="shared" ref="AB5:AB34" si="4">W5*AA5</f>
        <v>-6.4657919908973176E-3</v>
      </c>
      <c r="AC5" s="2">
        <f t="shared" ref="AC5:AC34" si="5">Y5*AA5</f>
        <v>0.10532198539362267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-1811.1257419457706</v>
      </c>
      <c r="AI5" s="3">
        <v>10000</v>
      </c>
      <c r="AJ5" s="2">
        <f t="dataTable" ref="AJ5:AJ44" dt2D="0" dtr="0" r1="C5"/>
        <v>1594.7116670535379</v>
      </c>
      <c r="AK5" s="2">
        <f>(AG5+AI5)/2</f>
        <v>5250</v>
      </c>
      <c r="AL5" s="2">
        <f t="dataTable" ref="AL5:AL44" dt2D="0" dtr="0" r1="C5" ca="1"/>
        <v>439.85454548231428</v>
      </c>
      <c r="AM5" s="2">
        <f>AH5*AL5</f>
        <v>-796631.89003487618</v>
      </c>
      <c r="AN5" s="2">
        <f>AJ5*AL5</f>
        <v>701441.17548717756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2.9093317191606963E-2</v>
      </c>
      <c r="X6" s="2">
        <f t="shared" ref="X6:X34" si="8">IF(AC5&gt;0, Z5, X5)</f>
        <v>0.25</v>
      </c>
      <c r="Y6" s="2">
        <f t="shared" si="1"/>
        <v>-0.22224320273669629</v>
      </c>
      <c r="Z6" s="2">
        <f t="shared" si="3"/>
        <v>0.125</v>
      </c>
      <c r="AA6" s="2">
        <f t="shared" si="2"/>
        <v>-9.6330185686011566E-2</v>
      </c>
      <c r="AB6" s="2">
        <f t="shared" si="4"/>
        <v>-2.8025646472895314E-3</v>
      </c>
      <c r="AC6" s="2">
        <f t="shared" si="5"/>
        <v>2.1408728987079868E-2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-1811.1257419457706</v>
      </c>
      <c r="AI6" s="2">
        <f>IF(AN5&gt;0, AK5, AI5)</f>
        <v>5250</v>
      </c>
      <c r="AJ6" s="2">
        <v>439.85454548231428</v>
      </c>
      <c r="AK6" s="2">
        <f t="shared" ref="AK6:AK43" si="9">(AG6+AI6)/2</f>
        <v>2875</v>
      </c>
      <c r="AL6" s="2">
        <v>-560.20323876921202</v>
      </c>
      <c r="AM6" s="2">
        <f t="shared" ref="AM6:AM44" si="10">AH6*AL6</f>
        <v>1014598.5064563128</v>
      </c>
      <c r="AN6" s="2">
        <f t="shared" ref="AN6:AN44" si="11">AJ6*AL6</f>
        <v>-246407.94096655212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450</v>
      </c>
      <c r="D7" s="6" t="s">
        <v>125</v>
      </c>
      <c r="F7" t="s">
        <v>121</v>
      </c>
      <c r="G7" s="8">
        <f>$C$6*2*PI()/60*$C$9</f>
        <v>176.19056910980711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1.1760800447940758</v>
      </c>
      <c r="P7" s="6" t="s">
        <v>115</v>
      </c>
      <c r="U7" s="2">
        <v>3</v>
      </c>
      <c r="V7" s="2">
        <f t="shared" si="7"/>
        <v>0</v>
      </c>
      <c r="W7" s="2">
        <f t="shared" si="0"/>
        <v>2.9093317191606963E-2</v>
      </c>
      <c r="X7" s="2">
        <f t="shared" si="8"/>
        <v>0.125</v>
      </c>
      <c r="Y7" s="2">
        <f t="shared" si="1"/>
        <v>-9.6330185686011566E-2</v>
      </c>
      <c r="Z7" s="2">
        <f t="shared" si="3"/>
        <v>6.25E-2</v>
      </c>
      <c r="AA7" s="2">
        <f t="shared" si="2"/>
        <v>-3.3520414465698735E-2</v>
      </c>
      <c r="AB7" s="2">
        <f t="shared" si="4"/>
        <v>-9.752200504447037E-4</v>
      </c>
      <c r="AC7" s="2">
        <f t="shared" si="5"/>
        <v>3.2290277497528273E-3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-560.20323876921202</v>
      </c>
      <c r="AI7" s="2">
        <f t="shared" ref="AI7:AI44" si="14">IF(AN6&gt;0, AK6, AI6)</f>
        <v>5250</v>
      </c>
      <c r="AJ7" s="2">
        <v>439.85454548231428</v>
      </c>
      <c r="AK7" s="2">
        <f t="shared" si="9"/>
        <v>4062.5</v>
      </c>
      <c r="AL7" s="2">
        <v>-24.369520845351872</v>
      </c>
      <c r="AM7" s="2">
        <f t="shared" si="10"/>
        <v>13651.884504819944</v>
      </c>
      <c r="AN7" s="2">
        <f t="shared" si="11"/>
        <v>-10719.044515054031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0.52764788361167103</v>
      </c>
      <c r="H8" s="6" t="s">
        <v>122</v>
      </c>
      <c r="J8" s="6" t="s">
        <v>96</v>
      </c>
      <c r="K8" s="6">
        <f xml:space="preserve"> $C$15 * (G12*G6 + G22*G15 + G31*G27 +G35*G34)/3600</f>
        <v>358.01916000487313</v>
      </c>
      <c r="L8" s="6" t="s">
        <v>102</v>
      </c>
      <c r="N8" s="6" t="s">
        <v>38</v>
      </c>
      <c r="O8" s="6">
        <f xml:space="preserve"> O4 *O7</f>
        <v>2666.7189105304446</v>
      </c>
      <c r="P8" s="6" t="s">
        <v>20</v>
      </c>
      <c r="U8" s="2">
        <v>4</v>
      </c>
      <c r="V8" s="2">
        <f t="shared" si="7"/>
        <v>0</v>
      </c>
      <c r="W8" s="2">
        <f t="shared" si="0"/>
        <v>2.9093317191606963E-2</v>
      </c>
      <c r="X8" s="2">
        <f t="shared" si="8"/>
        <v>6.25E-2</v>
      </c>
      <c r="Y8" s="2">
        <f t="shared" si="1"/>
        <v>-3.3520414465698735E-2</v>
      </c>
      <c r="Z8" s="2">
        <f t="shared" si="3"/>
        <v>3.125E-2</v>
      </c>
      <c r="AA8" s="2">
        <f t="shared" si="2"/>
        <v>-2.1856585746872909E-3</v>
      </c>
      <c r="AB8" s="2">
        <f t="shared" si="4"/>
        <v>-6.3588058185932934E-5</v>
      </c>
      <c r="AC8" s="2">
        <f t="shared" si="5"/>
        <v>7.3264181304026339E-5</v>
      </c>
      <c r="AD8" s="2">
        <f t="shared" si="6"/>
        <v>6.25E-2</v>
      </c>
      <c r="AF8" s="2">
        <v>4</v>
      </c>
      <c r="AG8" s="2">
        <f t="shared" si="13"/>
        <v>4062.5</v>
      </c>
      <c r="AH8" s="2">
        <v>-24.369520845351872</v>
      </c>
      <c r="AI8" s="2">
        <f t="shared" si="14"/>
        <v>5250</v>
      </c>
      <c r="AJ8" s="2">
        <v>439.85454548231428</v>
      </c>
      <c r="AK8" s="2">
        <f t="shared" si="9"/>
        <v>4656.25</v>
      </c>
      <c r="AL8" s="2">
        <v>215.45464577344046</v>
      </c>
      <c r="AM8" s="2">
        <f t="shared" si="10"/>
        <v>-5250.526481403761</v>
      </c>
      <c r="AN8" s="2">
        <f t="shared" si="11"/>
        <v>94768.705288729674</v>
      </c>
      <c r="AO8" s="2">
        <f t="shared" si="12"/>
        <v>1187.5</v>
      </c>
    </row>
    <row r="9" spans="2:41" x14ac:dyDescent="0.2">
      <c r="B9" s="6" t="s">
        <v>95</v>
      </c>
      <c r="C9" s="17">
        <v>4.2062400000000002</v>
      </c>
      <c r="D9" s="6" t="s">
        <v>8</v>
      </c>
      <c r="F9" t="s">
        <v>19</v>
      </c>
      <c r="G9" s="6">
        <f xml:space="preserve"> $C$5 * $C$44 / $C$18</f>
        <v>10098.329288517312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2666.7189105304446</v>
      </c>
      <c r="P9" s="6" t="s">
        <v>20</v>
      </c>
      <c r="U9" s="2">
        <v>5</v>
      </c>
      <c r="V9" s="2">
        <f t="shared" si="7"/>
        <v>0</v>
      </c>
      <c r="W9" s="2">
        <f t="shared" si="0"/>
        <v>2.9093317191606963E-2</v>
      </c>
      <c r="X9" s="2">
        <f t="shared" si="8"/>
        <v>3.125E-2</v>
      </c>
      <c r="Y9" s="2">
        <f t="shared" si="1"/>
        <v>-2.1856585746872909E-3</v>
      </c>
      <c r="Z9" s="2">
        <f t="shared" si="3"/>
        <v>1.5625E-2</v>
      </c>
      <c r="AA9" s="2">
        <f t="shared" si="2"/>
        <v>1.3461038416431783E-2</v>
      </c>
      <c r="AB9" s="2">
        <f t="shared" si="4"/>
        <v>3.9162626037765656E-4</v>
      </c>
      <c r="AC9" s="2">
        <f t="shared" si="5"/>
        <v>-2.9421234039069156E-5</v>
      </c>
      <c r="AD9" s="2">
        <f t="shared" si="6"/>
        <v>3.125E-2</v>
      </c>
      <c r="AF9" s="2">
        <v>5</v>
      </c>
      <c r="AG9" s="2">
        <f t="shared" si="13"/>
        <v>4062.5</v>
      </c>
      <c r="AH9" s="2">
        <v>-24.369520845351872</v>
      </c>
      <c r="AI9" s="2">
        <f t="shared" si="14"/>
        <v>4656.25</v>
      </c>
      <c r="AJ9" s="2">
        <v>215.45464577344046</v>
      </c>
      <c r="AK9" s="2">
        <f t="shared" si="9"/>
        <v>4359.375</v>
      </c>
      <c r="AL9" s="2">
        <v>97.448817689398311</v>
      </c>
      <c r="AM9" s="2">
        <f t="shared" si="10"/>
        <v>-2374.7809940366865</v>
      </c>
      <c r="AN9" s="2">
        <f t="shared" si="11"/>
        <v>20995.80049630989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144.10913138483778</v>
      </c>
      <c r="H10" s="6" t="s">
        <v>101</v>
      </c>
      <c r="N10" s="6" t="s">
        <v>113</v>
      </c>
      <c r="O10" s="6">
        <f>O7/(0.3048^2)/($C$5*2.20462/1000)^(2/3)</f>
        <v>2.9074095780076519</v>
      </c>
      <c r="U10" s="2">
        <v>6</v>
      </c>
      <c r="V10" s="2">
        <f t="shared" si="7"/>
        <v>1.5625E-2</v>
      </c>
      <c r="W10" s="2">
        <f t="shared" si="0"/>
        <v>1.3461038416431783E-2</v>
      </c>
      <c r="X10" s="2">
        <f t="shared" si="8"/>
        <v>3.125E-2</v>
      </c>
      <c r="Y10" s="2">
        <f t="shared" si="1"/>
        <v>-2.1856585746872909E-3</v>
      </c>
      <c r="Z10" s="2">
        <f t="shared" si="3"/>
        <v>2.34375E-2</v>
      </c>
      <c r="AA10" s="2">
        <f t="shared" si="2"/>
        <v>5.6394727055260746E-3</v>
      </c>
      <c r="AB10" s="2">
        <f t="shared" si="4"/>
        <v>7.5913158737504969E-5</v>
      </c>
      <c r="AC10" s="2">
        <f t="shared" si="5"/>
        <v>-1.2325961875548E-5</v>
      </c>
      <c r="AD10" s="2">
        <f t="shared" si="6"/>
        <v>1.5625E-2</v>
      </c>
      <c r="AF10" s="2">
        <v>6</v>
      </c>
      <c r="AG10" s="2">
        <f t="shared" si="13"/>
        <v>4062.5</v>
      </c>
      <c r="AH10" s="2">
        <v>-24.369520845351872</v>
      </c>
      <c r="AI10" s="2">
        <f t="shared" si="14"/>
        <v>4359.375</v>
      </c>
      <c r="AJ10" s="2">
        <v>97.448817689398311</v>
      </c>
      <c r="AK10" s="2">
        <f t="shared" si="9"/>
        <v>4210.9375</v>
      </c>
      <c r="AL10" s="2">
        <v>37.013746424936926</v>
      </c>
      <c r="AM10" s="2">
        <f t="shared" si="10"/>
        <v>-902.00726506706872</v>
      </c>
      <c r="AN10" s="2">
        <f t="shared" si="11"/>
        <v>3606.9458273652972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7.1493387233955996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2.34375E-2</v>
      </c>
      <c r="W11" s="2">
        <f t="shared" si="0"/>
        <v>5.6394727055260746E-3</v>
      </c>
      <c r="X11" s="2">
        <f t="shared" si="8"/>
        <v>3.125E-2</v>
      </c>
      <c r="Y11" s="2">
        <f t="shared" si="1"/>
        <v>-2.1856585746872909E-3</v>
      </c>
      <c r="Z11" s="2">
        <f t="shared" si="3"/>
        <v>2.734375E-2</v>
      </c>
      <c r="AA11" s="2">
        <f t="shared" si="2"/>
        <v>1.7273494056991544E-3</v>
      </c>
      <c r="AB11" s="2">
        <f t="shared" si="4"/>
        <v>9.7413398263470672E-6</v>
      </c>
      <c r="AC11" s="2">
        <f t="shared" si="5"/>
        <v>-3.7753960400473529E-6</v>
      </c>
      <c r="AD11" s="2">
        <f t="shared" si="6"/>
        <v>7.8125E-3</v>
      </c>
      <c r="AF11" s="2">
        <v>7</v>
      </c>
      <c r="AG11" s="2">
        <f t="shared" si="13"/>
        <v>4062.5</v>
      </c>
      <c r="AH11" s="2">
        <v>-24.369520845351872</v>
      </c>
      <c r="AI11" s="2">
        <f t="shared" si="14"/>
        <v>4210.9375</v>
      </c>
      <c r="AJ11" s="2">
        <v>37.013746424936926</v>
      </c>
      <c r="AK11" s="2">
        <f t="shared" si="9"/>
        <v>4136.71875</v>
      </c>
      <c r="AL11" s="2">
        <v>6.4402910396470361</v>
      </c>
      <c r="AM11" s="2">
        <f t="shared" si="10"/>
        <v>-156.94680674081133</v>
      </c>
      <c r="AN11" s="2">
        <f t="shared" si="11"/>
        <v>238.37929944428879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576.43652553935112</v>
      </c>
      <c r="H12" s="25" t="s">
        <v>101</v>
      </c>
      <c r="J12" s="10" t="s">
        <v>79</v>
      </c>
      <c r="K12" s="6">
        <f>C5</f>
        <v>4121.1399736181002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2.734375E-2</v>
      </c>
      <c r="W12" s="2">
        <f t="shared" si="0"/>
        <v>1.7273494056991544E-3</v>
      </c>
      <c r="X12" s="2">
        <f t="shared" si="8"/>
        <v>3.125E-2</v>
      </c>
      <c r="Y12" s="2">
        <f t="shared" si="1"/>
        <v>-2.1856585746872909E-3</v>
      </c>
      <c r="Z12" s="2">
        <f t="shared" si="3"/>
        <v>2.9296875E-2</v>
      </c>
      <c r="AA12" s="2">
        <f t="shared" si="2"/>
        <v>-2.2904447479156487E-4</v>
      </c>
      <c r="AB12" s="2">
        <f t="shared" si="4"/>
        <v>-3.9563983740988454E-7</v>
      </c>
      <c r="AC12" s="2">
        <f t="shared" si="5"/>
        <v>5.0061302031293074E-7</v>
      </c>
      <c r="AD12" s="2">
        <f t="shared" si="6"/>
        <v>3.90625E-3</v>
      </c>
      <c r="AF12" s="2">
        <v>8</v>
      </c>
      <c r="AG12" s="2">
        <f t="shared" si="13"/>
        <v>4062.5</v>
      </c>
      <c r="AH12" s="2">
        <v>-24.369520845351872</v>
      </c>
      <c r="AI12" s="2">
        <f t="shared" si="14"/>
        <v>4136.71875</v>
      </c>
      <c r="AJ12" s="2">
        <v>6.4402910396470361</v>
      </c>
      <c r="AK12" s="2">
        <f t="shared" si="9"/>
        <v>4099.609375</v>
      </c>
      <c r="AL12" s="2">
        <v>-8.9351174031053233</v>
      </c>
      <c r="AM12" s="2">
        <f t="shared" si="10"/>
        <v>217.74452981064147</v>
      </c>
      <c r="AN12" s="2">
        <f t="shared" si="11"/>
        <v>-57.544756549413506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2105.9950588521947</v>
      </c>
      <c r="L13" s="6" t="s">
        <v>7</v>
      </c>
      <c r="N13" s="6" t="s">
        <v>74</v>
      </c>
      <c r="O13" s="6">
        <f xml:space="preserve"> SQRT( ($C$5*$C$50)^2 + O9^2)</f>
        <v>40477.392967711821</v>
      </c>
      <c r="P13" s="6" t="s">
        <v>20</v>
      </c>
      <c r="U13" s="2">
        <v>9</v>
      </c>
      <c r="V13" s="2">
        <f t="shared" si="7"/>
        <v>2.734375E-2</v>
      </c>
      <c r="W13" s="2">
        <f t="shared" si="0"/>
        <v>1.7273494056991544E-3</v>
      </c>
      <c r="X13" s="2">
        <f t="shared" si="8"/>
        <v>2.9296875E-2</v>
      </c>
      <c r="Y13" s="2">
        <f t="shared" si="1"/>
        <v>-2.2904447479156487E-4</v>
      </c>
      <c r="Z13" s="2">
        <f t="shared" si="3"/>
        <v>2.83203125E-2</v>
      </c>
      <c r="AA13" s="2">
        <f t="shared" si="2"/>
        <v>7.4918005475826596E-4</v>
      </c>
      <c r="AB13" s="2">
        <f t="shared" si="4"/>
        <v>1.2940957223483507E-6</v>
      </c>
      <c r="AC13" s="2">
        <f t="shared" si="5"/>
        <v>-1.7159555216642282E-7</v>
      </c>
      <c r="AD13" s="2">
        <f t="shared" si="6"/>
        <v>1.953125E-3</v>
      </c>
      <c r="AF13" s="2">
        <v>9</v>
      </c>
      <c r="AG13" s="2">
        <f t="shared" si="13"/>
        <v>4099.609375</v>
      </c>
      <c r="AH13" s="2">
        <v>-8.9351174031053233</v>
      </c>
      <c r="AI13" s="2">
        <f t="shared" si="14"/>
        <v>4136.71875</v>
      </c>
      <c r="AJ13" s="2">
        <v>6.4402910396470361</v>
      </c>
      <c r="AK13" s="2">
        <f t="shared" si="9"/>
        <v>4118.1640625</v>
      </c>
      <c r="AL13" s="2">
        <v>-1.2400041891878573</v>
      </c>
      <c r="AM13" s="2">
        <f t="shared" si="10"/>
        <v>11.079583010735929</v>
      </c>
      <c r="AN13" s="2">
        <f t="shared" si="11"/>
        <v>-7.9859878687513453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301.46018655460983</v>
      </c>
      <c r="L14" s="6" t="s">
        <v>7</v>
      </c>
      <c r="N14" s="6" t="s">
        <v>75</v>
      </c>
      <c r="O14" s="6">
        <f>$C$5*$C$50/O13</f>
        <v>0.99782744169253856</v>
      </c>
      <c r="U14" s="2">
        <v>10</v>
      </c>
      <c r="V14" s="2">
        <f t="shared" si="7"/>
        <v>2.83203125E-2</v>
      </c>
      <c r="W14" s="2">
        <f t="shared" si="0"/>
        <v>7.4918005475826596E-4</v>
      </c>
      <c r="X14" s="2">
        <f t="shared" si="8"/>
        <v>2.9296875E-2</v>
      </c>
      <c r="Y14" s="2">
        <f t="shared" si="1"/>
        <v>-2.2904447479156487E-4</v>
      </c>
      <c r="Z14" s="2">
        <f t="shared" si="3"/>
        <v>2.880859375E-2</v>
      </c>
      <c r="AA14" s="2">
        <f t="shared" si="2"/>
        <v>2.6007467972718329E-4</v>
      </c>
      <c r="AB14" s="2">
        <f t="shared" si="4"/>
        <v>1.9484276279924965E-7</v>
      </c>
      <c r="AC14" s="2">
        <f t="shared" si="5"/>
        <v>-5.9568668424697141E-8</v>
      </c>
      <c r="AD14" s="2">
        <f t="shared" si="6"/>
        <v>9.765625E-4</v>
      </c>
      <c r="AF14" s="2">
        <v>10</v>
      </c>
      <c r="AG14" s="2">
        <f t="shared" si="13"/>
        <v>4118.1640625</v>
      </c>
      <c r="AH14" s="2">
        <v>-1.2400041891878573</v>
      </c>
      <c r="AI14" s="2">
        <f t="shared" si="14"/>
        <v>4136.71875</v>
      </c>
      <c r="AJ14" s="2">
        <v>6.4402910396470361</v>
      </c>
      <c r="AK14" s="2">
        <f t="shared" si="9"/>
        <v>4127.44140625</v>
      </c>
      <c r="AL14" s="2">
        <v>2.6019916433092476</v>
      </c>
      <c r="AM14" s="2">
        <f t="shared" si="10"/>
        <v>-3.2264805379352639</v>
      </c>
      <c r="AN14" s="2">
        <f t="shared" si="11"/>
        <v>16.757583465641012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448.71297669795467</v>
      </c>
      <c r="L15" s="6" t="s">
        <v>7</v>
      </c>
      <c r="U15" s="2">
        <v>11</v>
      </c>
      <c r="V15" s="2">
        <f t="shared" si="7"/>
        <v>2.880859375E-2</v>
      </c>
      <c r="W15" s="2">
        <f t="shared" si="0"/>
        <v>2.6007467972718329E-4</v>
      </c>
      <c r="X15" s="2">
        <f t="shared" si="8"/>
        <v>2.9296875E-2</v>
      </c>
      <c r="Y15" s="2">
        <f t="shared" si="1"/>
        <v>-2.2904447479156487E-4</v>
      </c>
      <c r="Z15" s="2">
        <f t="shared" si="3"/>
        <v>2.9052734375E-2</v>
      </c>
      <c r="AA15" s="2">
        <f t="shared" si="2"/>
        <v>1.5516823942591379E-5</v>
      </c>
      <c r="AB15" s="2">
        <f t="shared" si="4"/>
        <v>4.0355330172525422E-9</v>
      </c>
      <c r="AC15" s="2">
        <f t="shared" si="5"/>
        <v>-3.5540427903640212E-9</v>
      </c>
      <c r="AD15" s="2">
        <f t="shared" si="6"/>
        <v>4.8828125E-4</v>
      </c>
      <c r="AF15" s="2">
        <v>11</v>
      </c>
      <c r="AG15" s="2">
        <f t="shared" si="13"/>
        <v>4118.1640625</v>
      </c>
      <c r="AH15" s="2">
        <v>-1.2400041891878573</v>
      </c>
      <c r="AI15" s="2">
        <f t="shared" si="14"/>
        <v>4127.44140625</v>
      </c>
      <c r="AJ15" s="2">
        <v>2.6019916433092476</v>
      </c>
      <c r="AK15" s="2">
        <f t="shared" si="9"/>
        <v>4122.802734375</v>
      </c>
      <c r="AL15" s="2">
        <v>0.68146731057731813</v>
      </c>
      <c r="AM15" s="2">
        <f t="shared" si="10"/>
        <v>-0.84502231991045706</v>
      </c>
      <c r="AN15" s="2">
        <f t="shared" si="11"/>
        <v>1.7731722473106095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198.21439024853296</v>
      </c>
      <c r="H16" s="6" t="s">
        <v>10</v>
      </c>
      <c r="J16" s="13" t="s">
        <v>53</v>
      </c>
      <c r="K16" s="6">
        <f xml:space="preserve"> $C$54 * 0.2138 * K4</f>
        <v>147.89055499237591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2.9052734375E-2</v>
      </c>
      <c r="W16" s="2">
        <f t="shared" si="0"/>
        <v>1.5516823942591379E-5</v>
      </c>
      <c r="X16" s="2">
        <f t="shared" si="8"/>
        <v>2.9296875E-2</v>
      </c>
      <c r="Y16" s="2">
        <f t="shared" si="1"/>
        <v>-2.2904447479156487E-4</v>
      </c>
      <c r="Z16" s="2">
        <f t="shared" si="3"/>
        <v>2.91748046875E-2</v>
      </c>
      <c r="AA16" s="2">
        <f t="shared" si="2"/>
        <v>-1.0676339517677255E-4</v>
      </c>
      <c r="AB16" s="2">
        <f t="shared" si="4"/>
        <v>-1.6566288064712892E-9</v>
      </c>
      <c r="AC16" s="2">
        <f t="shared" si="5"/>
        <v>2.445356577522816E-8</v>
      </c>
      <c r="AD16" s="2">
        <f t="shared" si="6"/>
        <v>2.44140625E-4</v>
      </c>
      <c r="AF16" s="2">
        <v>12</v>
      </c>
      <c r="AG16" s="2">
        <f t="shared" si="13"/>
        <v>4118.1640625</v>
      </c>
      <c r="AH16" s="2">
        <v>-1.2400041891878573</v>
      </c>
      <c r="AI16" s="2">
        <f t="shared" si="14"/>
        <v>4122.802734375</v>
      </c>
      <c r="AJ16" s="2">
        <v>0.68146731057731813</v>
      </c>
      <c r="AK16" s="2">
        <f t="shared" si="9"/>
        <v>4120.4833984375</v>
      </c>
      <c r="AL16" s="2">
        <v>-0.27918277583921736</v>
      </c>
      <c r="AM16" s="2">
        <f t="shared" si="10"/>
        <v>0.346187811589724</v>
      </c>
      <c r="AN16" s="2">
        <f t="shared" si="11"/>
        <v>-0.19025393541066171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0.59573619388824506</v>
      </c>
      <c r="H17" s="6" t="s">
        <v>122</v>
      </c>
      <c r="J17" s="13" t="s">
        <v>77</v>
      </c>
      <c r="K17" s="6">
        <f xml:space="preserve"> $C$54 * 0.1149 * K4</f>
        <v>79.47906814136573</v>
      </c>
      <c r="L17" s="6" t="s">
        <v>7</v>
      </c>
      <c r="N17" s="6" t="s">
        <v>25</v>
      </c>
      <c r="O17" s="6">
        <f xml:space="preserve"> ACOS(O14)/PI()*180</f>
        <v>3.7774785728811744</v>
      </c>
      <c r="P17" s="6" t="s">
        <v>40</v>
      </c>
      <c r="U17" s="2">
        <v>13</v>
      </c>
      <c r="V17" s="2">
        <f t="shared" si="7"/>
        <v>2.9052734375E-2</v>
      </c>
      <c r="W17" s="2">
        <f t="shared" si="0"/>
        <v>1.5516823942591379E-5</v>
      </c>
      <c r="X17" s="2">
        <f t="shared" si="8"/>
        <v>2.91748046875E-2</v>
      </c>
      <c r="Y17" s="2">
        <f t="shared" si="1"/>
        <v>-1.0676339517677255E-4</v>
      </c>
      <c r="Z17" s="2">
        <f t="shared" si="3"/>
        <v>2.911376953125E-2</v>
      </c>
      <c r="AA17" s="2">
        <f t="shared" si="2"/>
        <v>-4.5623178040000989E-5</v>
      </c>
      <c r="AB17" s="2">
        <f t="shared" si="4"/>
        <v>-7.0792682134819661E-10</v>
      </c>
      <c r="AC17" s="2">
        <f t="shared" si="5"/>
        <v>4.8708853863048769E-9</v>
      </c>
      <c r="AD17" s="2">
        <f t="shared" si="6"/>
        <v>1.220703125E-4</v>
      </c>
      <c r="AF17" s="2">
        <v>13</v>
      </c>
      <c r="AG17" s="2">
        <f t="shared" si="13"/>
        <v>4120.4833984375</v>
      </c>
      <c r="AH17" s="2">
        <v>-0.27918277583921736</v>
      </c>
      <c r="AI17" s="2">
        <f t="shared" si="14"/>
        <v>4122.802734375</v>
      </c>
      <c r="AJ17" s="2">
        <v>0.68146731057731813</v>
      </c>
      <c r="AK17" s="2">
        <f t="shared" si="9"/>
        <v>4121.64306640625</v>
      </c>
      <c r="AL17" s="2">
        <v>0.20116371428184721</v>
      </c>
      <c r="AM17" s="2">
        <f t="shared" si="10"/>
        <v>-5.6161444151333319E-2</v>
      </c>
      <c r="AN17" s="2">
        <f t="shared" si="11"/>
        <v>0.13708649535739445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10119.348241927955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144.27017571275965</v>
      </c>
      <c r="L18" s="6" t="s">
        <v>7</v>
      </c>
      <c r="N18" s="6" t="s">
        <v>19</v>
      </c>
      <c r="O18" s="6">
        <f xml:space="preserve"> O13 / $C$18</f>
        <v>10119.348241927955</v>
      </c>
      <c r="P18" s="6" t="s">
        <v>20</v>
      </c>
      <c r="U18" s="2">
        <v>14</v>
      </c>
      <c r="V18" s="2">
        <f t="shared" si="7"/>
        <v>2.9052734375E-2</v>
      </c>
      <c r="W18" s="2">
        <f t="shared" si="0"/>
        <v>1.5516823942591379E-5</v>
      </c>
      <c r="X18" s="2">
        <f t="shared" si="8"/>
        <v>2.911376953125E-2</v>
      </c>
      <c r="Y18" s="2">
        <f t="shared" si="1"/>
        <v>-4.5623178040000989E-5</v>
      </c>
      <c r="Z18" s="2">
        <f t="shared" si="3"/>
        <v>2.9083251953125E-2</v>
      </c>
      <c r="AA18" s="2">
        <f t="shared" si="2"/>
        <v>-1.505315015254069E-5</v>
      </c>
      <c r="AB18" s="2">
        <f t="shared" si="4"/>
        <v>-2.3357708069836647E-10</v>
      </c>
      <c r="AC18" s="2">
        <f t="shared" si="5"/>
        <v>6.8677254947223197E-10</v>
      </c>
      <c r="AD18" s="2">
        <f t="shared" si="6"/>
        <v>6.103515625E-5</v>
      </c>
      <c r="AF18" s="2">
        <v>14</v>
      </c>
      <c r="AG18" s="2">
        <f t="shared" si="13"/>
        <v>4120.4833984375</v>
      </c>
      <c r="AH18" s="2">
        <v>-0.27918277583921736</v>
      </c>
      <c r="AI18" s="2">
        <f t="shared" si="14"/>
        <v>4121.64306640625</v>
      </c>
      <c r="AJ18" s="2">
        <v>0.20116371428184721</v>
      </c>
      <c r="AK18" s="2">
        <f t="shared" si="9"/>
        <v>4121.063232421875</v>
      </c>
      <c r="AL18" s="2">
        <v>-3.8976372379693203E-2</v>
      </c>
      <c r="AM18" s="2">
        <f t="shared" si="10"/>
        <v>1.0881531833105751E-2</v>
      </c>
      <c r="AN18" s="2">
        <f t="shared" si="11"/>
        <v>-7.8406318371314846E-3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105.96725954513127</v>
      </c>
      <c r="H19" s="6" t="s">
        <v>101</v>
      </c>
      <c r="J19" s="14" t="s">
        <v>61</v>
      </c>
      <c r="K19" s="6">
        <f xml:space="preserve"> $C$55 * C31 * $C$5</f>
        <v>46.156767704522728</v>
      </c>
      <c r="L19" s="6" t="s">
        <v>7</v>
      </c>
      <c r="N19" s="6" t="s">
        <v>26</v>
      </c>
      <c r="O19" s="6">
        <f>$C$7*2*PI()/60</f>
        <v>47.123889803846893</v>
      </c>
      <c r="P19" s="6" t="s">
        <v>27</v>
      </c>
      <c r="U19" s="2">
        <v>15</v>
      </c>
      <c r="V19" s="2">
        <f t="shared" si="7"/>
        <v>2.9052734375E-2</v>
      </c>
      <c r="W19" s="2">
        <f t="shared" si="0"/>
        <v>1.5516823942591379E-5</v>
      </c>
      <c r="X19" s="2">
        <f t="shared" si="8"/>
        <v>2.9083251953125E-2</v>
      </c>
      <c r="Y19" s="2">
        <f t="shared" si="1"/>
        <v>-1.505315015254069E-5</v>
      </c>
      <c r="Z19" s="2">
        <f t="shared" si="3"/>
        <v>2.90679931640625E-2</v>
      </c>
      <c r="AA19" s="2">
        <f t="shared" si="2"/>
        <v>2.3184361930272956E-7</v>
      </c>
      <c r="AB19" s="2">
        <f t="shared" si="4"/>
        <v>3.5974766229336348E-12</v>
      </c>
      <c r="AC19" s="2">
        <f t="shared" si="5"/>
        <v>-3.489976813272469E-12</v>
      </c>
      <c r="AD19" s="2">
        <f t="shared" si="6"/>
        <v>3.0517578125E-5</v>
      </c>
      <c r="AF19" s="2">
        <v>15</v>
      </c>
      <c r="AG19" s="2">
        <f t="shared" si="13"/>
        <v>4121.063232421875</v>
      </c>
      <c r="AH19" s="2">
        <v>-3.8976372379693203E-2</v>
      </c>
      <c r="AI19" s="2">
        <f t="shared" si="14"/>
        <v>4121.64306640625</v>
      </c>
      <c r="AJ19" s="2">
        <v>0.20116371428184721</v>
      </c>
      <c r="AK19" s="2">
        <f t="shared" si="9"/>
        <v>4121.3531494140625</v>
      </c>
      <c r="AL19" s="2">
        <v>8.1092695000279491E-2</v>
      </c>
      <c r="AM19" s="2">
        <f t="shared" si="10"/>
        <v>-3.1606990776037788E-3</v>
      </c>
      <c r="AN19" s="2">
        <f t="shared" si="11"/>
        <v>1.6312907727381202E-2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9.7438418772107855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0.33756538486554249</v>
      </c>
      <c r="U20" s="2">
        <v>16</v>
      </c>
      <c r="V20" s="2">
        <f t="shared" si="7"/>
        <v>2.90679931640625E-2</v>
      </c>
      <c r="W20" s="2">
        <f t="shared" si="0"/>
        <v>2.3184361930272956E-7</v>
      </c>
      <c r="X20" s="2">
        <f t="shared" si="8"/>
        <v>2.9083251953125E-2</v>
      </c>
      <c r="Y20" s="2">
        <f t="shared" si="1"/>
        <v>-1.505315015254069E-5</v>
      </c>
      <c r="Z20" s="2">
        <f t="shared" si="3"/>
        <v>2.907562255859375E-2</v>
      </c>
      <c r="AA20" s="2">
        <f t="shared" si="2"/>
        <v>-7.4106515855799915E-6</v>
      </c>
      <c r="AB20" s="2">
        <f t="shared" si="4"/>
        <v>-1.7181122849923767E-12</v>
      </c>
      <c r="AC20" s="2">
        <f t="shared" si="5"/>
        <v>1.1155365104589935E-10</v>
      </c>
      <c r="AD20" s="2">
        <f t="shared" si="6"/>
        <v>1.52587890625E-5</v>
      </c>
      <c r="AF20" s="2">
        <v>16</v>
      </c>
      <c r="AG20" s="2">
        <f t="shared" si="13"/>
        <v>4121.063232421875</v>
      </c>
      <c r="AH20" s="2">
        <v>-3.8976372379693203E-2</v>
      </c>
      <c r="AI20" s="2">
        <f t="shared" si="14"/>
        <v>4121.3531494140625</v>
      </c>
      <c r="AJ20" s="2">
        <v>8.1092695000279491E-2</v>
      </c>
      <c r="AK20" s="2">
        <f t="shared" si="9"/>
        <v>4121.2081909179688</v>
      </c>
      <c r="AL20" s="2">
        <v>2.1039382970229781E-2</v>
      </c>
      <c r="AM20" s="2">
        <f t="shared" si="10"/>
        <v>-8.2003882528665156E-4</v>
      </c>
      <c r="AN20" s="2">
        <f t="shared" si="11"/>
        <v>1.706140266198918E-3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7.4828456339980046E-2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4.5946151584892554E-3</v>
      </c>
      <c r="U21" s="2">
        <v>17</v>
      </c>
      <c r="V21" s="2">
        <f t="shared" si="7"/>
        <v>2.90679931640625E-2</v>
      </c>
      <c r="W21" s="2">
        <f t="shared" si="0"/>
        <v>2.3184361930272956E-7</v>
      </c>
      <c r="X21" s="2">
        <f t="shared" si="8"/>
        <v>2.907562255859375E-2</v>
      </c>
      <c r="Y21" s="2">
        <f t="shared" si="1"/>
        <v>-7.4106515855799915E-6</v>
      </c>
      <c r="Z21" s="2">
        <f t="shared" si="3"/>
        <v>2.9071807861328125E-2</v>
      </c>
      <c r="AA21" s="2">
        <f t="shared" si="2"/>
        <v>-3.5894035628758481E-6</v>
      </c>
      <c r="AB21" s="2">
        <f t="shared" si="4"/>
        <v>-8.321803131552492E-13</v>
      </c>
      <c r="AC21" s="2">
        <f t="shared" si="5"/>
        <v>2.6599819204512373E-11</v>
      </c>
      <c r="AD21" s="2">
        <f t="shared" si="6"/>
        <v>7.62939453125E-6</v>
      </c>
      <c r="AF21" s="2">
        <v>17</v>
      </c>
      <c r="AG21" s="2">
        <f t="shared" si="13"/>
        <v>4121.063232421875</v>
      </c>
      <c r="AH21" s="2">
        <v>-3.8976372379693203E-2</v>
      </c>
      <c r="AI21" s="2">
        <f t="shared" si="14"/>
        <v>4121.2081909179688</v>
      </c>
      <c r="AJ21" s="2">
        <v>2.1039382970229781E-2</v>
      </c>
      <c r="AK21" s="2">
        <f t="shared" si="9"/>
        <v>4121.1357116699219</v>
      </c>
      <c r="AL21" s="2">
        <v>-8.9870895649255544E-3</v>
      </c>
      <c r="AM21" s="2">
        <f t="shared" si="10"/>
        <v>3.5028414949219339E-4</v>
      </c>
      <c r="AN21" s="2">
        <f t="shared" si="11"/>
        <v>-1.8908281914422449E-4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423.86903818052508</v>
      </c>
      <c r="H22" s="25" t="s">
        <v>101</v>
      </c>
      <c r="J22" s="14" t="s">
        <v>112</v>
      </c>
      <c r="K22" s="6">
        <f>$C$55*(0.14*$G$12*1000/745.7)*0.453592</f>
        <v>39.27089125272078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2.90679931640625E-2</v>
      </c>
      <c r="W22" s="2">
        <f t="shared" si="0"/>
        <v>2.3184361930272956E-7</v>
      </c>
      <c r="X22" s="2">
        <f t="shared" si="8"/>
        <v>2.9071807861328125E-2</v>
      </c>
      <c r="Y22" s="2">
        <f t="shared" si="1"/>
        <v>-3.5894035628758481E-6</v>
      </c>
      <c r="Z22" s="2">
        <f t="shared" si="3"/>
        <v>2.9069900512695312E-2</v>
      </c>
      <c r="AA22" s="2">
        <f t="shared" si="2"/>
        <v>-1.6787798667178278E-6</v>
      </c>
      <c r="AB22" s="2">
        <f t="shared" si="4"/>
        <v>-3.8921440031241515E-13</v>
      </c>
      <c r="AC22" s="2">
        <f t="shared" si="5"/>
        <v>6.0258184348812126E-12</v>
      </c>
      <c r="AD22" s="2">
        <f t="shared" si="6"/>
        <v>3.814697265625E-6</v>
      </c>
      <c r="AF22" s="2">
        <v>18</v>
      </c>
      <c r="AG22" s="2">
        <f t="shared" si="13"/>
        <v>4121.1357116699219</v>
      </c>
      <c r="AH22" s="2">
        <v>-8.9870895649255544E-3</v>
      </c>
      <c r="AI22" s="2">
        <f t="shared" si="14"/>
        <v>4121.2081909179688</v>
      </c>
      <c r="AJ22" s="2">
        <v>2.1039382970229781E-2</v>
      </c>
      <c r="AK22" s="2">
        <f t="shared" si="9"/>
        <v>4121.1719512939453</v>
      </c>
      <c r="AL22" s="2">
        <v>6.026131412909308E-3</v>
      </c>
      <c r="AM22" s="2">
        <f t="shared" si="10"/>
        <v>-5.4157382737827329E-5</v>
      </c>
      <c r="AN22" s="2">
        <f t="shared" si="11"/>
        <v>1.2678608662513083E-4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88.357241034372066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45622.101709719616</v>
      </c>
      <c r="P23" s="6" t="s">
        <v>18</v>
      </c>
      <c r="U23" s="2">
        <v>19</v>
      </c>
      <c r="V23" s="2">
        <f t="shared" si="7"/>
        <v>2.90679931640625E-2</v>
      </c>
      <c r="W23" s="2">
        <f t="shared" si="0"/>
        <v>2.3184361930272956E-7</v>
      </c>
      <c r="X23" s="2">
        <f t="shared" si="8"/>
        <v>2.9069900512695312E-2</v>
      </c>
      <c r="Y23" s="2">
        <f t="shared" si="1"/>
        <v>-1.6787798667178278E-6</v>
      </c>
      <c r="Z23" s="2">
        <f t="shared" si="3"/>
        <v>2.9068946838378906E-2</v>
      </c>
      <c r="AA23" s="2">
        <f t="shared" si="2"/>
        <v>-7.2346809744036622E-7</v>
      </c>
      <c r="AB23" s="2">
        <f t="shared" si="4"/>
        <v>-1.6773146216063433E-13</v>
      </c>
      <c r="AC23" s="2">
        <f t="shared" si="5"/>
        <v>1.2145436761955384E-12</v>
      </c>
      <c r="AD23" s="2">
        <f t="shared" si="6"/>
        <v>1.9073486328125E-6</v>
      </c>
      <c r="AF23" s="2">
        <v>19</v>
      </c>
      <c r="AG23" s="2">
        <f t="shared" si="13"/>
        <v>4121.1357116699219</v>
      </c>
      <c r="AH23" s="2">
        <v>-8.9870895649255544E-3</v>
      </c>
      <c r="AI23" s="2">
        <f t="shared" si="14"/>
        <v>4121.1719512939453</v>
      </c>
      <c r="AJ23" s="2">
        <v>6.026131412909308E-3</v>
      </c>
      <c r="AK23" s="2">
        <f t="shared" si="9"/>
        <v>4121.1538314819336</v>
      </c>
      <c r="AL23" s="2">
        <v>-1.461948791074974E-3</v>
      </c>
      <c r="AM23" s="2">
        <f t="shared" si="10"/>
        <v>1.3138664724725428E-5</v>
      </c>
      <c r="AN23" s="2">
        <f t="shared" si="11"/>
        <v>-8.8098955339616872E-6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10.087734814665552</v>
      </c>
      <c r="L24" s="6" t="s">
        <v>7</v>
      </c>
      <c r="N24" s="6" t="s">
        <v>31</v>
      </c>
      <c r="O24" s="18">
        <f>Z34</f>
        <v>2.9068224597722292E-2</v>
      </c>
      <c r="U24" s="2">
        <v>20</v>
      </c>
      <c r="V24" s="2">
        <f t="shared" si="7"/>
        <v>2.90679931640625E-2</v>
      </c>
      <c r="W24" s="2">
        <f t="shared" si="0"/>
        <v>2.3184361930272956E-7</v>
      </c>
      <c r="X24" s="2">
        <f t="shared" si="8"/>
        <v>2.9068946838378906E-2</v>
      </c>
      <c r="Y24" s="2">
        <f t="shared" si="1"/>
        <v>-7.2346809744036622E-7</v>
      </c>
      <c r="Z24" s="2">
        <f t="shared" si="3"/>
        <v>2.9068470001220703E-2</v>
      </c>
      <c r="AA24" s="2">
        <f t="shared" si="2"/>
        <v>-2.4581223250288997E-7</v>
      </c>
      <c r="AB24" s="2">
        <f t="shared" si="4"/>
        <v>-5.6989997652354066E-14</v>
      </c>
      <c r="AC24" s="2">
        <f t="shared" si="5"/>
        <v>1.7783730817643477E-13</v>
      </c>
      <c r="AD24" s="2">
        <f t="shared" si="6"/>
        <v>9.5367431640625E-7</v>
      </c>
      <c r="AF24" s="2">
        <v>20</v>
      </c>
      <c r="AG24" s="2">
        <f t="shared" si="13"/>
        <v>4121.1538314819336</v>
      </c>
      <c r="AH24" s="2">
        <v>-1.461948791074974E-3</v>
      </c>
      <c r="AI24" s="2">
        <f t="shared" si="14"/>
        <v>4121.1719512939453</v>
      </c>
      <c r="AJ24" s="2">
        <v>6.026131412909308E-3</v>
      </c>
      <c r="AK24" s="2">
        <f t="shared" si="9"/>
        <v>4121.1628913879395</v>
      </c>
      <c r="AL24" s="2">
        <v>2.2820903745923715E-3</v>
      </c>
      <c r="AM24" s="2">
        <f t="shared" si="10"/>
        <v>-3.3362992642591523E-6</v>
      </c>
      <c r="AN24" s="2">
        <f t="shared" si="11"/>
        <v>1.375217649342906E-5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26.375295831155842</v>
      </c>
      <c r="L25" s="6" t="s">
        <v>7</v>
      </c>
      <c r="N25" s="6" t="s">
        <v>32</v>
      </c>
      <c r="O25" s="6">
        <f xml:space="preserve"> O19 * $C$9 * O24 - $C$8 * SIN(O17/180*PI())</f>
        <v>1.3439780497772089</v>
      </c>
      <c r="P25" s="6" t="s">
        <v>10</v>
      </c>
      <c r="U25" s="2">
        <v>21</v>
      </c>
      <c r="V25" s="2">
        <f t="shared" si="7"/>
        <v>2.90679931640625E-2</v>
      </c>
      <c r="W25" s="2">
        <f t="shared" si="0"/>
        <v>2.3184361930272956E-7</v>
      </c>
      <c r="X25" s="2">
        <f t="shared" si="8"/>
        <v>2.9068470001220703E-2</v>
      </c>
      <c r="Y25" s="2">
        <f t="shared" si="1"/>
        <v>-2.4581223250288997E-7</v>
      </c>
      <c r="Z25" s="2">
        <f t="shared" si="3"/>
        <v>2.9068231582641602E-2</v>
      </c>
      <c r="AA25" s="2">
        <f t="shared" si="2"/>
        <v>-6.9843049572970717E-9</v>
      </c>
      <c r="AB25" s="2">
        <f t="shared" si="4"/>
        <v>-1.6192665396137491E-15</v>
      </c>
      <c r="AC25" s="2">
        <f t="shared" si="5"/>
        <v>1.7168275940341948E-15</v>
      </c>
      <c r="AD25" s="2">
        <f t="shared" si="6"/>
        <v>4.76837158203125E-7</v>
      </c>
      <c r="AF25" s="2">
        <v>21</v>
      </c>
      <c r="AG25" s="2">
        <f t="shared" si="13"/>
        <v>4121.1538314819336</v>
      </c>
      <c r="AH25" s="2">
        <v>-1.461948791074974E-3</v>
      </c>
      <c r="AI25" s="2">
        <f t="shared" si="14"/>
        <v>4121.1628913879395</v>
      </c>
      <c r="AJ25" s="2">
        <v>2.2820903745923715E-3</v>
      </c>
      <c r="AK25" s="2">
        <f t="shared" si="9"/>
        <v>4121.1583614349365</v>
      </c>
      <c r="AL25" s="2">
        <v>4.1007055870068143E-4</v>
      </c>
      <c r="AM25" s="2">
        <f t="shared" si="10"/>
        <v>-5.9950215754790033E-7</v>
      </c>
      <c r="AN25" s="2">
        <f t="shared" si="11"/>
        <v>9.3581807491454118E-7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83.091225924856843</v>
      </c>
      <c r="L26" s="6" t="s">
        <v>7</v>
      </c>
      <c r="N26" s="6" t="s">
        <v>33</v>
      </c>
      <c r="O26" s="6">
        <f xml:space="preserve"> 1/$C$21 - O23 * SQRT( (2*$C$47*PI()*$C$9^2) / O18^3 )</f>
        <v>0.85878768726285926</v>
      </c>
      <c r="U26" s="2">
        <v>22</v>
      </c>
      <c r="V26" s="2">
        <f t="shared" si="7"/>
        <v>2.90679931640625E-2</v>
      </c>
      <c r="W26" s="2">
        <f t="shared" si="0"/>
        <v>2.3184361930272956E-7</v>
      </c>
      <c r="X26" s="2">
        <f t="shared" si="8"/>
        <v>2.9068231582641602E-2</v>
      </c>
      <c r="Y26" s="2">
        <f t="shared" si="1"/>
        <v>-6.9843049572970717E-9</v>
      </c>
      <c r="Z26" s="2">
        <f t="shared" si="3"/>
        <v>2.9068112373352051E-2</v>
      </c>
      <c r="AA26" s="2">
        <f t="shared" si="2"/>
        <v>1.1242965758384571E-7</v>
      </c>
      <c r="AB26" s="2">
        <f t="shared" si="4"/>
        <v>2.6066098731205367E-14</v>
      </c>
      <c r="AC26" s="2">
        <f t="shared" si="5"/>
        <v>-7.8524301481006593E-16</v>
      </c>
      <c r="AD26" s="2">
        <f t="shared" si="6"/>
        <v>2.384185791015625E-7</v>
      </c>
      <c r="AF26" s="2">
        <v>22</v>
      </c>
      <c r="AG26" s="2">
        <f t="shared" si="13"/>
        <v>4121.1538314819336</v>
      </c>
      <c r="AH26" s="2">
        <v>-1.461948791074974E-3</v>
      </c>
      <c r="AI26" s="2">
        <f t="shared" si="14"/>
        <v>4121.1583614349365</v>
      </c>
      <c r="AJ26" s="2">
        <v>4.1007055870068143E-4</v>
      </c>
      <c r="AK26" s="2">
        <f t="shared" si="9"/>
        <v>4121.1560964584351</v>
      </c>
      <c r="AL26" s="2">
        <v>-5.2593917598642292E-4</v>
      </c>
      <c r="AM26" s="2">
        <f t="shared" si="10"/>
        <v>7.6889614251231903E-7</v>
      </c>
      <c r="AN26" s="2">
        <f t="shared" si="11"/>
        <v>-2.1567217173932846E-7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-7.2038954540403211E-3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2.9068112373352051E-2</v>
      </c>
      <c r="W27" s="2">
        <f t="shared" si="0"/>
        <v>1.1242965758384571E-7</v>
      </c>
      <c r="X27" s="2">
        <f t="shared" si="8"/>
        <v>2.9068231582641602E-2</v>
      </c>
      <c r="Y27" s="2">
        <f t="shared" si="1"/>
        <v>-6.9843049572970717E-9</v>
      </c>
      <c r="Z27" s="2">
        <f t="shared" si="3"/>
        <v>2.9068171977996826E-2</v>
      </c>
      <c r="AA27" s="2">
        <f t="shared" si="2"/>
        <v>5.2722676415623004E-8</v>
      </c>
      <c r="AB27" s="2">
        <f t="shared" si="4"/>
        <v>5.9275924563123925E-15</v>
      </c>
      <c r="AC27" s="2">
        <f t="shared" si="5"/>
        <v>-3.6823125025160516E-16</v>
      </c>
      <c r="AD27" s="2">
        <f t="shared" si="6"/>
        <v>1.1920928955078125E-7</v>
      </c>
      <c r="AF27" s="2">
        <v>23</v>
      </c>
      <c r="AG27" s="2">
        <f t="shared" si="13"/>
        <v>4121.1560964584351</v>
      </c>
      <c r="AH27" s="2">
        <v>-5.2593917598642292E-4</v>
      </c>
      <c r="AI27" s="2">
        <f t="shared" si="14"/>
        <v>4121.1583614349365</v>
      </c>
      <c r="AJ27" s="2">
        <v>4.1007055870068143E-4</v>
      </c>
      <c r="AK27" s="2">
        <f t="shared" si="9"/>
        <v>4121.1572289466858</v>
      </c>
      <c r="AL27" s="2">
        <v>-3.9400201330863638E-5</v>
      </c>
      <c r="AM27" s="2">
        <f t="shared" si="10"/>
        <v>2.0722109421653587E-8</v>
      </c>
      <c r="AN27" s="2">
        <f t="shared" si="11"/>
        <v>-1.6156862572666584E-8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10098.329288517312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1.1500053541045991</v>
      </c>
      <c r="U28" s="2">
        <v>24</v>
      </c>
      <c r="V28" s="2">
        <f t="shared" si="7"/>
        <v>2.9068171977996826E-2</v>
      </c>
      <c r="W28" s="2">
        <f t="shared" si="0"/>
        <v>5.2722676415623004E-8</v>
      </c>
      <c r="X28" s="2">
        <f t="shared" si="8"/>
        <v>2.9068231582641602E-2</v>
      </c>
      <c r="Y28" s="2">
        <f t="shared" si="1"/>
        <v>-6.9843049572970717E-9</v>
      </c>
      <c r="Z28" s="2">
        <f t="shared" si="3"/>
        <v>2.9068201780319214E-2</v>
      </c>
      <c r="AA28" s="2">
        <f t="shared" si="2"/>
        <v>2.2869185753449095E-8</v>
      </c>
      <c r="AB28" s="2">
        <f t="shared" si="4"/>
        <v>1.2057246803678722E-15</v>
      </c>
      <c r="AC28" s="2">
        <f t="shared" si="5"/>
        <v>-1.5972536742716209E-16</v>
      </c>
      <c r="AD28" s="2">
        <f t="shared" si="6"/>
        <v>5.9604644775390625E-8</v>
      </c>
      <c r="AF28" s="2">
        <v>24</v>
      </c>
      <c r="AG28" s="2">
        <f t="shared" si="13"/>
        <v>4121.1572289466858</v>
      </c>
      <c r="AH28" s="2">
        <v>-3.9400201330863638E-5</v>
      </c>
      <c r="AI28" s="2">
        <f t="shared" si="14"/>
        <v>4121.1583614349365</v>
      </c>
      <c r="AJ28" s="2">
        <v>4.1007055870068143E-4</v>
      </c>
      <c r="AK28" s="2">
        <f t="shared" si="9"/>
        <v>4121.1577951908112</v>
      </c>
      <c r="AL28" s="2">
        <v>1.8533517823016155E-4</v>
      </c>
      <c r="AM28" s="2">
        <f t="shared" si="10"/>
        <v>-7.3022433359598603E-9</v>
      </c>
      <c r="AN28" s="2">
        <f t="shared" si="11"/>
        <v>7.600050008373272E-8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125.85291519529368</v>
      </c>
      <c r="H29" t="s">
        <v>18</v>
      </c>
      <c r="U29" s="2">
        <v>25</v>
      </c>
      <c r="V29" s="2">
        <f t="shared" si="7"/>
        <v>2.9068201780319214E-2</v>
      </c>
      <c r="W29" s="2">
        <f t="shared" si="0"/>
        <v>2.2869185753449095E-8</v>
      </c>
      <c r="X29" s="2">
        <f t="shared" si="8"/>
        <v>2.9068231582641602E-2</v>
      </c>
      <c r="Y29" s="2">
        <f t="shared" si="1"/>
        <v>-6.9843049572970717E-9</v>
      </c>
      <c r="Z29" s="2">
        <f t="shared" si="3"/>
        <v>2.9068216681480408E-2</v>
      </c>
      <c r="AA29" s="2">
        <f t="shared" si="2"/>
        <v>7.942440406749629E-9</v>
      </c>
      <c r="AB29" s="2">
        <f t="shared" si="4"/>
        <v>1.8163714499765706E-16</v>
      </c>
      <c r="AC29" s="2">
        <f t="shared" si="5"/>
        <v>-5.5472425905898003E-17</v>
      </c>
      <c r="AD29" s="2">
        <f t="shared" si="6"/>
        <v>2.9802322387695312E-8</v>
      </c>
      <c r="AF29" s="2">
        <v>25</v>
      </c>
      <c r="AG29" s="2">
        <f t="shared" si="13"/>
        <v>4121.1572289466858</v>
      </c>
      <c r="AH29" s="2">
        <v>-3.9400201330863638E-5</v>
      </c>
      <c r="AI29" s="2">
        <f t="shared" si="14"/>
        <v>4121.1577951908112</v>
      </c>
      <c r="AJ29" s="2">
        <v>1.8533517823016155E-4</v>
      </c>
      <c r="AK29" s="2">
        <f t="shared" si="9"/>
        <v>4121.1575120687485</v>
      </c>
      <c r="AL29" s="2">
        <v>5.4433363402495161E-5</v>
      </c>
      <c r="AM29" s="2">
        <f t="shared" si="10"/>
        <v>-2.1446854771743739E-9</v>
      </c>
      <c r="AN29" s="2">
        <f t="shared" si="11"/>
        <v>1.0088417107868593E-8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8.1864213618394821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2.9068216681480408E-2</v>
      </c>
      <c r="W30" s="2">
        <f t="shared" si="0"/>
        <v>7.942440406749629E-9</v>
      </c>
      <c r="X30" s="2">
        <f t="shared" si="8"/>
        <v>2.9068231582641602E-2</v>
      </c>
      <c r="Y30" s="2">
        <f t="shared" si="1"/>
        <v>-6.9843049572970717E-9</v>
      </c>
      <c r="Z30" s="2">
        <f t="shared" si="3"/>
        <v>2.9068224132061005E-2</v>
      </c>
      <c r="AA30" s="2">
        <f t="shared" si="2"/>
        <v>4.790677229915552E-10</v>
      </c>
      <c r="AB30" s="2">
        <f t="shared" si="4"/>
        <v>3.8049668406576662E-18</v>
      </c>
      <c r="AC30" s="2">
        <f t="shared" si="5"/>
        <v>-3.3459550725709394E-18</v>
      </c>
      <c r="AD30" s="2">
        <f t="shared" si="6"/>
        <v>1.4901161193847656E-8</v>
      </c>
      <c r="AF30" s="2">
        <v>26</v>
      </c>
      <c r="AG30" s="2">
        <f t="shared" si="13"/>
        <v>4121.1572289466858</v>
      </c>
      <c r="AH30" s="2">
        <v>-3.9400201330863638E-5</v>
      </c>
      <c r="AI30" s="2">
        <f t="shared" si="14"/>
        <v>4121.1575120687485</v>
      </c>
      <c r="AJ30" s="2">
        <v>5.4433363402495161E-5</v>
      </c>
      <c r="AK30" s="2">
        <f t="shared" si="9"/>
        <v>4121.1573705077171</v>
      </c>
      <c r="AL30" s="2">
        <v>7.5165817179367878E-6</v>
      </c>
      <c r="AM30" s="2">
        <f t="shared" si="10"/>
        <v>-2.9615483300659831E-10</v>
      </c>
      <c r="AN30" s="2">
        <f t="shared" si="11"/>
        <v>4.0915282419700455E-10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503.4116607811747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2.9068224132061005E-2</v>
      </c>
      <c r="W31" s="2">
        <f t="shared" si="0"/>
        <v>4.790677229915552E-10</v>
      </c>
      <c r="X31" s="2">
        <f t="shared" si="8"/>
        <v>2.9068231582641602E-2</v>
      </c>
      <c r="Y31" s="2">
        <f t="shared" si="1"/>
        <v>-6.9843049572970717E-9</v>
      </c>
      <c r="Z31" s="2">
        <f t="shared" si="3"/>
        <v>2.9068227857351303E-2</v>
      </c>
      <c r="AA31" s="2">
        <f t="shared" si="2"/>
        <v>-3.2526186154180348E-9</v>
      </c>
      <c r="AB31" s="2">
        <f t="shared" si="4"/>
        <v>-1.5582245938482629E-18</v>
      </c>
      <c r="AC31" s="2">
        <f t="shared" si="5"/>
        <v>2.2717280319860919E-17</v>
      </c>
      <c r="AD31" s="2">
        <f t="shared" si="6"/>
        <v>7.4505805969238281E-9</v>
      </c>
      <c r="AF31" s="2">
        <v>27</v>
      </c>
      <c r="AG31" s="2">
        <f t="shared" si="13"/>
        <v>4121.1572289466858</v>
      </c>
      <c r="AH31" s="2">
        <v>-3.9400201330863638E-5</v>
      </c>
      <c r="AI31" s="2">
        <f t="shared" si="14"/>
        <v>4121.1573705077171</v>
      </c>
      <c r="AJ31" s="2">
        <v>7.5165817179367878E-6</v>
      </c>
      <c r="AK31" s="2">
        <f t="shared" si="9"/>
        <v>4121.1572997272015</v>
      </c>
      <c r="AL31" s="2">
        <v>-1.59418100338371E-5</v>
      </c>
      <c r="AM31" s="2">
        <f t="shared" si="10"/>
        <v>6.2811052491156382E-10</v>
      </c>
      <c r="AN31" s="2">
        <f t="shared" si="11"/>
        <v>-1.1982791785116119E-10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2106</v>
      </c>
      <c r="L32" s="6" t="s">
        <v>7</v>
      </c>
      <c r="U32" s="2">
        <v>28</v>
      </c>
      <c r="V32" s="2">
        <f t="shared" si="7"/>
        <v>2.9068224132061005E-2</v>
      </c>
      <c r="W32" s="2">
        <f t="shared" si="0"/>
        <v>4.790677229915552E-10</v>
      </c>
      <c r="X32" s="2">
        <f t="shared" si="8"/>
        <v>2.9068227857351303E-2</v>
      </c>
      <c r="Y32" s="2">
        <f t="shared" si="1"/>
        <v>-3.2526186154180348E-9</v>
      </c>
      <c r="Z32" s="2">
        <f t="shared" si="3"/>
        <v>2.9068225994706154E-2</v>
      </c>
      <c r="AA32" s="2">
        <f t="shared" si="2"/>
        <v>-1.3867754444785163E-9</v>
      </c>
      <c r="AB32" s="2">
        <f t="shared" si="4"/>
        <v>-6.6435935448692469E-19</v>
      </c>
      <c r="AC32" s="2">
        <f t="shared" si="5"/>
        <v>4.5106516261154417E-18</v>
      </c>
      <c r="AD32" s="2">
        <f t="shared" si="6"/>
        <v>3.7252902984619141E-9</v>
      </c>
      <c r="AF32" s="2">
        <v>28</v>
      </c>
      <c r="AG32" s="2">
        <f t="shared" si="13"/>
        <v>4121.1572997272015</v>
      </c>
      <c r="AH32" s="2">
        <v>-1.59418100338371E-5</v>
      </c>
      <c r="AI32" s="2">
        <f t="shared" si="14"/>
        <v>4121.1573705077171</v>
      </c>
      <c r="AJ32" s="2">
        <v>7.5165817179367878E-6</v>
      </c>
      <c r="AK32" s="2">
        <f t="shared" si="9"/>
        <v>4121.1573351174593</v>
      </c>
      <c r="AL32" s="2">
        <v>-4.2126162043132354E-6</v>
      </c>
      <c r="AM32" s="2">
        <f t="shared" si="10"/>
        <v>6.7156727274625496E-11</v>
      </c>
      <c r="AN32" s="2">
        <f t="shared" si="11"/>
        <v>-3.1664473946025129E-11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977.54</v>
      </c>
      <c r="L33" s="6" t="s">
        <v>7</v>
      </c>
      <c r="U33" s="2">
        <v>29</v>
      </c>
      <c r="V33" s="2">
        <f t="shared" si="7"/>
        <v>2.9068224132061005E-2</v>
      </c>
      <c r="W33" s="2">
        <f t="shared" si="0"/>
        <v>4.790677229915552E-10</v>
      </c>
      <c r="X33" s="2">
        <f t="shared" si="8"/>
        <v>2.9068225994706154E-2</v>
      </c>
      <c r="Y33" s="2">
        <f t="shared" si="1"/>
        <v>-1.3867754444785163E-9</v>
      </c>
      <c r="Z33" s="2">
        <f t="shared" si="3"/>
        <v>2.9068225063383579E-2</v>
      </c>
      <c r="AA33" s="2">
        <f t="shared" si="2"/>
        <v>-4.5385386074348055E-10</v>
      </c>
      <c r="AB33" s="2">
        <f t="shared" si="4"/>
        <v>-2.1742673563730563E-19</v>
      </c>
      <c r="AC33" s="2">
        <f t="shared" si="5"/>
        <v>6.2939338946083089E-19</v>
      </c>
      <c r="AD33" s="2">
        <f t="shared" si="6"/>
        <v>1.862645149230957E-9</v>
      </c>
      <c r="AF33" s="2">
        <v>29</v>
      </c>
      <c r="AG33" s="2">
        <f t="shared" si="13"/>
        <v>4121.1573351174593</v>
      </c>
      <c r="AH33" s="2">
        <v>-4.2126162043132354E-6</v>
      </c>
      <c r="AI33" s="2">
        <f t="shared" si="14"/>
        <v>4121.1573705077171</v>
      </c>
      <c r="AJ33" s="2">
        <v>7.5165817179367878E-6</v>
      </c>
      <c r="AK33" s="2">
        <f t="shared" si="9"/>
        <v>4121.1573528125882</v>
      </c>
      <c r="AL33" s="2">
        <v>1.6519829841854516E-6</v>
      </c>
      <c r="AM33" s="2">
        <f t="shared" si="10"/>
        <v>-6.9591702884293688E-12</v>
      </c>
      <c r="AN33" s="2">
        <f t="shared" si="11"/>
        <v>1.2417265097271023E-11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229.7</v>
      </c>
      <c r="L34" s="6" t="s">
        <v>7</v>
      </c>
      <c r="U34" s="2">
        <v>30</v>
      </c>
      <c r="V34" s="2">
        <f t="shared" si="7"/>
        <v>2.9068224132061005E-2</v>
      </c>
      <c r="W34" s="2">
        <f t="shared" si="0"/>
        <v>4.790677229915552E-10</v>
      </c>
      <c r="X34" s="2">
        <f t="shared" si="8"/>
        <v>2.9068225063383579E-2</v>
      </c>
      <c r="Y34" s="2">
        <f t="shared" si="1"/>
        <v>-4.5385386074348055E-10</v>
      </c>
      <c r="Z34" s="2">
        <f t="shared" si="3"/>
        <v>2.9068224597722292E-2</v>
      </c>
      <c r="AA34" s="2">
        <f t="shared" si="2"/>
        <v>1.26069328587608E-11</v>
      </c>
      <c r="AB34" s="2">
        <f t="shared" si="4"/>
        <v>6.039574618553954E-21</v>
      </c>
      <c r="AC34" s="2">
        <f t="shared" si="5"/>
        <v>-5.7217051500824332E-21</v>
      </c>
      <c r="AD34" s="2">
        <f>X34-V34</f>
        <v>9.3132257461547852E-10</v>
      </c>
      <c r="AF34" s="2">
        <v>30</v>
      </c>
      <c r="AG34" s="2">
        <f t="shared" si="13"/>
        <v>4121.1573351174593</v>
      </c>
      <c r="AH34" s="2">
        <v>-4.2126162043132354E-6</v>
      </c>
      <c r="AI34" s="2">
        <f t="shared" si="14"/>
        <v>4121.1573528125882</v>
      </c>
      <c r="AJ34" s="2">
        <v>1.6519829841854516E-6</v>
      </c>
      <c r="AK34" s="2">
        <f t="shared" si="9"/>
        <v>4121.1573439650238</v>
      </c>
      <c r="AL34" s="2">
        <v>-1.280316155316541E-6</v>
      </c>
      <c r="AM34" s="2">
        <f t="shared" si="10"/>
        <v>5.3934805825304815E-12</v>
      </c>
      <c r="AN34" s="2">
        <f t="shared" si="11"/>
        <v>-2.1150605029606636E-12</v>
      </c>
      <c r="AO34" s="2">
        <f t="shared" si="12"/>
        <v>1.7695128917694092E-5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423.86903818052508</v>
      </c>
      <c r="H35" s="25" t="s">
        <v>101</v>
      </c>
      <c r="J35" s="15" t="s">
        <v>70</v>
      </c>
      <c r="K35" s="6">
        <f>ROUND(SUM(K23:K26),2)</f>
        <v>207.91</v>
      </c>
      <c r="L35" s="6" t="s">
        <v>7</v>
      </c>
      <c r="AF35" s="2">
        <v>31</v>
      </c>
      <c r="AG35" s="2">
        <f t="shared" si="13"/>
        <v>4121.1573439650238</v>
      </c>
      <c r="AH35" s="2">
        <v>-1.280316155316541E-6</v>
      </c>
      <c r="AI35" s="2">
        <f t="shared" si="14"/>
        <v>4121.1573528125882</v>
      </c>
      <c r="AJ35" s="2">
        <v>1.6519829841854516E-6</v>
      </c>
      <c r="AK35" s="2">
        <f t="shared" si="9"/>
        <v>4121.157348388806</v>
      </c>
      <c r="AL35" s="2">
        <v>1.858311406977009E-7</v>
      </c>
      <c r="AM35" s="2">
        <f t="shared" si="10"/>
        <v>-2.3792261159616761E-13</v>
      </c>
      <c r="AN35" s="2">
        <f t="shared" si="11"/>
        <v>3.0698988236437447E-13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4121.1499999999996</v>
      </c>
      <c r="L36" s="6" t="s">
        <v>7</v>
      </c>
      <c r="AF36" s="2">
        <v>32</v>
      </c>
      <c r="AG36" s="2">
        <f t="shared" si="13"/>
        <v>4121.1573439650238</v>
      </c>
      <c r="AH36" s="2">
        <v>-1.280316155316541E-6</v>
      </c>
      <c r="AI36" s="2">
        <f t="shared" si="14"/>
        <v>4121.157348388806</v>
      </c>
      <c r="AJ36" s="2">
        <v>1.858311406977009E-7</v>
      </c>
      <c r="AK36" s="2">
        <f t="shared" si="9"/>
        <v>4121.1573461769149</v>
      </c>
      <c r="AL36" s="2">
        <v>-5.4724296205677092E-7</v>
      </c>
      <c r="AM36" s="2">
        <f t="shared" si="10"/>
        <v>7.0064400520456066E-13</v>
      </c>
      <c r="AN36" s="2">
        <f t="shared" si="11"/>
        <v>-1.0169478387779839E-13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4121.1573461769149</v>
      </c>
      <c r="AH37" s="2">
        <v>-5.4724296205677092E-7</v>
      </c>
      <c r="AI37" s="2">
        <f t="shared" si="14"/>
        <v>4121.157348388806</v>
      </c>
      <c r="AJ37" s="2">
        <v>1.858311406977009E-7</v>
      </c>
      <c r="AK37" s="2">
        <f t="shared" si="9"/>
        <v>4121.1573472828604</v>
      </c>
      <c r="AL37" s="2">
        <v>-1.8070159057970159E-7</v>
      </c>
      <c r="AM37" s="2">
        <f t="shared" si="10"/>
        <v>9.888767367720579E-14</v>
      </c>
      <c r="AN37" s="2">
        <f t="shared" si="11"/>
        <v>-3.357998270331487E-14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4121.1573472828604</v>
      </c>
      <c r="AH38" s="2">
        <v>-1.8070159057970159E-7</v>
      </c>
      <c r="AI38" s="2">
        <f t="shared" si="14"/>
        <v>4121.157348388806</v>
      </c>
      <c r="AJ38" s="2">
        <v>1.858311406977009E-7</v>
      </c>
      <c r="AK38" s="2">
        <f t="shared" si="9"/>
        <v>4121.1573478358332</v>
      </c>
      <c r="AL38" s="2">
        <v>2.5675035431049764E-9</v>
      </c>
      <c r="AM38" s="2">
        <f t="shared" si="10"/>
        <v>-4.6395197405808866E-16</v>
      </c>
      <c r="AN38" s="2">
        <f t="shared" si="11"/>
        <v>4.7712211216058645E-16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14.56</v>
      </c>
      <c r="L39" s="6" t="s">
        <v>58</v>
      </c>
      <c r="AF39" s="2">
        <v>35</v>
      </c>
      <c r="AG39" s="2">
        <f t="shared" si="13"/>
        <v>4121.1573472828604</v>
      </c>
      <c r="AH39" s="2">
        <v>-1.8070159057970159E-7</v>
      </c>
      <c r="AI39" s="2">
        <f t="shared" si="14"/>
        <v>4121.1573478358332</v>
      </c>
      <c r="AJ39" s="2">
        <v>2.5675035431049764E-9</v>
      </c>
      <c r="AK39" s="2">
        <f t="shared" si="9"/>
        <v>4121.1573475593468</v>
      </c>
      <c r="AL39" s="2">
        <v>-8.9068635134026408E-8</v>
      </c>
      <c r="AM39" s="2">
        <f t="shared" si="10"/>
        <v>1.6094844039481664E-14</v>
      </c>
      <c r="AN39" s="2">
        <f t="shared" si="11"/>
        <v>-2.2868403628613719E-16</v>
      </c>
      <c r="AO39" s="2">
        <f t="shared" si="12"/>
        <v>5.5297277867794037E-7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51.1</v>
      </c>
      <c r="L40" s="6" t="s">
        <v>58</v>
      </c>
      <c r="AF40" s="2">
        <v>36</v>
      </c>
      <c r="AG40" s="2">
        <f t="shared" si="13"/>
        <v>4121.1573475593468</v>
      </c>
      <c r="AH40" s="2">
        <v>-8.9068635134026408E-8</v>
      </c>
      <c r="AI40" s="2">
        <f t="shared" si="14"/>
        <v>4121.1573478358332</v>
      </c>
      <c r="AJ40" s="2">
        <v>2.5675035431049764E-9</v>
      </c>
      <c r="AK40" s="2">
        <f t="shared" si="9"/>
        <v>4121.15734769759</v>
      </c>
      <c r="AL40" s="2">
        <v>-4.3251930037513375E-8</v>
      </c>
      <c r="AM40" s="2">
        <f t="shared" si="10"/>
        <v>3.852390375353716E-15</v>
      </c>
      <c r="AN40" s="2">
        <f t="shared" si="11"/>
        <v>-1.1104948361744415E-16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23.72</v>
      </c>
      <c r="L41" s="6" t="s">
        <v>58</v>
      </c>
      <c r="AF41" s="2">
        <v>37</v>
      </c>
      <c r="AG41" s="2">
        <f t="shared" si="13"/>
        <v>4121.15734769759</v>
      </c>
      <c r="AH41" s="2">
        <v>-4.3251930037513375E-8</v>
      </c>
      <c r="AI41" s="2">
        <f t="shared" si="14"/>
        <v>4121.1573478358332</v>
      </c>
      <c r="AJ41" s="2">
        <v>2.5675035431049764E-9</v>
      </c>
      <c r="AK41" s="2">
        <f t="shared" si="9"/>
        <v>4121.1573477667116</v>
      </c>
      <c r="AL41" s="2">
        <v>-2.0340394257800654E-8</v>
      </c>
      <c r="AM41" s="2">
        <f t="shared" si="10"/>
        <v>8.7976130937383267E-16</v>
      </c>
      <c r="AN41" s="2">
        <f t="shared" si="11"/>
        <v>-5.2224034325055295E-17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5.57</v>
      </c>
      <c r="L42" s="6" t="s">
        <v>58</v>
      </c>
      <c r="AF42" s="2">
        <v>38</v>
      </c>
      <c r="AG42" s="2">
        <f t="shared" si="13"/>
        <v>4121.1573477667116</v>
      </c>
      <c r="AH42" s="2">
        <v>-2.0340394257800654E-8</v>
      </c>
      <c r="AI42" s="2">
        <f t="shared" si="14"/>
        <v>4121.1573478358332</v>
      </c>
      <c r="AJ42" s="2">
        <v>2.5675035431049764E-9</v>
      </c>
      <c r="AK42" s="2">
        <f t="shared" si="9"/>
        <v>4121.1573478012724</v>
      </c>
      <c r="AL42" s="2">
        <v>-8.89076545718126E-9</v>
      </c>
      <c r="AM42" s="2">
        <f t="shared" si="10"/>
        <v>1.808416746527021E-16</v>
      </c>
      <c r="AN42" s="2">
        <f t="shared" si="11"/>
        <v>-2.2827071812228221E-17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4121.1573478012724</v>
      </c>
      <c r="AH43" s="2">
        <v>-8.89076545718126E-9</v>
      </c>
      <c r="AI43" s="2">
        <f t="shared" si="14"/>
        <v>4121.1573478358332</v>
      </c>
      <c r="AJ43" s="2">
        <v>2.5675035431049764E-9</v>
      </c>
      <c r="AK43" s="2">
        <f t="shared" si="9"/>
        <v>4121.1573478185528</v>
      </c>
      <c r="AL43" s="2">
        <v>-3.1632225727662444E-9</v>
      </c>
      <c r="AM43" s="2">
        <f t="shared" si="10"/>
        <v>2.812346998332616E-17</v>
      </c>
      <c r="AN43" s="2">
        <f t="shared" si="11"/>
        <v>-8.1215851632069716E-18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4121.1573478185528</v>
      </c>
      <c r="AH44" s="2">
        <v>-3.1632225727662444E-9</v>
      </c>
      <c r="AI44" s="2">
        <f t="shared" si="14"/>
        <v>4121.1573478358332</v>
      </c>
      <c r="AJ44" s="2">
        <v>2.5675035431049764E-9</v>
      </c>
      <c r="AK44" s="5">
        <f>(AG44+AI44)/2</f>
        <v>4121.157347827193</v>
      </c>
      <c r="AL44" s="2">
        <v>-2.9467628337442875E-10</v>
      </c>
      <c r="AM44" s="2">
        <f t="shared" si="10"/>
        <v>9.321266712288554E-19</v>
      </c>
      <c r="AN44" s="2">
        <f t="shared" si="11"/>
        <v>-7.5658240163285187E-19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4587.1361209152656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14.56</v>
      </c>
      <c r="L47" s="6" t="s">
        <v>58</v>
      </c>
      <c r="N47" s="6" t="s">
        <v>154</v>
      </c>
      <c r="O47" s="6">
        <f>0.377*O46^0.6945</f>
        <v>131.60791555824369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51.1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34.340000000000003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workbookViewId="0">
      <selection activeCell="E8" sqref="E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580.42646772418004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5.0288180336866384E-2</v>
      </c>
      <c r="X4" s="3">
        <v>1</v>
      </c>
      <c r="Y4" s="2">
        <f t="shared" ref="Y4:Y34" si="1" xml:space="preserve"> $O$20 * TAN($O$17/180*PI()) + $O$21 / (2 * SQRT($O$20^2 + X4^2)) - X4</f>
        <v>-0.95443421059020572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-0.45220868062559072</v>
      </c>
      <c r="AB4" s="2">
        <f>W4*AA4</f>
        <v>-2.274075168119612E-2</v>
      </c>
      <c r="AC4" s="2">
        <f>Y4*AA4</f>
        <v>0.43160343511492416</v>
      </c>
      <c r="AD4" s="2">
        <f>X4-V4</f>
        <v>1</v>
      </c>
      <c r="AF4" s="2">
        <v>0</v>
      </c>
      <c r="AG4" s="2"/>
      <c r="AH4" s="2">
        <f>K27</f>
        <v>-9.52461617453082E-3</v>
      </c>
      <c r="AI4" s="2"/>
      <c r="AJ4" s="2">
        <f>K27</f>
        <v>-9.52461617453082E-3</v>
      </c>
      <c r="AK4" s="2"/>
      <c r="AL4" s="2">
        <f>K27</f>
        <v>-9.52461617453082E-3</v>
      </c>
      <c r="AM4" s="2"/>
      <c r="AN4" s="2"/>
      <c r="AO4" s="2"/>
    </row>
    <row r="5" spans="2:41" x14ac:dyDescent="0.2">
      <c r="B5" s="10" t="s">
        <v>37</v>
      </c>
      <c r="C5" s="10">
        <v>2976.9289843817201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145.10661693104501</v>
      </c>
      <c r="L5" s="6" t="s">
        <v>101</v>
      </c>
      <c r="N5" s="6" t="s">
        <v>114</v>
      </c>
      <c r="O5" s="6">
        <f xml:space="preserve"> $C$18 * 0.85 * ($C$5/$C$18 *2.20462/1000)^(2/3) * 0.3048^2</f>
        <v>0.43941039480020244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5.0288180336866384E-2</v>
      </c>
      <c r="X5" s="2">
        <f>IF(AC4&gt;0, Z4, X4)</f>
        <v>0.5</v>
      </c>
      <c r="Y5" s="2">
        <f t="shared" si="1"/>
        <v>-0.45220868062559072</v>
      </c>
      <c r="Z5" s="2">
        <f t="shared" ref="Z5:Z34" si="3" xml:space="preserve"> (V5 + X5)/2</f>
        <v>0.25</v>
      </c>
      <c r="AA5" s="2">
        <f t="shared" si="2"/>
        <v>-0.20061015471047389</v>
      </c>
      <c r="AB5" s="2">
        <f t="shared" ref="AB5:AB34" si="4">W5*AA5</f>
        <v>-1.0088319637486977E-2</v>
      </c>
      <c r="AC5" s="2">
        <f t="shared" ref="AC5:AC34" si="5">Y5*AA5</f>
        <v>9.0717653381719027E-2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-1261.1497382974458</v>
      </c>
      <c r="AI5" s="3">
        <v>10000</v>
      </c>
      <c r="AJ5" s="2">
        <f t="dataTable" ref="AJ5:AJ44" dt2D="0" dtr="0" r1="C5"/>
        <v>1640.5331186606627</v>
      </c>
      <c r="AK5" s="2">
        <f>(AG5+AI5)/2</f>
        <v>5250</v>
      </c>
      <c r="AL5" s="2">
        <f t="dataTable" ref="AL5:AL44" dt2D="0" dtr="0" r1="C5" ca="1"/>
        <v>845.83580987154937</v>
      </c>
      <c r="AM5" s="2">
        <f>AH5*AL5</f>
        <v>-1066725.6102621127</v>
      </c>
      <c r="AN5" s="2">
        <f>AJ5*AL5</f>
        <v>1387621.6590434401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5.0288180336866384E-2</v>
      </c>
      <c r="X6" s="2">
        <f t="shared" ref="X6:X34" si="8">IF(AC5&gt;0, Z5, X5)</f>
        <v>0.25</v>
      </c>
      <c r="Y6" s="2">
        <f t="shared" si="1"/>
        <v>-0.20061015471047389</v>
      </c>
      <c r="Z6" s="2">
        <f t="shared" si="3"/>
        <v>0.125</v>
      </c>
      <c r="AA6" s="2">
        <f t="shared" si="2"/>
        <v>-7.4965674082808589E-2</v>
      </c>
      <c r="AB6" s="2">
        <f t="shared" si="4"/>
        <v>-3.7698873373510286E-3</v>
      </c>
      <c r="AC6" s="2">
        <f t="shared" si="5"/>
        <v>1.5038875475727194E-2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-1261.1497382974458</v>
      </c>
      <c r="AI6" s="2">
        <f>IF(AN5&gt;0, AK5, AI5)</f>
        <v>5250</v>
      </c>
      <c r="AJ6" s="2">
        <v>845.83580987154937</v>
      </c>
      <c r="AK6" s="2">
        <f t="shared" ref="AK6:AK43" si="9">(AG6+AI6)/2</f>
        <v>2875</v>
      </c>
      <c r="AL6" s="2">
        <v>-45.293977093621834</v>
      </c>
      <c r="AM6" s="2">
        <f t="shared" ref="AM6:AM44" si="10">AH6*AL6</f>
        <v>57122.487358071681</v>
      </c>
      <c r="AN6" s="2">
        <f t="shared" ref="AN6:AN44" si="11">AJ6*AL6</f>
        <v>-38311.26779728703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326.57507282561801</v>
      </c>
      <c r="D7" s="6" t="s">
        <v>125</v>
      </c>
      <c r="F7" t="s">
        <v>121</v>
      </c>
      <c r="G7" s="8">
        <f>$C$6*2*PI()/60*$C$9</f>
        <v>163.08259876973349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1.0696870181352984</v>
      </c>
      <c r="P7" s="6" t="s">
        <v>115</v>
      </c>
      <c r="U7" s="2">
        <v>3</v>
      </c>
      <c r="V7" s="2">
        <f t="shared" si="7"/>
        <v>0</v>
      </c>
      <c r="W7" s="2">
        <f t="shared" si="0"/>
        <v>5.0288180336866384E-2</v>
      </c>
      <c r="X7" s="2">
        <f t="shared" si="8"/>
        <v>0.125</v>
      </c>
      <c r="Y7" s="2">
        <f t="shared" si="1"/>
        <v>-7.4965674082808589E-2</v>
      </c>
      <c r="Z7" s="2">
        <f t="shared" si="3"/>
        <v>6.25E-2</v>
      </c>
      <c r="AA7" s="2">
        <f t="shared" si="2"/>
        <v>-1.2277458483441174E-2</v>
      </c>
      <c r="AB7" s="2">
        <f t="shared" si="4"/>
        <v>-6.1741104629367983E-4</v>
      </c>
      <c r="AC7" s="2">
        <f t="shared" si="5"/>
        <v>9.2038795123486447E-4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-45.293977093621834</v>
      </c>
      <c r="AI7" s="2">
        <f t="shared" ref="AI7:AI44" si="14">IF(AN6&gt;0, AK6, AI6)</f>
        <v>5250</v>
      </c>
      <c r="AJ7" s="2">
        <v>845.83580987154937</v>
      </c>
      <c r="AK7" s="2">
        <f t="shared" si="9"/>
        <v>4062.5</v>
      </c>
      <c r="AL7" s="2">
        <v>443.7238009801481</v>
      </c>
      <c r="AM7" s="2">
        <f t="shared" si="10"/>
        <v>-20098.015677489642</v>
      </c>
      <c r="AN7" s="2">
        <f t="shared" si="11"/>
        <v>375317.48056132573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0.48839270188810274</v>
      </c>
      <c r="H8" s="6" t="s">
        <v>122</v>
      </c>
      <c r="J8" s="6" t="s">
        <v>96</v>
      </c>
      <c r="K8" s="6">
        <f xml:space="preserve"> $C$15 * (G12*G6 + G22*G15 + G31*G27 +G35*G34)/3600</f>
        <v>228.12538666005614</v>
      </c>
      <c r="L8" s="6" t="s">
        <v>102</v>
      </c>
      <c r="N8" s="6" t="s">
        <v>38</v>
      </c>
      <c r="O8" s="6">
        <f xml:space="preserve"> O4 *O7</f>
        <v>2425.4765755419203</v>
      </c>
      <c r="P8" s="6" t="s">
        <v>20</v>
      </c>
      <c r="U8" s="2">
        <v>4</v>
      </c>
      <c r="V8" s="2">
        <f t="shared" si="7"/>
        <v>0</v>
      </c>
      <c r="W8" s="2">
        <f t="shared" si="0"/>
        <v>5.0288180336866384E-2</v>
      </c>
      <c r="X8" s="2">
        <f t="shared" si="8"/>
        <v>6.25E-2</v>
      </c>
      <c r="Y8" s="2">
        <f t="shared" si="1"/>
        <v>-1.2277458483441174E-2</v>
      </c>
      <c r="Z8" s="2">
        <f t="shared" si="3"/>
        <v>3.125E-2</v>
      </c>
      <c r="AA8" s="2">
        <f t="shared" si="2"/>
        <v>1.9021628135484858E-2</v>
      </c>
      <c r="AB8" s="2">
        <f t="shared" si="4"/>
        <v>9.5656306597807403E-4</v>
      </c>
      <c r="AC8" s="2">
        <f t="shared" si="5"/>
        <v>-2.3353724972087188E-4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-45.293977093621834</v>
      </c>
      <c r="AI8" s="2">
        <f t="shared" si="14"/>
        <v>4062.5</v>
      </c>
      <c r="AJ8" s="2">
        <v>443.7238009801481</v>
      </c>
      <c r="AK8" s="2">
        <f t="shared" si="9"/>
        <v>3468.75</v>
      </c>
      <c r="AL8" s="2">
        <v>210.10678774913731</v>
      </c>
      <c r="AM8" s="2">
        <f t="shared" si="10"/>
        <v>-9516.5720315238905</v>
      </c>
      <c r="AN8" s="2">
        <f t="shared" si="11"/>
        <v>93229.382471776422</v>
      </c>
      <c r="AO8" s="2">
        <f t="shared" si="12"/>
        <v>1187.5</v>
      </c>
    </row>
    <row r="9" spans="2:41" x14ac:dyDescent="0.2">
      <c r="B9" s="6" t="s">
        <v>95</v>
      </c>
      <c r="C9" s="17">
        <v>3.8933102589713</v>
      </c>
      <c r="D9" s="6" t="s">
        <v>8</v>
      </c>
      <c r="F9" t="s">
        <v>19</v>
      </c>
      <c r="G9" s="6">
        <f xml:space="preserve"> $C$5 * $C$44 / $C$18</f>
        <v>7294.5858052051262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2425.4765755419203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1.9021628135484858E-2</v>
      </c>
      <c r="X9" s="2">
        <f t="shared" si="8"/>
        <v>6.25E-2</v>
      </c>
      <c r="Y9" s="2">
        <f t="shared" si="1"/>
        <v>-1.2277458483441174E-2</v>
      </c>
      <c r="Z9" s="2">
        <f t="shared" si="3"/>
        <v>4.6875E-2</v>
      </c>
      <c r="AA9" s="2">
        <f t="shared" si="2"/>
        <v>3.3760722230067458E-3</v>
      </c>
      <c r="AB9" s="2">
        <f t="shared" si="4"/>
        <v>6.4218390384574033E-5</v>
      </c>
      <c r="AC9" s="2">
        <f t="shared" si="5"/>
        <v>-4.1449586555064274E-5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-45.293977093621834</v>
      </c>
      <c r="AI9" s="2">
        <f t="shared" si="14"/>
        <v>3468.75</v>
      </c>
      <c r="AJ9" s="2">
        <v>210.10678774913731</v>
      </c>
      <c r="AK9" s="2">
        <f t="shared" si="9"/>
        <v>3171.875</v>
      </c>
      <c r="AL9" s="2">
        <v>84.990542120280679</v>
      </c>
      <c r="AM9" s="2">
        <f t="shared" si="10"/>
        <v>-3849.5596679704945</v>
      </c>
      <c r="AN9" s="2">
        <f t="shared" si="11"/>
        <v>17857.089793949926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96.737744620696674</v>
      </c>
      <c r="H10" s="6" t="s">
        <v>101</v>
      </c>
      <c r="N10" s="6" t="s">
        <v>113</v>
      </c>
      <c r="O10" s="6">
        <f>O7/(0.3048^2)/($C$5*2.20462/1000)^(2/3)</f>
        <v>3.2846718472403547</v>
      </c>
      <c r="U10" s="2">
        <v>6</v>
      </c>
      <c r="V10" s="2">
        <f t="shared" si="7"/>
        <v>4.6875E-2</v>
      </c>
      <c r="W10" s="2">
        <f t="shared" si="0"/>
        <v>3.3760722230067458E-3</v>
      </c>
      <c r="X10" s="2">
        <f t="shared" si="8"/>
        <v>6.25E-2</v>
      </c>
      <c r="Y10" s="2">
        <f t="shared" si="1"/>
        <v>-1.2277458483441174E-2</v>
      </c>
      <c r="Z10" s="2">
        <f t="shared" si="3"/>
        <v>5.46875E-2</v>
      </c>
      <c r="AA10" s="2">
        <f t="shared" si="2"/>
        <v>-4.4497098597074264E-3</v>
      </c>
      <c r="AB10" s="2">
        <f t="shared" si="4"/>
        <v>-1.5022541857797485E-5</v>
      </c>
      <c r="AC10" s="2">
        <f t="shared" si="5"/>
        <v>5.4631128065916778E-5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-45.293977093621834</v>
      </c>
      <c r="AI10" s="2">
        <f t="shared" si="14"/>
        <v>3171.875</v>
      </c>
      <c r="AJ10" s="2">
        <v>84.990542120280679</v>
      </c>
      <c r="AK10" s="2">
        <f t="shared" si="9"/>
        <v>3023.4375</v>
      </c>
      <c r="AL10" s="2">
        <v>20.464427178364076</v>
      </c>
      <c r="AM10" s="2">
        <f t="shared" si="10"/>
        <v>-926.9152958509145</v>
      </c>
      <c r="AN10" s="2">
        <f t="shared" si="11"/>
        <v>1739.2827600701687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7.6932974715662779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4.6875E-2</v>
      </c>
      <c r="W11" s="2">
        <f t="shared" si="0"/>
        <v>3.3760722230067458E-3</v>
      </c>
      <c r="X11" s="2">
        <f t="shared" si="8"/>
        <v>5.46875E-2</v>
      </c>
      <c r="Y11" s="2">
        <f t="shared" si="1"/>
        <v>-4.4497098597074264E-3</v>
      </c>
      <c r="Z11" s="2">
        <f t="shared" si="3"/>
        <v>5.078125E-2</v>
      </c>
      <c r="AA11" s="2">
        <f t="shared" si="2"/>
        <v>-5.3657114717860221E-4</v>
      </c>
      <c r="AB11" s="2">
        <f t="shared" si="4"/>
        <v>-1.8115029456565434E-6</v>
      </c>
      <c r="AC11" s="2">
        <f t="shared" si="5"/>
        <v>2.387585924035151E-6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-45.293977093621834</v>
      </c>
      <c r="AI11" s="2">
        <f t="shared" si="14"/>
        <v>3023.4375</v>
      </c>
      <c r="AJ11" s="2">
        <v>20.464427178364076</v>
      </c>
      <c r="AK11" s="2">
        <f t="shared" si="9"/>
        <v>2949.21875</v>
      </c>
      <c r="AL11" s="2">
        <v>-12.2647766498294</v>
      </c>
      <c r="AM11" s="2">
        <f t="shared" si="10"/>
        <v>555.52051263576084</v>
      </c>
      <c r="AN11" s="2">
        <f t="shared" si="11"/>
        <v>-250.99162860933387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386.9509784827867</v>
      </c>
      <c r="H12" s="25" t="s">
        <v>101</v>
      </c>
      <c r="J12" s="10" t="s">
        <v>79</v>
      </c>
      <c r="K12" s="6">
        <f>C5</f>
        <v>2976.9289843817201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4.6875E-2</v>
      </c>
      <c r="W12" s="2">
        <f t="shared" si="0"/>
        <v>3.3760722230067458E-3</v>
      </c>
      <c r="X12" s="2">
        <f t="shared" si="8"/>
        <v>5.078125E-2</v>
      </c>
      <c r="Y12" s="2">
        <f t="shared" si="1"/>
        <v>-5.3657114717860221E-4</v>
      </c>
      <c r="Z12" s="2">
        <f t="shared" si="3"/>
        <v>4.8828125E-2</v>
      </c>
      <c r="AA12" s="2">
        <f t="shared" si="2"/>
        <v>1.4198126739773248E-3</v>
      </c>
      <c r="AB12" s="2">
        <f t="shared" si="4"/>
        <v>4.7933901304877793E-6</v>
      </c>
      <c r="AC12" s="2">
        <f t="shared" si="5"/>
        <v>-7.6183051525473193E-7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-12.2647766498294</v>
      </c>
      <c r="AI12" s="2">
        <f t="shared" si="14"/>
        <v>3023.4375</v>
      </c>
      <c r="AJ12" s="2">
        <v>20.464427178364076</v>
      </c>
      <c r="AK12" s="2">
        <f t="shared" si="9"/>
        <v>2986.328125</v>
      </c>
      <c r="AL12" s="2">
        <v>4.1378206229510397</v>
      </c>
      <c r="AM12" s="2">
        <f t="shared" si="10"/>
        <v>-50.749445757552458</v>
      </c>
      <c r="AN12" s="2">
        <f t="shared" si="11"/>
        <v>84.678128815514626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1341.9140391768008</v>
      </c>
      <c r="L13" s="6" t="s">
        <v>7</v>
      </c>
      <c r="N13" s="6" t="s">
        <v>74</v>
      </c>
      <c r="O13" s="6">
        <f xml:space="preserve"> SQRT( ($C$5*$C$50)^2 + O9^2)</f>
        <v>29276.198297174353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1.4198126739773248E-3</v>
      </c>
      <c r="X13" s="2">
        <f t="shared" si="8"/>
        <v>5.078125E-2</v>
      </c>
      <c r="Y13" s="2">
        <f t="shared" si="1"/>
        <v>-5.3657114717860221E-4</v>
      </c>
      <c r="Z13" s="2">
        <f t="shared" si="3"/>
        <v>4.98046875E-2</v>
      </c>
      <c r="AA13" s="2">
        <f t="shared" si="2"/>
        <v>4.4163627073893347E-4</v>
      </c>
      <c r="AB13" s="2">
        <f t="shared" si="4"/>
        <v>6.2704077448321894E-7</v>
      </c>
      <c r="AC13" s="2">
        <f t="shared" si="5"/>
        <v>-2.3696928042606929E-7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-12.2647766498294</v>
      </c>
      <c r="AI13" s="2">
        <f t="shared" si="14"/>
        <v>2986.328125</v>
      </c>
      <c r="AJ13" s="2">
        <v>4.1378206229510397</v>
      </c>
      <c r="AK13" s="2">
        <f t="shared" si="9"/>
        <v>2967.7734375</v>
      </c>
      <c r="AL13" s="2">
        <v>-4.0540513370187909</v>
      </c>
      <c r="AM13" s="2">
        <f t="shared" si="10"/>
        <v>49.722034175477731</v>
      </c>
      <c r="AN13" s="2">
        <f t="shared" si="11"/>
        <v>-16.77493722881859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216.33110705852511</v>
      </c>
      <c r="L14" s="6" t="s">
        <v>7</v>
      </c>
      <c r="N14" s="6" t="s">
        <v>75</v>
      </c>
      <c r="O14" s="6">
        <f>$C$5*$C$50/O13</f>
        <v>0.9965621892366161</v>
      </c>
      <c r="U14" s="2">
        <v>10</v>
      </c>
      <c r="V14" s="2">
        <f t="shared" si="7"/>
        <v>4.98046875E-2</v>
      </c>
      <c r="W14" s="2">
        <f t="shared" si="0"/>
        <v>4.4163627073893347E-4</v>
      </c>
      <c r="X14" s="2">
        <f t="shared" si="8"/>
        <v>5.078125E-2</v>
      </c>
      <c r="Y14" s="2">
        <f t="shared" si="1"/>
        <v>-5.3657114717860221E-4</v>
      </c>
      <c r="Z14" s="2">
        <f t="shared" si="3"/>
        <v>5.029296875E-2</v>
      </c>
      <c r="AA14" s="2">
        <f t="shared" si="2"/>
        <v>-4.746356477287883E-5</v>
      </c>
      <c r="AB14" s="2">
        <f t="shared" si="4"/>
        <v>-2.0961631742270021E-8</v>
      </c>
      <c r="AC14" s="2">
        <f t="shared" si="5"/>
        <v>2.5467579399369485E-8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-4.0540513370187909</v>
      </c>
      <c r="AI14" s="2">
        <f t="shared" si="14"/>
        <v>2986.328125</v>
      </c>
      <c r="AJ14" s="2">
        <v>4.1378206229510397</v>
      </c>
      <c r="AK14" s="2">
        <f t="shared" si="9"/>
        <v>2977.05078125</v>
      </c>
      <c r="AL14" s="2">
        <v>4.4256376820158039E-2</v>
      </c>
      <c r="AM14" s="2">
        <f t="shared" si="10"/>
        <v>-0.17941762361936914</v>
      </c>
      <c r="AN14" s="2">
        <f t="shared" si="11"/>
        <v>0.18312494870354229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322.51528022272817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4.4163627073893347E-4</v>
      </c>
      <c r="X15" s="2">
        <f t="shared" si="8"/>
        <v>5.029296875E-2</v>
      </c>
      <c r="Y15" s="2">
        <f t="shared" si="1"/>
        <v>-4.746356477287883E-5</v>
      </c>
      <c r="Z15" s="2">
        <f t="shared" si="3"/>
        <v>5.0048828125E-2</v>
      </c>
      <c r="AA15" s="2">
        <f t="shared" si="2"/>
        <v>1.9708732177063648E-4</v>
      </c>
      <c r="AB15" s="2">
        <f t="shared" si="4"/>
        <v>8.7040909796708105E-8</v>
      </c>
      <c r="AC15" s="2">
        <f t="shared" si="5"/>
        <v>-9.3544668627738174E-9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-4.0540513370187909</v>
      </c>
      <c r="AI15" s="2">
        <f t="shared" si="14"/>
        <v>2977.05078125</v>
      </c>
      <c r="AJ15" s="2">
        <v>4.4256376820158039E-2</v>
      </c>
      <c r="AK15" s="2">
        <f t="shared" si="9"/>
        <v>2972.412109375</v>
      </c>
      <c r="AL15" s="2">
        <v>-2.0043114626937495</v>
      </c>
      <c r="AM15" s="2">
        <f t="shared" si="10"/>
        <v>8.1255815651356844</v>
      </c>
      <c r="AN15" s="2">
        <f t="shared" si="11"/>
        <v>-8.8703563357936707E-2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133.14677892454188</v>
      </c>
      <c r="H16" s="6" t="s">
        <v>10</v>
      </c>
      <c r="J16" s="13" t="s">
        <v>53</v>
      </c>
      <c r="K16" s="6">
        <f xml:space="preserve"> $C$54 * 0.2138 * K4</f>
        <v>99.276143039543754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5.0048828125E-2</v>
      </c>
      <c r="W16" s="2">
        <f t="shared" si="0"/>
        <v>1.9708732177063648E-4</v>
      </c>
      <c r="X16" s="2">
        <f t="shared" si="8"/>
        <v>5.029296875E-2</v>
      </c>
      <c r="Y16" s="2">
        <f t="shared" si="1"/>
        <v>-4.746356477287883E-5</v>
      </c>
      <c r="Z16" s="2">
        <f t="shared" si="3"/>
        <v>5.01708984375E-2</v>
      </c>
      <c r="AA16" s="2">
        <f t="shared" si="2"/>
        <v>7.481212064269771E-5</v>
      </c>
      <c r="AB16" s="2">
        <f t="shared" si="4"/>
        <v>1.4744520493451039E-8</v>
      </c>
      <c r="AC16" s="2">
        <f t="shared" si="5"/>
        <v>-3.5508499339211081E-9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-2.0043114626937495</v>
      </c>
      <c r="AI16" s="2">
        <f t="shared" si="14"/>
        <v>2977.05078125</v>
      </c>
      <c r="AJ16" s="2">
        <v>4.4256376820158039E-2</v>
      </c>
      <c r="AK16" s="2">
        <f t="shared" si="9"/>
        <v>2974.7314453125</v>
      </c>
      <c r="AL16" s="2">
        <v>-0.97987566399478965</v>
      </c>
      <c r="AM16" s="2">
        <f t="shared" si="10"/>
        <v>1.9639760253594059</v>
      </c>
      <c r="AN16" s="2">
        <f t="shared" si="11"/>
        <v>-4.3365746622655972E-2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0.40017455445858202</v>
      </c>
      <c r="H17" s="6" t="s">
        <v>122</v>
      </c>
      <c r="J17" s="13" t="s">
        <v>77</v>
      </c>
      <c r="K17" s="6">
        <f xml:space="preserve"> $C$54 * 0.1149 * K4</f>
        <v>53.352800913206629</v>
      </c>
      <c r="L17" s="6" t="s">
        <v>7</v>
      </c>
      <c r="N17" s="6" t="s">
        <v>25</v>
      </c>
      <c r="O17" s="6">
        <f xml:space="preserve"> ACOS(O14)/PI()*180</f>
        <v>4.7522919249536564</v>
      </c>
      <c r="P17" s="6" t="s">
        <v>40</v>
      </c>
      <c r="U17" s="2">
        <v>13</v>
      </c>
      <c r="V17" s="2">
        <f t="shared" si="7"/>
        <v>5.01708984375E-2</v>
      </c>
      <c r="W17" s="2">
        <f t="shared" si="0"/>
        <v>7.481212064269771E-5</v>
      </c>
      <c r="X17" s="2">
        <f t="shared" si="8"/>
        <v>5.029296875E-2</v>
      </c>
      <c r="Y17" s="2">
        <f t="shared" si="1"/>
        <v>-4.746356477287883E-5</v>
      </c>
      <c r="Z17" s="2">
        <f t="shared" si="3"/>
        <v>5.023193359375E-2</v>
      </c>
      <c r="AA17" s="2">
        <f t="shared" si="2"/>
        <v>1.367433846422017E-5</v>
      </c>
      <c r="AB17" s="2">
        <f t="shared" si="4"/>
        <v>1.0230062588943212E-9</v>
      </c>
      <c r="AC17" s="2">
        <f t="shared" si="5"/>
        <v>-6.4903284942278247E-10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-0.97987566399478965</v>
      </c>
      <c r="AI17" s="2">
        <f t="shared" si="14"/>
        <v>2977.05078125</v>
      </c>
      <c r="AJ17" s="2">
        <v>4.4256376820158039E-2</v>
      </c>
      <c r="AK17" s="2">
        <f t="shared" si="9"/>
        <v>2975.89111328125</v>
      </c>
      <c r="AL17" s="2">
        <v>-0.46776479631671464</v>
      </c>
      <c r="AM17" s="2">
        <f t="shared" si="10"/>
        <v>0.45835134038422831</v>
      </c>
      <c r="AN17" s="2">
        <f t="shared" si="11"/>
        <v>-2.0701575088996997E-2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7319.0495742935882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137.66917835506354</v>
      </c>
      <c r="L18" s="6" t="s">
        <v>7</v>
      </c>
      <c r="N18" s="6" t="s">
        <v>19</v>
      </c>
      <c r="O18" s="6">
        <f xml:space="preserve"> O13 / $C$18</f>
        <v>7319.0495742935882</v>
      </c>
      <c r="P18" s="6" t="s">
        <v>20</v>
      </c>
      <c r="U18" s="2">
        <v>14</v>
      </c>
      <c r="V18" s="2">
        <f t="shared" si="7"/>
        <v>5.023193359375E-2</v>
      </c>
      <c r="W18" s="2">
        <f t="shared" si="0"/>
        <v>1.367433846422017E-5</v>
      </c>
      <c r="X18" s="2">
        <f t="shared" si="8"/>
        <v>5.029296875E-2</v>
      </c>
      <c r="Y18" s="2">
        <f t="shared" si="1"/>
        <v>-4.746356477287883E-5</v>
      </c>
      <c r="Z18" s="2">
        <f t="shared" si="3"/>
        <v>5.0262451171875E-2</v>
      </c>
      <c r="AA18" s="2">
        <f t="shared" si="2"/>
        <v>-1.6894598022836049E-5</v>
      </c>
      <c r="AB18" s="2">
        <f t="shared" si="4"/>
        <v>-2.3102245158120504E-10</v>
      </c>
      <c r="AC18" s="2">
        <f t="shared" si="5"/>
        <v>8.0187784756862942E-10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-0.46776479631671464</v>
      </c>
      <c r="AI18" s="2">
        <f t="shared" si="14"/>
        <v>2977.05078125</v>
      </c>
      <c r="AJ18" s="2">
        <v>4.4256376820158039E-2</v>
      </c>
      <c r="AK18" s="2">
        <f t="shared" si="9"/>
        <v>2976.470947265625</v>
      </c>
      <c r="AL18" s="2">
        <v>-0.21175652219835683</v>
      </c>
      <c r="AM18" s="2">
        <f t="shared" si="10"/>
        <v>9.9052246474850239E-2</v>
      </c>
      <c r="AN18" s="2">
        <f t="shared" si="11"/>
        <v>-9.3715764405366414E-3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67.048859825465854</v>
      </c>
      <c r="H19" s="6" t="s">
        <v>101</v>
      </c>
      <c r="J19" s="14" t="s">
        <v>61</v>
      </c>
      <c r="K19" s="6">
        <f xml:space="preserve"> $C$55 * C31 * $C$5</f>
        <v>33.34160462507527</v>
      </c>
      <c r="L19" s="6" t="s">
        <v>7</v>
      </c>
      <c r="N19" s="6" t="s">
        <v>26</v>
      </c>
      <c r="O19" s="6">
        <f>$C$7*2*PI()/60</f>
        <v>34.198861654483771</v>
      </c>
      <c r="P19" s="6" t="s">
        <v>27</v>
      </c>
      <c r="U19" s="2">
        <v>15</v>
      </c>
      <c r="V19" s="2">
        <f t="shared" si="7"/>
        <v>5.023193359375E-2</v>
      </c>
      <c r="W19" s="2">
        <f t="shared" si="0"/>
        <v>1.367433846422017E-5</v>
      </c>
      <c r="X19" s="2">
        <f t="shared" si="8"/>
        <v>5.0262451171875E-2</v>
      </c>
      <c r="Y19" s="2">
        <f t="shared" si="1"/>
        <v>-1.6894598022836049E-5</v>
      </c>
      <c r="Z19" s="2">
        <f t="shared" si="3"/>
        <v>5.02471923828125E-2</v>
      </c>
      <c r="AA19" s="2">
        <f t="shared" si="2"/>
        <v>-1.6101259963305359E-6</v>
      </c>
      <c r="AB19" s="2">
        <f t="shared" si="4"/>
        <v>-2.2017407843863473E-11</v>
      </c>
      <c r="AC19" s="2">
        <f t="shared" si="5"/>
        <v>2.7202431474122797E-11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-0.21175652219835683</v>
      </c>
      <c r="AI19" s="2">
        <f t="shared" si="14"/>
        <v>2977.05078125</v>
      </c>
      <c r="AJ19" s="2">
        <v>4.4256376820158039E-2</v>
      </c>
      <c r="AK19" s="2">
        <f t="shared" si="9"/>
        <v>2976.7608642578125</v>
      </c>
      <c r="AL19" s="2">
        <v>-8.3734852954421513E-2</v>
      </c>
      <c r="AM19" s="2">
        <f t="shared" si="10"/>
        <v>1.7731401248419106E-2</v>
      </c>
      <c r="AN19" s="2">
        <f t="shared" si="11"/>
        <v>-3.7058012053314019E-3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11.138140212206299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0.50189328424777335</v>
      </c>
      <c r="U20" s="2">
        <v>16</v>
      </c>
      <c r="V20" s="2">
        <f t="shared" si="7"/>
        <v>5.023193359375E-2</v>
      </c>
      <c r="W20" s="2">
        <f t="shared" si="0"/>
        <v>1.367433846422017E-5</v>
      </c>
      <c r="X20" s="2">
        <f t="shared" si="8"/>
        <v>5.02471923828125E-2</v>
      </c>
      <c r="Y20" s="2">
        <f t="shared" si="1"/>
        <v>-1.6101259963305359E-6</v>
      </c>
      <c r="Z20" s="2">
        <f t="shared" si="3"/>
        <v>5.023956298828125E-2</v>
      </c>
      <c r="AA20" s="2">
        <f t="shared" si="2"/>
        <v>6.0321071796987091E-6</v>
      </c>
      <c r="AB20" s="2">
        <f t="shared" si="4"/>
        <v>8.2485075227652704E-11</v>
      </c>
      <c r="AC20" s="2">
        <f t="shared" si="5"/>
        <v>-9.7124525826849628E-12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-8.3734852954421513E-2</v>
      </c>
      <c r="AI20" s="2">
        <f t="shared" si="14"/>
        <v>2977.05078125</v>
      </c>
      <c r="AJ20" s="2">
        <v>4.4256376820158039E-2</v>
      </c>
      <c r="AK20" s="2">
        <f t="shared" si="9"/>
        <v>2976.9058227539062</v>
      </c>
      <c r="AL20" s="2">
        <v>-1.9739946100798988E-2</v>
      </c>
      <c r="AM20" s="2">
        <f t="shared" si="10"/>
        <v>1.6529214840786096E-3</v>
      </c>
      <c r="AN20" s="2">
        <f t="shared" si="11"/>
        <v>-8.7361849304656944E-4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0.13999999999578605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8.596276786020705E-3</v>
      </c>
      <c r="U21" s="2">
        <v>17</v>
      </c>
      <c r="V21" s="2">
        <f t="shared" si="7"/>
        <v>5.023956298828125E-2</v>
      </c>
      <c r="W21" s="2">
        <f t="shared" si="0"/>
        <v>6.0321071796987091E-6</v>
      </c>
      <c r="X21" s="2">
        <f t="shared" si="8"/>
        <v>5.02471923828125E-2</v>
      </c>
      <c r="Y21" s="2">
        <f t="shared" si="1"/>
        <v>-1.6101259963305359E-6</v>
      </c>
      <c r="Z21" s="2">
        <f t="shared" si="3"/>
        <v>5.0243377685546875E-2</v>
      </c>
      <c r="AA21" s="2">
        <f t="shared" si="2"/>
        <v>2.2109908281164881E-6</v>
      </c>
      <c r="AB21" s="2">
        <f t="shared" si="4"/>
        <v>1.3336933648529462E-11</v>
      </c>
      <c r="AC21" s="2">
        <f t="shared" si="5"/>
        <v>-3.5599738099987371E-12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-1.9739946100798988E-2</v>
      </c>
      <c r="AI21" s="2">
        <f t="shared" si="14"/>
        <v>2977.05078125</v>
      </c>
      <c r="AJ21" s="2">
        <v>4.4256376820158039E-2</v>
      </c>
      <c r="AK21" s="2">
        <f t="shared" si="9"/>
        <v>2976.9783020019531</v>
      </c>
      <c r="AL21" s="2">
        <v>1.225803835404804E-2</v>
      </c>
      <c r="AM21" s="2">
        <f t="shared" si="10"/>
        <v>-2.4197301641043506E-4</v>
      </c>
      <c r="AN21" s="2">
        <f t="shared" si="11"/>
        <v>5.4249636447269991E-4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268.19543930186342</v>
      </c>
      <c r="H22" s="25" t="s">
        <v>101</v>
      </c>
      <c r="J22" s="14" t="s">
        <v>112</v>
      </c>
      <c r="K22" s="6">
        <f>$C$55*(0.14*$G$12*1000/745.7)*0.453592</f>
        <v>26.361809362987781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5.0243377685546875E-2</v>
      </c>
      <c r="W22" s="2">
        <f t="shared" si="0"/>
        <v>2.2109908281164881E-6</v>
      </c>
      <c r="X22" s="2">
        <f t="shared" si="8"/>
        <v>5.02471923828125E-2</v>
      </c>
      <c r="Y22" s="2">
        <f t="shared" si="1"/>
        <v>-1.6101259963305359E-6</v>
      </c>
      <c r="Z22" s="2">
        <f t="shared" si="3"/>
        <v>5.0245285034179688E-2</v>
      </c>
      <c r="AA22" s="2">
        <f t="shared" si="2"/>
        <v>3.004324750088827E-7</v>
      </c>
      <c r="AB22" s="2">
        <f t="shared" si="4"/>
        <v>6.6425344671297569E-13</v>
      </c>
      <c r="AC22" s="2">
        <f t="shared" si="5"/>
        <v>-4.8373413815372609E-13</v>
      </c>
      <c r="AD22" s="2">
        <f t="shared" si="6"/>
        <v>3.814697265625E-6</v>
      </c>
      <c r="AF22" s="2">
        <v>18</v>
      </c>
      <c r="AG22" s="2">
        <f t="shared" si="13"/>
        <v>2976.9058227539062</v>
      </c>
      <c r="AH22" s="2">
        <v>-1.9739946100798988E-2</v>
      </c>
      <c r="AI22" s="2">
        <f t="shared" si="14"/>
        <v>2976.9783020019531</v>
      </c>
      <c r="AJ22" s="2">
        <v>1.225803835404804E-2</v>
      </c>
      <c r="AK22" s="2">
        <f t="shared" si="9"/>
        <v>2976.9420623779297</v>
      </c>
      <c r="AL22" s="2">
        <v>-3.7500255593840848E-3</v>
      </c>
      <c r="AM22" s="2">
        <f t="shared" si="10"/>
        <v>7.4025302418860404E-5</v>
      </c>
      <c r="AN22" s="2">
        <f t="shared" si="11"/>
        <v>-4.5967957135590568E-5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63.825357425144084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16814.395477735114</v>
      </c>
      <c r="P23" s="6" t="s">
        <v>18</v>
      </c>
      <c r="U23" s="2">
        <v>19</v>
      </c>
      <c r="V23" s="2">
        <f t="shared" si="7"/>
        <v>5.0245285034179688E-2</v>
      </c>
      <c r="W23" s="2">
        <f t="shared" si="0"/>
        <v>3.004324750088827E-7</v>
      </c>
      <c r="X23" s="2">
        <f t="shared" si="8"/>
        <v>5.02471923828125E-2</v>
      </c>
      <c r="Y23" s="2">
        <f t="shared" si="1"/>
        <v>-1.6101259963305359E-6</v>
      </c>
      <c r="Z23" s="2">
        <f t="shared" si="3"/>
        <v>5.0246238708496094E-2</v>
      </c>
      <c r="AA23" s="2">
        <f t="shared" si="2"/>
        <v>-6.5484674588445202E-7</v>
      </c>
      <c r="AB23" s="2">
        <f t="shared" si="4"/>
        <v>-1.967372286175788E-13</v>
      </c>
      <c r="AC23" s="2">
        <f t="shared" si="5"/>
        <v>1.0543857691610125E-12</v>
      </c>
      <c r="AD23" s="2">
        <f t="shared" si="6"/>
        <v>1.9073486328125E-6</v>
      </c>
      <c r="AF23" s="2">
        <v>19</v>
      </c>
      <c r="AG23" s="2">
        <f t="shared" si="13"/>
        <v>2976.9420623779297</v>
      </c>
      <c r="AH23" s="2">
        <v>-3.7500255593840848E-3</v>
      </c>
      <c r="AI23" s="2">
        <f t="shared" si="14"/>
        <v>2976.9783020019531</v>
      </c>
      <c r="AJ23" s="2">
        <v>1.225803835404804E-2</v>
      </c>
      <c r="AK23" s="2">
        <f t="shared" si="9"/>
        <v>2976.9601821899414</v>
      </c>
      <c r="AL23" s="2">
        <v>4.2630227935660514E-3</v>
      </c>
      <c r="AM23" s="2">
        <f t="shared" si="10"/>
        <v>-1.5986444436109635E-5</v>
      </c>
      <c r="AN23" s="2">
        <f t="shared" si="11"/>
        <v>5.2256296907713675E-5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8.8571520582248784</v>
      </c>
      <c r="L24" s="6" t="s">
        <v>7</v>
      </c>
      <c r="N24" s="6" t="s">
        <v>31</v>
      </c>
      <c r="O24" s="18">
        <f>Z34</f>
        <v>5.0245585385710001E-2</v>
      </c>
      <c r="U24" s="2">
        <v>20</v>
      </c>
      <c r="V24" s="2">
        <f t="shared" si="7"/>
        <v>5.0245285034179688E-2</v>
      </c>
      <c r="W24" s="2">
        <f t="shared" si="0"/>
        <v>3.004324750088827E-7</v>
      </c>
      <c r="X24" s="2">
        <f t="shared" si="8"/>
        <v>5.0246238708496094E-2</v>
      </c>
      <c r="Y24" s="2">
        <f t="shared" si="1"/>
        <v>-6.5484674588445202E-7</v>
      </c>
      <c r="Z24" s="2">
        <f t="shared" si="3"/>
        <v>5.0245761871337891E-2</v>
      </c>
      <c r="AA24" s="2">
        <f t="shared" si="2"/>
        <v>-1.772071317462931E-7</v>
      </c>
      <c r="AB24" s="2">
        <f t="shared" si="4"/>
        <v>-5.323877717976399E-14</v>
      </c>
      <c r="AC24" s="2">
        <f t="shared" si="5"/>
        <v>1.1604351357157741E-13</v>
      </c>
      <c r="AD24" s="2">
        <f t="shared" si="6"/>
        <v>9.5367431640625E-7</v>
      </c>
      <c r="AF24" s="2">
        <v>20</v>
      </c>
      <c r="AG24" s="2">
        <f t="shared" si="13"/>
        <v>2976.9420623779297</v>
      </c>
      <c r="AH24" s="2">
        <v>-3.7500255593840848E-3</v>
      </c>
      <c r="AI24" s="2">
        <f t="shared" si="14"/>
        <v>2976.9601821899414</v>
      </c>
      <c r="AJ24" s="2">
        <v>4.2630227935660514E-3</v>
      </c>
      <c r="AK24" s="2">
        <f t="shared" si="9"/>
        <v>2976.9511222839355</v>
      </c>
      <c r="AL24" s="2">
        <v>2.5649583267295384E-4</v>
      </c>
      <c r="AM24" s="2">
        <f t="shared" si="10"/>
        <v>-9.6186592839908034E-7</v>
      </c>
      <c r="AN24" s="2">
        <f t="shared" si="11"/>
        <v>1.0934475811395062E-6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19.05234550004301</v>
      </c>
      <c r="L25" s="6" t="s">
        <v>7</v>
      </c>
      <c r="N25" s="6" t="s">
        <v>32</v>
      </c>
      <c r="O25" s="6">
        <f xml:space="preserve"> O19 * $C$9 * O24 - $C$8 * SIN(O17/180*PI())</f>
        <v>1.1345775535665625</v>
      </c>
      <c r="P25" s="6" t="s">
        <v>10</v>
      </c>
      <c r="U25" s="2">
        <v>21</v>
      </c>
      <c r="V25" s="2">
        <f t="shared" si="7"/>
        <v>5.0245285034179688E-2</v>
      </c>
      <c r="W25" s="2">
        <f t="shared" si="0"/>
        <v>3.004324750088827E-7</v>
      </c>
      <c r="X25" s="2">
        <f t="shared" si="8"/>
        <v>5.0245761871337891E-2</v>
      </c>
      <c r="Y25" s="2">
        <f t="shared" si="1"/>
        <v>-1.772071317462931E-7</v>
      </c>
      <c r="Z25" s="2">
        <f t="shared" si="3"/>
        <v>5.0245523452758789E-2</v>
      </c>
      <c r="AA25" s="2">
        <f t="shared" si="2"/>
        <v>6.1612672547228797E-8</v>
      </c>
      <c r="AB25" s="2">
        <f t="shared" si="4"/>
        <v>1.8510447705275788E-14</v>
      </c>
      <c r="AC25" s="2">
        <f t="shared" si="5"/>
        <v>-1.091820498131799E-14</v>
      </c>
      <c r="AD25" s="2">
        <f t="shared" si="6"/>
        <v>4.76837158203125E-7</v>
      </c>
      <c r="AF25" s="2">
        <v>21</v>
      </c>
      <c r="AG25" s="2">
        <f t="shared" si="13"/>
        <v>2976.9420623779297</v>
      </c>
      <c r="AH25" s="2">
        <v>-3.7500255593840848E-3</v>
      </c>
      <c r="AI25" s="2">
        <f t="shared" si="14"/>
        <v>2976.9511222839355</v>
      </c>
      <c r="AJ25" s="2">
        <v>2.5649583267295384E-4</v>
      </c>
      <c r="AK25" s="2">
        <f t="shared" si="9"/>
        <v>2976.9465923309326</v>
      </c>
      <c r="AL25" s="2">
        <v>-1.7377381118421908E-3</v>
      </c>
      <c r="AM25" s="2">
        <f t="shared" si="10"/>
        <v>6.5165623349240549E-6</v>
      </c>
      <c r="AN25" s="2">
        <f t="shared" si="11"/>
        <v>-4.4572258396448931E-7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54.44169126055133</v>
      </c>
      <c r="L26" s="6" t="s">
        <v>7</v>
      </c>
      <c r="N26" s="6" t="s">
        <v>33</v>
      </c>
      <c r="O26" s="6">
        <f xml:space="preserve"> 1/$C$21 - O23 * SQRT( (2*$C$47*PI()*$C$9^2) / O18^3 )</f>
        <v>1.0701516216643949</v>
      </c>
      <c r="U26" s="2">
        <v>22</v>
      </c>
      <c r="V26" s="2">
        <f t="shared" si="7"/>
        <v>5.0245523452758789E-2</v>
      </c>
      <c r="W26" s="2">
        <f t="shared" si="0"/>
        <v>6.1612672547228797E-8</v>
      </c>
      <c r="X26" s="2">
        <f t="shared" si="8"/>
        <v>5.0245761871337891E-2</v>
      </c>
      <c r="Y26" s="2">
        <f t="shared" si="1"/>
        <v>-1.772071317462931E-7</v>
      </c>
      <c r="Z26" s="2">
        <f t="shared" si="3"/>
        <v>5.024564266204834E-2</v>
      </c>
      <c r="AA26" s="2">
        <f t="shared" si="2"/>
        <v>-5.7797229363609759E-8</v>
      </c>
      <c r="AB26" s="2">
        <f t="shared" si="4"/>
        <v>-3.5610417669171652E-15</v>
      </c>
      <c r="AC26" s="2">
        <f t="shared" si="5"/>
        <v>1.0242081238407915E-14</v>
      </c>
      <c r="AD26" s="2">
        <f t="shared" si="6"/>
        <v>2.384185791015625E-7</v>
      </c>
      <c r="AF26" s="2">
        <v>22</v>
      </c>
      <c r="AG26" s="2">
        <f t="shared" si="13"/>
        <v>2976.9465923309326</v>
      </c>
      <c r="AH26" s="2">
        <v>-1.7377381118421908E-3</v>
      </c>
      <c r="AI26" s="2">
        <f t="shared" si="14"/>
        <v>2976.9511222839355</v>
      </c>
      <c r="AJ26" s="2">
        <v>2.5649583267295384E-4</v>
      </c>
      <c r="AK26" s="2">
        <f t="shared" si="9"/>
        <v>2976.9488573074341</v>
      </c>
      <c r="AL26" s="2">
        <v>-7.4964876466765418E-4</v>
      </c>
      <c r="AM26" s="2">
        <f t="shared" si="10"/>
        <v>1.3026932288584002E-6</v>
      </c>
      <c r="AN26" s="2">
        <f t="shared" si="11"/>
        <v>-1.9228178410568116E-7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-9.52461617453082E-3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5.0245523452758789E-2</v>
      </c>
      <c r="W27" s="2">
        <f t="shared" si="0"/>
        <v>6.1612672547228797E-8</v>
      </c>
      <c r="X27" s="2">
        <f t="shared" si="8"/>
        <v>5.024564266204834E-2</v>
      </c>
      <c r="Y27" s="2">
        <f t="shared" si="1"/>
        <v>-5.7797229363609759E-8</v>
      </c>
      <c r="Z27" s="2">
        <f t="shared" si="3"/>
        <v>5.0245583057403564E-2</v>
      </c>
      <c r="AA27" s="2">
        <f t="shared" si="2"/>
        <v>1.9077216473206704E-9</v>
      </c>
      <c r="AB27" s="2">
        <f t="shared" si="4"/>
        <v>1.1753982916762838E-16</v>
      </c>
      <c r="AC27" s="2">
        <f t="shared" si="5"/>
        <v>-1.1026102561211623E-16</v>
      </c>
      <c r="AD27" s="2">
        <f t="shared" si="6"/>
        <v>1.1920928955078125E-7</v>
      </c>
      <c r="AF27" s="2">
        <v>23</v>
      </c>
      <c r="AG27" s="2">
        <f t="shared" si="13"/>
        <v>2976.9488573074341</v>
      </c>
      <c r="AH27" s="2">
        <v>-7.4964876466765418E-4</v>
      </c>
      <c r="AI27" s="2">
        <f t="shared" si="14"/>
        <v>2976.9511222839355</v>
      </c>
      <c r="AJ27" s="2">
        <v>2.5649583267295384E-4</v>
      </c>
      <c r="AK27" s="2">
        <f t="shared" si="9"/>
        <v>2976.9499897956848</v>
      </c>
      <c r="AL27" s="2">
        <v>-2.4657651056259056E-4</v>
      </c>
      <c r="AM27" s="2">
        <f t="shared" si="10"/>
        <v>1.848457765393068E-7</v>
      </c>
      <c r="AN27" s="2">
        <f t="shared" si="11"/>
        <v>-6.3245847394343068E-8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7294.5858052051262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1.1529071755166089</v>
      </c>
      <c r="U28" s="2">
        <v>24</v>
      </c>
      <c r="V28" s="2">
        <f t="shared" si="7"/>
        <v>5.0245583057403564E-2</v>
      </c>
      <c r="W28" s="2">
        <f t="shared" si="0"/>
        <v>1.9077216473206704E-9</v>
      </c>
      <c r="X28" s="2">
        <f t="shared" si="8"/>
        <v>5.024564266204834E-2</v>
      </c>
      <c r="Y28" s="2">
        <f t="shared" si="1"/>
        <v>-5.7797229363609759E-8</v>
      </c>
      <c r="Z28" s="2">
        <f t="shared" si="3"/>
        <v>5.0245612859725952E-2</v>
      </c>
      <c r="AA28" s="2">
        <f t="shared" si="2"/>
        <v>-2.7944753844266756E-8</v>
      </c>
      <c r="AB28" s="2">
        <f t="shared" si="4"/>
        <v>-5.3310811837755214E-17</v>
      </c>
      <c r="AC28" s="2">
        <f t="shared" si="5"/>
        <v>1.6151293474467012E-15</v>
      </c>
      <c r="AD28" s="2">
        <f t="shared" si="6"/>
        <v>5.9604644775390625E-8</v>
      </c>
      <c r="AF28" s="2">
        <v>24</v>
      </c>
      <c r="AG28" s="2">
        <f t="shared" si="13"/>
        <v>2976.9499897956848</v>
      </c>
      <c r="AH28" s="2">
        <v>-2.4657651056259056E-4</v>
      </c>
      <c r="AI28" s="2">
        <f t="shared" si="14"/>
        <v>2976.9511222839355</v>
      </c>
      <c r="AJ28" s="2">
        <v>2.5649583267295384E-4</v>
      </c>
      <c r="AK28" s="2">
        <f t="shared" si="9"/>
        <v>2976.9505560398102</v>
      </c>
      <c r="AL28" s="2">
        <v>1.3987109468871495E-5</v>
      </c>
      <c r="AM28" s="2">
        <f t="shared" si="10"/>
        <v>-3.4488926456913027E-9</v>
      </c>
      <c r="AN28" s="2">
        <f t="shared" si="11"/>
        <v>3.5876352899059514E-9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83.476643501685416</v>
      </c>
      <c r="H29" t="s">
        <v>18</v>
      </c>
      <c r="U29" s="2">
        <v>25</v>
      </c>
      <c r="V29" s="2">
        <f t="shared" si="7"/>
        <v>5.0245583057403564E-2</v>
      </c>
      <c r="W29" s="2">
        <f t="shared" si="0"/>
        <v>1.9077216473206704E-9</v>
      </c>
      <c r="X29" s="2">
        <f t="shared" si="8"/>
        <v>5.0245612859725952E-2</v>
      </c>
      <c r="Y29" s="2">
        <f t="shared" si="1"/>
        <v>-2.7944753844266756E-8</v>
      </c>
      <c r="Z29" s="2">
        <f t="shared" si="3"/>
        <v>5.0245597958564758E-2</v>
      </c>
      <c r="AA29" s="2">
        <f t="shared" si="2"/>
        <v>-1.3018516091534149E-8</v>
      </c>
      <c r="AB29" s="2">
        <f t="shared" si="4"/>
        <v>-2.4835704963812183E-17</v>
      </c>
      <c r="AC29" s="2">
        <f t="shared" si="5"/>
        <v>3.6379922759554753E-16</v>
      </c>
      <c r="AD29" s="2">
        <f t="shared" si="6"/>
        <v>2.9802322387695312E-8</v>
      </c>
      <c r="AF29" s="2">
        <v>25</v>
      </c>
      <c r="AG29" s="2">
        <f t="shared" si="13"/>
        <v>2976.9499897956848</v>
      </c>
      <c r="AH29" s="2">
        <v>-2.4657651056259056E-4</v>
      </c>
      <c r="AI29" s="2">
        <f t="shared" si="14"/>
        <v>2976.9505560398102</v>
      </c>
      <c r="AJ29" s="2">
        <v>1.3987109468871495E-5</v>
      </c>
      <c r="AK29" s="2">
        <f t="shared" si="9"/>
        <v>2976.9502729177475</v>
      </c>
      <c r="AL29" s="2">
        <v>-1.2532216305771726E-4</v>
      </c>
      <c r="AM29" s="2">
        <f t="shared" si="10"/>
        <v>3.0901501662927918E-8</v>
      </c>
      <c r="AN29" s="2">
        <f t="shared" si="11"/>
        <v>-1.7528948135640546E-9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8.9154548491208043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5.0245583057403564E-2</v>
      </c>
      <c r="W30" s="2">
        <f t="shared" si="0"/>
        <v>1.9077216473206704E-9</v>
      </c>
      <c r="X30" s="2">
        <f t="shared" si="8"/>
        <v>5.0245597958564758E-2</v>
      </c>
      <c r="Y30" s="2">
        <f t="shared" si="1"/>
        <v>-1.3018516091534149E-8</v>
      </c>
      <c r="Z30" s="2">
        <f t="shared" si="3"/>
        <v>5.0245590507984161E-2</v>
      </c>
      <c r="AA30" s="2">
        <f t="shared" si="2"/>
        <v>-5.5553972186372924E-9</v>
      </c>
      <c r="AB30" s="2">
        <f t="shared" si="4"/>
        <v>-1.0598151533459407E-17</v>
      </c>
      <c r="AC30" s="2">
        <f t="shared" si="5"/>
        <v>7.2323028085693644E-17</v>
      </c>
      <c r="AD30" s="2">
        <f t="shared" si="6"/>
        <v>1.4901161193847656E-8</v>
      </c>
      <c r="AF30" s="2">
        <v>26</v>
      </c>
      <c r="AG30" s="2">
        <f t="shared" si="13"/>
        <v>2976.9502729177475</v>
      </c>
      <c r="AH30" s="2">
        <v>-1.2532216305771726E-4</v>
      </c>
      <c r="AI30" s="2">
        <f t="shared" si="14"/>
        <v>2976.9505560398102</v>
      </c>
      <c r="AJ30" s="2">
        <v>1.3987109468871495E-5</v>
      </c>
      <c r="AK30" s="2">
        <f t="shared" si="9"/>
        <v>2976.9504144787788</v>
      </c>
      <c r="AL30" s="2">
        <v>-4.6640070195280714E-5</v>
      </c>
      <c r="AM30" s="2">
        <f t="shared" si="10"/>
        <v>5.8450344820363484E-9</v>
      </c>
      <c r="AN30" s="2">
        <f t="shared" si="11"/>
        <v>-6.5235976745724206E-10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333.90657400674166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5.0245583057403564E-2</v>
      </c>
      <c r="W31" s="2">
        <f t="shared" si="0"/>
        <v>1.9077216473206704E-9</v>
      </c>
      <c r="X31" s="2">
        <f t="shared" si="8"/>
        <v>5.0245590507984161E-2</v>
      </c>
      <c r="Y31" s="2">
        <f t="shared" si="1"/>
        <v>-5.5553972186372924E-9</v>
      </c>
      <c r="Z31" s="2">
        <f t="shared" si="3"/>
        <v>5.0245586782693863E-2</v>
      </c>
      <c r="AA31" s="2">
        <f t="shared" si="2"/>
        <v>-1.8238377821888641E-9</v>
      </c>
      <c r="AB31" s="2">
        <f t="shared" si="4"/>
        <v>-3.4793748182830178E-18</v>
      </c>
      <c r="AC31" s="2">
        <f t="shared" si="5"/>
        <v>1.0132143342417623E-17</v>
      </c>
      <c r="AD31" s="2">
        <f t="shared" si="6"/>
        <v>7.4505805969238281E-9</v>
      </c>
      <c r="AF31" s="2">
        <v>27</v>
      </c>
      <c r="AG31" s="2">
        <f t="shared" si="13"/>
        <v>2976.9504144787788</v>
      </c>
      <c r="AH31" s="2">
        <v>-4.6640070195280714E-5</v>
      </c>
      <c r="AI31" s="2">
        <f t="shared" si="14"/>
        <v>2976.9505560398102</v>
      </c>
      <c r="AJ31" s="2">
        <v>1.3987109468871495E-5</v>
      </c>
      <c r="AK31" s="2">
        <f t="shared" si="9"/>
        <v>2976.9504852592945</v>
      </c>
      <c r="AL31" s="2">
        <v>-2.5353939690830885E-5</v>
      </c>
      <c r="AM31" s="2">
        <f t="shared" si="10"/>
        <v>1.1825095269072663E-9</v>
      </c>
      <c r="AN31" s="2">
        <f t="shared" si="11"/>
        <v>-3.5462832992281748E-10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1341.91</v>
      </c>
      <c r="L32" s="6" t="s">
        <v>7</v>
      </c>
      <c r="U32" s="2">
        <v>28</v>
      </c>
      <c r="V32" s="2">
        <f t="shared" si="7"/>
        <v>5.0245583057403564E-2</v>
      </c>
      <c r="W32" s="2">
        <f t="shared" si="0"/>
        <v>1.9077216473206704E-9</v>
      </c>
      <c r="X32" s="2">
        <f t="shared" si="8"/>
        <v>5.0245586782693863E-2</v>
      </c>
      <c r="Y32" s="2">
        <f t="shared" si="1"/>
        <v>-1.8238377821888641E-9</v>
      </c>
      <c r="Z32" s="2">
        <f t="shared" si="3"/>
        <v>5.0245584920048714E-2</v>
      </c>
      <c r="AA32" s="2">
        <f t="shared" si="2"/>
        <v>4.1941936035350125E-11</v>
      </c>
      <c r="AB32" s="2">
        <f t="shared" si="4"/>
        <v>8.0013539305176328E-20</v>
      </c>
      <c r="AC32" s="2">
        <f t="shared" si="5"/>
        <v>-7.6495287599420169E-20</v>
      </c>
      <c r="AD32" s="2">
        <f t="shared" si="6"/>
        <v>3.7252902984619141E-9</v>
      </c>
      <c r="AF32" s="2">
        <v>28</v>
      </c>
      <c r="AG32" s="2">
        <f t="shared" si="13"/>
        <v>2976.9504852592945</v>
      </c>
      <c r="AH32" s="2">
        <v>-2.5353939690830885E-5</v>
      </c>
      <c r="AI32" s="2">
        <f t="shared" si="14"/>
        <v>2976.9505560398102</v>
      </c>
      <c r="AJ32" s="2">
        <v>1.3987109468871495E-5</v>
      </c>
      <c r="AK32" s="2">
        <f t="shared" si="9"/>
        <v>2976.9505206495523</v>
      </c>
      <c r="AL32" s="2">
        <v>-1.4710873983858619E-5</v>
      </c>
      <c r="AM32" s="2">
        <f t="shared" si="10"/>
        <v>3.7297861178616449E-10</v>
      </c>
      <c r="AN32" s="2">
        <f t="shared" si="11"/>
        <v>-2.0576260479500422E-10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691.48</v>
      </c>
      <c r="L33" s="6" t="s">
        <v>7</v>
      </c>
      <c r="U33" s="2">
        <v>29</v>
      </c>
      <c r="V33" s="2">
        <f t="shared" si="7"/>
        <v>5.0245584920048714E-2</v>
      </c>
      <c r="W33" s="2">
        <f t="shared" si="0"/>
        <v>4.1941936035350125E-11</v>
      </c>
      <c r="X33" s="2">
        <f t="shared" si="8"/>
        <v>5.0245586782693863E-2</v>
      </c>
      <c r="Y33" s="2">
        <f t="shared" si="1"/>
        <v>-1.8238377821888641E-9</v>
      </c>
      <c r="Z33" s="2">
        <f t="shared" si="3"/>
        <v>5.0245585851371288E-2</v>
      </c>
      <c r="AA33" s="2">
        <f t="shared" si="2"/>
        <v>-8.9094792654620392E-10</v>
      </c>
      <c r="AB33" s="2">
        <f t="shared" si="4"/>
        <v>-3.7368080946028706E-20</v>
      </c>
      <c r="AC33" s="2">
        <f t="shared" si="5"/>
        <v>1.6249444903977955E-18</v>
      </c>
      <c r="AD33" s="2">
        <f t="shared" si="6"/>
        <v>1.862645149230957E-9</v>
      </c>
      <c r="AF33" s="2">
        <v>29</v>
      </c>
      <c r="AG33" s="2">
        <f t="shared" si="13"/>
        <v>2976.9505206495523</v>
      </c>
      <c r="AH33" s="2">
        <v>-1.4710873983858619E-5</v>
      </c>
      <c r="AI33" s="2">
        <f t="shared" si="14"/>
        <v>2976.9505560398102</v>
      </c>
      <c r="AJ33" s="2">
        <v>1.3987109468871495E-5</v>
      </c>
      <c r="AK33" s="2">
        <f t="shared" si="9"/>
        <v>2976.9505383446813</v>
      </c>
      <c r="AL33" s="2">
        <v>8.6655768427590374E-6</v>
      </c>
      <c r="AM33" s="2">
        <f t="shared" si="10"/>
        <v>-1.2747820893127163E-10</v>
      </c>
      <c r="AN33" s="2">
        <f t="shared" si="11"/>
        <v>1.2120637191058848E-10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197.37</v>
      </c>
      <c r="L34" s="6" t="s">
        <v>7</v>
      </c>
      <c r="U34" s="2">
        <v>30</v>
      </c>
      <c r="V34" s="2">
        <f t="shared" si="7"/>
        <v>5.0245584920048714E-2</v>
      </c>
      <c r="W34" s="2">
        <f t="shared" si="0"/>
        <v>4.1941936035350125E-11</v>
      </c>
      <c r="X34" s="2">
        <f t="shared" si="8"/>
        <v>5.0245585851371288E-2</v>
      </c>
      <c r="Y34" s="2">
        <f t="shared" si="1"/>
        <v>-8.9094792654620392E-10</v>
      </c>
      <c r="Z34" s="2">
        <f t="shared" si="3"/>
        <v>5.0245585385710001E-2</v>
      </c>
      <c r="AA34" s="2">
        <f t="shared" si="2"/>
        <v>-4.245029952554269E-10</v>
      </c>
      <c r="AB34" s="2">
        <f t="shared" si="4"/>
        <v>-1.7804477473817652E-20</v>
      </c>
      <c r="AC34" s="2">
        <f t="shared" si="5"/>
        <v>3.7821006343547563E-19</v>
      </c>
      <c r="AD34" s="2">
        <f>X34-V34</f>
        <v>9.3132257461547852E-10</v>
      </c>
      <c r="AF34" s="2">
        <v>30</v>
      </c>
      <c r="AG34" s="2">
        <f t="shared" si="13"/>
        <v>2976.9505206495523</v>
      </c>
      <c r="AH34" s="2">
        <v>-1.4710873983858619E-5</v>
      </c>
      <c r="AI34" s="2">
        <f t="shared" si="14"/>
        <v>2976.9505383446813</v>
      </c>
      <c r="AJ34" s="2">
        <v>8.6655768427590374E-6</v>
      </c>
      <c r="AK34" s="2">
        <f t="shared" si="9"/>
        <v>2976.9505294971168</v>
      </c>
      <c r="AL34" s="2">
        <v>-1.2050108580297092E-5</v>
      </c>
      <c r="AM34" s="2">
        <f t="shared" si="10"/>
        <v>1.7726762881656401E-10</v>
      </c>
      <c r="AN34" s="2">
        <f t="shared" si="11"/>
        <v>-1.0442114186615446E-10</v>
      </c>
      <c r="AO34" s="2">
        <f t="shared" si="12"/>
        <v>1.7695128917694092E-5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268.19543930186342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2976.9505294971168</v>
      </c>
      <c r="AH35" s="2">
        <v>-1.2050108580297092E-5</v>
      </c>
      <c r="AI35" s="2">
        <f t="shared" si="14"/>
        <v>2976.9505383446813</v>
      </c>
      <c r="AJ35" s="2">
        <v>8.6655768427590374E-6</v>
      </c>
      <c r="AK35" s="2">
        <f t="shared" si="9"/>
        <v>2976.950533920899</v>
      </c>
      <c r="AL35" s="2">
        <v>-1.0719725651142653E-5</v>
      </c>
      <c r="AM35" s="2">
        <f t="shared" si="10"/>
        <v>1.2917385804726492E-10</v>
      </c>
      <c r="AN35" s="2">
        <f t="shared" si="11"/>
        <v>-9.2892606363271818E-11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2976.94</v>
      </c>
      <c r="L36" s="6" t="s">
        <v>7</v>
      </c>
      <c r="AF36" s="2">
        <v>32</v>
      </c>
      <c r="AG36" s="2">
        <f t="shared" si="13"/>
        <v>2976.950533920899</v>
      </c>
      <c r="AH36" s="2">
        <v>-1.0719725651142653E-5</v>
      </c>
      <c r="AI36" s="2">
        <f t="shared" si="14"/>
        <v>2976.9505383446813</v>
      </c>
      <c r="AJ36" s="2">
        <v>8.6655768427590374E-6</v>
      </c>
      <c r="AK36" s="2">
        <f t="shared" si="9"/>
        <v>2976.9505361327901</v>
      </c>
      <c r="AL36" s="2">
        <v>-1.0054533049697056E-5</v>
      </c>
      <c r="AM36" s="2">
        <f t="shared" si="10"/>
        <v>1.077818358430991E-10</v>
      </c>
      <c r="AN36" s="2">
        <f t="shared" si="11"/>
        <v>-8.7128328760210214E-11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2976.9505361327901</v>
      </c>
      <c r="AH37" s="2">
        <v>-1.0054533049697056E-5</v>
      </c>
      <c r="AI37" s="2">
        <f t="shared" si="14"/>
        <v>2976.9505383446813</v>
      </c>
      <c r="AJ37" s="2">
        <v>8.6655768427590374E-6</v>
      </c>
      <c r="AK37" s="2">
        <f t="shared" si="9"/>
        <v>2976.9505372387357</v>
      </c>
      <c r="AL37" s="2">
        <v>-9.7219390227110125E-6</v>
      </c>
      <c r="AM37" s="2">
        <f t="shared" si="10"/>
        <v>9.7749557210987377E-11</v>
      </c>
      <c r="AN37" s="2">
        <f t="shared" si="11"/>
        <v>-8.4246209661919977E-11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2976.9505372387357</v>
      </c>
      <c r="AH38" s="2">
        <v>-9.7219390227110125E-6</v>
      </c>
      <c r="AI38" s="2">
        <f t="shared" si="14"/>
        <v>2976.9505383446813</v>
      </c>
      <c r="AJ38" s="2">
        <v>8.6655768427590374E-6</v>
      </c>
      <c r="AK38" s="2">
        <f t="shared" si="9"/>
        <v>2976.9505377917085</v>
      </c>
      <c r="AL38" s="2">
        <v>8.4992784650239628E-6</v>
      </c>
      <c r="AM38" s="2">
        <f t="shared" si="10"/>
        <v>-8.2629466974003819E-11</v>
      </c>
      <c r="AN38" s="2">
        <f t="shared" si="11"/>
        <v>7.3651150646672229E-11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2976.9505372387357</v>
      </c>
      <c r="AH39" s="2">
        <v>-9.7219390227110125E-6</v>
      </c>
      <c r="AI39" s="2">
        <f t="shared" si="14"/>
        <v>2976.9505377917085</v>
      </c>
      <c r="AJ39" s="2">
        <v>8.4992784650239628E-6</v>
      </c>
      <c r="AK39" s="2">
        <f t="shared" si="9"/>
        <v>2976.9505375152221</v>
      </c>
      <c r="AL39" s="2">
        <v>8.4161301856511272E-6</v>
      </c>
      <c r="AM39" s="2">
        <f t="shared" si="10"/>
        <v>-8.1821104472097772E-11</v>
      </c>
      <c r="AN39" s="2">
        <f t="shared" si="11"/>
        <v>7.1531034045742752E-11</v>
      </c>
      <c r="AO39" s="2">
        <f t="shared" si="12"/>
        <v>5.5297277867794037E-7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45.08</v>
      </c>
      <c r="L40" s="6" t="s">
        <v>58</v>
      </c>
      <c r="AF40" s="2">
        <v>36</v>
      </c>
      <c r="AG40" s="2">
        <f t="shared" si="13"/>
        <v>2976.9505372387357</v>
      </c>
      <c r="AH40" s="2">
        <v>-9.7219390227110125E-6</v>
      </c>
      <c r="AI40" s="2">
        <f t="shared" si="14"/>
        <v>2976.9505375152221</v>
      </c>
      <c r="AJ40" s="2">
        <v>8.4161301856511272E-6</v>
      </c>
      <c r="AK40" s="2">
        <f t="shared" si="9"/>
        <v>2976.9505373769789</v>
      </c>
      <c r="AL40" s="2">
        <v>8.3745562733383849E-6</v>
      </c>
      <c r="AM40" s="2">
        <f t="shared" si="10"/>
        <v>-8.1416925431657757E-11</v>
      </c>
      <c r="AN40" s="2">
        <f t="shared" si="11"/>
        <v>7.0481355843477194E-11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23.23</v>
      </c>
      <c r="L41" s="6" t="s">
        <v>58</v>
      </c>
      <c r="AF41" s="2">
        <v>37</v>
      </c>
      <c r="AG41" s="2">
        <f t="shared" si="13"/>
        <v>2976.9505372387357</v>
      </c>
      <c r="AH41" s="2">
        <v>-9.7219390227110125E-6</v>
      </c>
      <c r="AI41" s="2">
        <f t="shared" si="14"/>
        <v>2976.9505373769789</v>
      </c>
      <c r="AJ41" s="2">
        <v>8.3745562733383849E-6</v>
      </c>
      <c r="AK41" s="2">
        <f t="shared" si="9"/>
        <v>2976.9505373078573</v>
      </c>
      <c r="AL41" s="2">
        <v>-9.7011497928178869E-6</v>
      </c>
      <c r="AM41" s="2">
        <f t="shared" si="10"/>
        <v>9.4313986735961069E-11</v>
      </c>
      <c r="AN41" s="2">
        <f t="shared" si="11"/>
        <v>-8.1242824856038408E-11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2976.9505373078573</v>
      </c>
      <c r="AH42" s="2">
        <v>-9.7011497928178869E-6</v>
      </c>
      <c r="AI42" s="2">
        <f t="shared" si="14"/>
        <v>2976.9505373769789</v>
      </c>
      <c r="AJ42" s="2">
        <v>8.3745562733383849E-6</v>
      </c>
      <c r="AK42" s="2">
        <f t="shared" si="9"/>
        <v>2976.9505373424181</v>
      </c>
      <c r="AL42" s="2">
        <v>8.3641616583918221E-6</v>
      </c>
      <c r="AM42" s="2">
        <f t="shared" si="10"/>
        <v>-8.1141985139403139E-11</v>
      </c>
      <c r="AN42" s="2">
        <f t="shared" si="11"/>
        <v>7.0046142487501623E-11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2976.9505373078573</v>
      </c>
      <c r="AH43" s="2">
        <v>-9.7011497928178869E-6</v>
      </c>
      <c r="AI43" s="2">
        <f t="shared" si="14"/>
        <v>2976.9505373424181</v>
      </c>
      <c r="AJ43" s="2">
        <v>8.3641616583918221E-6</v>
      </c>
      <c r="AK43" s="2">
        <f t="shared" si="9"/>
        <v>2976.9505373251377</v>
      </c>
      <c r="AL43" s="2">
        <v>-9.6959533948393073E-6</v>
      </c>
      <c r="AM43" s="2">
        <f t="shared" si="10"/>
        <v>9.4061896267517233E-11</v>
      </c>
      <c r="AN43" s="2">
        <f t="shared" si="11"/>
        <v>-8.1098521626668958E-11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99.999999999999986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2976.9505373251377</v>
      </c>
      <c r="AH44" s="2">
        <v>-9.6959533948393073E-6</v>
      </c>
      <c r="AI44" s="2">
        <f t="shared" si="14"/>
        <v>2976.9505373424181</v>
      </c>
      <c r="AJ44" s="2">
        <v>8.3641616583918221E-6</v>
      </c>
      <c r="AK44" s="5">
        <f>(AG44+AI44)/2</f>
        <v>2976.9505373337779</v>
      </c>
      <c r="AL44" s="2">
        <v>8.3615614130394533E-6</v>
      </c>
      <c r="AM44" s="2">
        <f t="shared" si="10"/>
        <v>-8.1073309768917243E-11</v>
      </c>
      <c r="AN44" s="2">
        <f t="shared" si="11"/>
        <v>6.9937451375233142E-11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3079.2580479890566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99.785435333833888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34.770000000000003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B1:D1"/>
    <mergeCell ref="B3:D3"/>
    <mergeCell ref="F3:H3"/>
    <mergeCell ref="J3:L3"/>
    <mergeCell ref="N3:P3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workbookViewId="0">
      <selection activeCell="E8" sqref="E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529.1098251575778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5.4618007539526739E-2</v>
      </c>
      <c r="X4" s="3">
        <v>1</v>
      </c>
      <c r="Y4" s="2">
        <f t="shared" ref="Y4:Y34" si="1" xml:space="preserve"> $O$20 * TAN($O$17/180*PI()) + $O$21 / (2 * SQRT($O$20^2 + X4^2)) - X4</f>
        <v>-0.94907581817941988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-0.44718054566874516</v>
      </c>
      <c r="AB4" s="2">
        <f>W4*AA4</f>
        <v>-2.4424110414865204E-2</v>
      </c>
      <c r="AC4" s="2">
        <f>Y4*AA4</f>
        <v>0.42440824225448376</v>
      </c>
      <c r="AD4" s="2">
        <f>X4-V4</f>
        <v>1</v>
      </c>
      <c r="AF4" s="2">
        <v>0</v>
      </c>
      <c r="AG4" s="2"/>
      <c r="AH4" s="2">
        <f>K27</f>
        <v>-8.1107807664011489E-3</v>
      </c>
      <c r="AI4" s="2"/>
      <c r="AJ4" s="2">
        <f>K27</f>
        <v>-8.1107807664011489E-3</v>
      </c>
      <c r="AK4" s="2"/>
      <c r="AL4" s="2">
        <f>K27</f>
        <v>-8.1107807664011489E-3</v>
      </c>
      <c r="AM4" s="2"/>
      <c r="AN4" s="2"/>
      <c r="AO4" s="2"/>
    </row>
    <row r="5" spans="2:41" x14ac:dyDescent="0.2">
      <c r="B5" s="10" t="s">
        <v>37</v>
      </c>
      <c r="C5" s="10">
        <v>3064.5075943960801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132.27745628939445</v>
      </c>
      <c r="L5" s="6" t="s">
        <v>101</v>
      </c>
      <c r="N5" s="6" t="s">
        <v>114</v>
      </c>
      <c r="O5" s="6">
        <f xml:space="preserve"> $C$18 * 0.85 * ($C$5/$C$18 *2.20462/1000)^(2/3) * 0.3048^2</f>
        <v>0.44798672482965984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5.4618007539526739E-2</v>
      </c>
      <c r="X5" s="2">
        <f>IF(AC4&gt;0, Z4, X4)</f>
        <v>0.5</v>
      </c>
      <c r="Y5" s="2">
        <f t="shared" si="1"/>
        <v>-0.44718054566874516</v>
      </c>
      <c r="Z5" s="2">
        <f t="shared" ref="Z5:Z34" si="3" xml:space="preserve"> (V5 + X5)/2</f>
        <v>0.25</v>
      </c>
      <c r="AA5" s="2">
        <f t="shared" si="2"/>
        <v>-0.19598758552256609</v>
      </c>
      <c r="AB5" s="2">
        <f t="shared" ref="AB5:AB34" si="4">W5*AA5</f>
        <v>-1.0704451423725156E-2</v>
      </c>
      <c r="AC5" s="2">
        <f t="shared" ref="AC5:AC34" si="5">Y5*AA5</f>
        <v>8.7641835438280968E-2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-1323.9072065329785</v>
      </c>
      <c r="AI5" s="3">
        <v>10000</v>
      </c>
      <c r="AJ5" s="2">
        <f t="dataTable" ref="AJ5:AJ44" dt2D="0" dtr="0" r1="C5" ca="1"/>
        <v>2267.7189575332168</v>
      </c>
      <c r="AK5" s="2">
        <f>(AG5+AI5)/2</f>
        <v>5250</v>
      </c>
      <c r="AL5" s="2">
        <f t="dataTable" ref="AL5:AL44" dt2D="0" dtr="0" r1="C5" ca="1"/>
        <v>937.06733025709536</v>
      </c>
      <c r="AM5" s="2">
        <f>AH5*AL5</f>
        <v>-1240590.1915339872</v>
      </c>
      <c r="AN5" s="2">
        <f>AJ5*AL5</f>
        <v>2125005.3493090547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5.4618007539526739E-2</v>
      </c>
      <c r="X6" s="2">
        <f t="shared" ref="X6:X34" si="8">IF(AC5&gt;0, Z5, X5)</f>
        <v>0.25</v>
      </c>
      <c r="Y6" s="2">
        <f t="shared" si="1"/>
        <v>-0.19598758552256609</v>
      </c>
      <c r="Z6" s="2">
        <f t="shared" si="3"/>
        <v>0.125</v>
      </c>
      <c r="AA6" s="2">
        <f t="shared" si="2"/>
        <v>-7.0548417774564734E-2</v>
      </c>
      <c r="AB6" s="2">
        <f t="shared" si="4"/>
        <v>-3.8532140139128589E-3</v>
      </c>
      <c r="AC6" s="2">
        <f t="shared" si="5"/>
        <v>1.3826614062074227E-2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-1323.9072065329785</v>
      </c>
      <c r="AI6" s="2">
        <f>IF(AN5&gt;0, AK5, AI5)</f>
        <v>5250</v>
      </c>
      <c r="AJ6" s="2">
        <v>937.06733025709536</v>
      </c>
      <c r="AK6" s="2">
        <f t="shared" ref="AK6:AK43" si="9">(AG6+AI6)/2</f>
        <v>2875</v>
      </c>
      <c r="AL6" s="2">
        <v>-90.34879665104927</v>
      </c>
      <c r="AM6" s="2">
        <f t="shared" ref="AM6:AM44" si="10">AH6*AL6</f>
        <v>119613.42298790677</v>
      </c>
      <c r="AN6" s="2">
        <f t="shared" ref="AN6:AN44" si="11">AJ6*AL6</f>
        <v>-84662.905669739936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241.199756057435</v>
      </c>
      <c r="D7" s="6" t="s">
        <v>125</v>
      </c>
      <c r="F7" t="s">
        <v>121</v>
      </c>
      <c r="G7" s="8">
        <f>$C$6*2*PI()/60*$C$9</f>
        <v>191.13641237185402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1.0782633481647559</v>
      </c>
      <c r="P7" s="6" t="s">
        <v>115</v>
      </c>
      <c r="U7" s="2">
        <v>3</v>
      </c>
      <c r="V7" s="2">
        <f t="shared" si="7"/>
        <v>0</v>
      </c>
      <c r="W7" s="2">
        <f t="shared" si="0"/>
        <v>5.4618007539526739E-2</v>
      </c>
      <c r="X7" s="2">
        <f t="shared" si="8"/>
        <v>0.125</v>
      </c>
      <c r="Y7" s="2">
        <f t="shared" si="1"/>
        <v>-7.0548417774564734E-2</v>
      </c>
      <c r="Z7" s="2">
        <f t="shared" si="3"/>
        <v>6.25E-2</v>
      </c>
      <c r="AA7" s="2">
        <f t="shared" si="2"/>
        <v>-7.9246717771824585E-3</v>
      </c>
      <c r="AB7" s="2">
        <f t="shared" si="4"/>
        <v>-4.3282978287442628E-4</v>
      </c>
      <c r="AC7" s="2">
        <f t="shared" si="5"/>
        <v>5.5907305526297041E-4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-90.34879665104927</v>
      </c>
      <c r="AI7" s="2">
        <f t="shared" ref="AI7:AI44" si="14">IF(AN6&gt;0, AK6, AI6)</f>
        <v>5250</v>
      </c>
      <c r="AJ7" s="2">
        <v>937.06733025709536</v>
      </c>
      <c r="AK7" s="2">
        <f t="shared" si="9"/>
        <v>4062.5</v>
      </c>
      <c r="AL7" s="2">
        <v>453.75924883863672</v>
      </c>
      <c r="AM7" s="2">
        <f t="shared" si="10"/>
        <v>-40996.602101854856</v>
      </c>
      <c r="AN7" s="2">
        <f t="shared" si="11"/>
        <v>425202.96788868634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0.57240704754340188</v>
      </c>
      <c r="H8" s="6" t="s">
        <v>122</v>
      </c>
      <c r="J8" s="6" t="s">
        <v>96</v>
      </c>
      <c r="K8" s="6">
        <f xml:space="preserve"> $C$15 * (G12*G6 + G22*G15 + G31*G27 +G35*G34)/3600</f>
        <v>222.02850914154357</v>
      </c>
      <c r="L8" s="6" t="s">
        <v>102</v>
      </c>
      <c r="N8" s="6" t="s">
        <v>38</v>
      </c>
      <c r="O8" s="6">
        <f xml:space="preserve"> O4 *O7</f>
        <v>2444.9230932970181</v>
      </c>
      <c r="P8" s="6" t="s">
        <v>20</v>
      </c>
      <c r="U8" s="2">
        <v>4</v>
      </c>
      <c r="V8" s="2">
        <f t="shared" si="7"/>
        <v>0</v>
      </c>
      <c r="W8" s="2">
        <f t="shared" si="0"/>
        <v>5.4618007539526739E-2</v>
      </c>
      <c r="X8" s="2">
        <f t="shared" si="8"/>
        <v>6.25E-2</v>
      </c>
      <c r="Y8" s="2">
        <f t="shared" si="1"/>
        <v>-7.9246717771824585E-3</v>
      </c>
      <c r="Z8" s="2">
        <f t="shared" si="3"/>
        <v>3.125E-2</v>
      </c>
      <c r="AA8" s="2">
        <f t="shared" si="2"/>
        <v>2.3357268226073369E-2</v>
      </c>
      <c r="AB8" s="2">
        <f t="shared" si="4"/>
        <v>1.2757274520744236E-3</v>
      </c>
      <c r="AC8" s="2">
        <f t="shared" si="5"/>
        <v>-1.8509868430324422E-4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-90.34879665104927</v>
      </c>
      <c r="AI8" s="2">
        <f t="shared" si="14"/>
        <v>4062.5</v>
      </c>
      <c r="AJ8" s="2">
        <v>453.75924883863672</v>
      </c>
      <c r="AK8" s="2">
        <f t="shared" si="9"/>
        <v>3468.75</v>
      </c>
      <c r="AL8" s="2">
        <v>188.5530804138707</v>
      </c>
      <c r="AM8" s="2">
        <f t="shared" si="10"/>
        <v>-17035.543920241744</v>
      </c>
      <c r="AN8" s="2">
        <f t="shared" si="11"/>
        <v>85557.704134809042</v>
      </c>
      <c r="AO8" s="2">
        <f t="shared" si="12"/>
        <v>1187.5</v>
      </c>
    </row>
    <row r="9" spans="2:41" x14ac:dyDescent="0.2">
      <c r="B9" s="6" t="s">
        <v>95</v>
      </c>
      <c r="C9" s="17">
        <v>4.5630457250747201</v>
      </c>
      <c r="D9" s="6" t="s">
        <v>8</v>
      </c>
      <c r="F9" t="s">
        <v>19</v>
      </c>
      <c r="G9" s="6">
        <f xml:space="preserve"> $C$5 * $C$44 / $C$18</f>
        <v>7509.1860488797429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2444.9230932970181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2.3357268226073369E-2</v>
      </c>
      <c r="X9" s="2">
        <f t="shared" si="8"/>
        <v>6.25E-2</v>
      </c>
      <c r="Y9" s="2">
        <f t="shared" si="1"/>
        <v>-7.9246717771824585E-3</v>
      </c>
      <c r="Z9" s="2">
        <f t="shared" si="3"/>
        <v>4.6875E-2</v>
      </c>
      <c r="AA9" s="2">
        <f t="shared" si="2"/>
        <v>7.7189094999179989E-3</v>
      </c>
      <c r="AB9" s="2">
        <f t="shared" si="4"/>
        <v>1.8029263960237055E-4</v>
      </c>
      <c r="AC9" s="2">
        <f t="shared" si="5"/>
        <v>-6.1169824264625735E-5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-90.34879665104927</v>
      </c>
      <c r="AI9" s="2">
        <f t="shared" si="14"/>
        <v>3468.75</v>
      </c>
      <c r="AJ9" s="2">
        <v>188.5530804138707</v>
      </c>
      <c r="AK9" s="2">
        <f t="shared" si="9"/>
        <v>3171.875</v>
      </c>
      <c r="AL9" s="2">
        <v>50.644081118998201</v>
      </c>
      <c r="AM9" s="2">
        <f t="shared" si="10"/>
        <v>-4575.6317865996125</v>
      </c>
      <c r="AN9" s="2">
        <f t="shared" si="11"/>
        <v>9549.0974997170597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88.184970859596305</v>
      </c>
      <c r="H10" s="6" t="s">
        <v>101</v>
      </c>
      <c r="N10" s="6" t="s">
        <v>113</v>
      </c>
      <c r="O10" s="6">
        <f>O7/(0.3048^2)/($C$5*2.20462/1000)^(2/3)</f>
        <v>3.2476206024907626</v>
      </c>
      <c r="U10" s="2">
        <v>6</v>
      </c>
      <c r="V10" s="2">
        <f t="shared" si="7"/>
        <v>4.6875E-2</v>
      </c>
      <c r="W10" s="2">
        <f t="shared" si="0"/>
        <v>7.7189094999179989E-3</v>
      </c>
      <c r="X10" s="2">
        <f t="shared" si="8"/>
        <v>6.25E-2</v>
      </c>
      <c r="Y10" s="2">
        <f t="shared" si="1"/>
        <v>-7.9246717771824585E-3</v>
      </c>
      <c r="Z10" s="2">
        <f t="shared" si="3"/>
        <v>5.46875E-2</v>
      </c>
      <c r="AA10" s="2">
        <f t="shared" si="2"/>
        <v>-1.0223498178781043E-4</v>
      </c>
      <c r="AB10" s="2">
        <f t="shared" si="4"/>
        <v>-7.8914257214587352E-7</v>
      </c>
      <c r="AC10" s="2">
        <f t="shared" si="5"/>
        <v>8.1017867481462401E-7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-90.34879665104927</v>
      </c>
      <c r="AI10" s="2">
        <f t="shared" si="14"/>
        <v>3171.875</v>
      </c>
      <c r="AJ10" s="2">
        <v>50.644081118998201</v>
      </c>
      <c r="AK10" s="2">
        <f t="shared" si="9"/>
        <v>3023.4375</v>
      </c>
      <c r="AL10" s="2">
        <v>-19.48686870875099</v>
      </c>
      <c r="AM10" s="2">
        <f t="shared" si="10"/>
        <v>1760.6151383326383</v>
      </c>
      <c r="AN10" s="2">
        <f t="shared" si="11"/>
        <v>-986.89455964125284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8.6877263906886011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4.6875E-2</v>
      </c>
      <c r="W11" s="2">
        <f t="shared" si="0"/>
        <v>7.7189094999179989E-3</v>
      </c>
      <c r="X11" s="2">
        <f t="shared" si="8"/>
        <v>5.46875E-2</v>
      </c>
      <c r="Y11" s="2">
        <f t="shared" si="1"/>
        <v>-1.0223498178781043E-4</v>
      </c>
      <c r="Z11" s="2">
        <f t="shared" si="3"/>
        <v>5.078125E-2</v>
      </c>
      <c r="AA11" s="2">
        <f t="shared" si="2"/>
        <v>3.8084997093214071E-3</v>
      </c>
      <c r="AB11" s="2">
        <f t="shared" si="4"/>
        <v>2.9397464586715947E-5</v>
      </c>
      <c r="AC11" s="2">
        <f t="shared" si="5"/>
        <v>-3.8936189842135536E-7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-19.48686870875099</v>
      </c>
      <c r="AI11" s="2">
        <f t="shared" si="14"/>
        <v>3171.875</v>
      </c>
      <c r="AJ11" s="2">
        <v>50.644081118998201</v>
      </c>
      <c r="AK11" s="2">
        <f t="shared" si="9"/>
        <v>3097.65625</v>
      </c>
      <c r="AL11" s="2">
        <v>15.67233388356226</v>
      </c>
      <c r="AM11" s="2">
        <f t="shared" si="10"/>
        <v>-305.4047127486873</v>
      </c>
      <c r="AN11" s="2">
        <f t="shared" si="11"/>
        <v>793.71094852315116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352.73988343838522</v>
      </c>
      <c r="H12" s="25" t="s">
        <v>101</v>
      </c>
      <c r="J12" s="10" t="s">
        <v>79</v>
      </c>
      <c r="K12" s="6">
        <f>C5</f>
        <v>3064.5075943960801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5.078125E-2</v>
      </c>
      <c r="W12" s="2">
        <f t="shared" si="0"/>
        <v>3.8084997093214071E-3</v>
      </c>
      <c r="X12" s="2">
        <f t="shared" si="8"/>
        <v>5.46875E-2</v>
      </c>
      <c r="Y12" s="2">
        <f t="shared" si="1"/>
        <v>-1.0223498178781043E-4</v>
      </c>
      <c r="Z12" s="2">
        <f t="shared" si="3"/>
        <v>5.2734375E-2</v>
      </c>
      <c r="AA12" s="2">
        <f t="shared" si="2"/>
        <v>1.853172867263192E-3</v>
      </c>
      <c r="AB12" s="2">
        <f t="shared" si="4"/>
        <v>7.0578083262941851E-6</v>
      </c>
      <c r="AC12" s="2">
        <f t="shared" si="5"/>
        <v>-1.8945909433431686E-7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-19.48686870875099</v>
      </c>
      <c r="AI12" s="2">
        <f t="shared" si="14"/>
        <v>3097.65625</v>
      </c>
      <c r="AJ12" s="2">
        <v>15.67233388356226</v>
      </c>
      <c r="AK12" s="2">
        <f t="shared" si="9"/>
        <v>3060.546875</v>
      </c>
      <c r="AL12" s="2">
        <v>-1.8841370725872366</v>
      </c>
      <c r="AM12" s="2">
        <f t="shared" si="10"/>
        <v>36.715931762797915</v>
      </c>
      <c r="AN12" s="2">
        <f t="shared" si="11"/>
        <v>-29.528825283984755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1306.0500537737857</v>
      </c>
      <c r="L13" s="6" t="s">
        <v>7</v>
      </c>
      <c r="N13" s="6" t="s">
        <v>74</v>
      </c>
      <c r="O13" s="6">
        <f xml:space="preserve"> SQRT( ($C$5*$C$50)^2 + O9^2)</f>
        <v>30133.221936578731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1.853172867263192E-3</v>
      </c>
      <c r="X13" s="2">
        <f t="shared" si="8"/>
        <v>5.46875E-2</v>
      </c>
      <c r="Y13" s="2">
        <f t="shared" si="1"/>
        <v>-1.0223498178781043E-4</v>
      </c>
      <c r="Z13" s="2">
        <f t="shared" si="3"/>
        <v>5.37109375E-2</v>
      </c>
      <c r="AA13" s="2">
        <f t="shared" si="2"/>
        <v>8.754790545541305E-4</v>
      </c>
      <c r="AB13" s="2">
        <f t="shared" si="4"/>
        <v>1.6224140297569464E-6</v>
      </c>
      <c r="AC13" s="2">
        <f t="shared" si="5"/>
        <v>-8.9504585197951027E-8</v>
      </c>
      <c r="AD13" s="2">
        <f t="shared" si="6"/>
        <v>1.953125E-3</v>
      </c>
      <c r="AF13" s="2">
        <v>9</v>
      </c>
      <c r="AG13" s="2">
        <f t="shared" si="13"/>
        <v>3060.546875</v>
      </c>
      <c r="AH13" s="2">
        <v>-1.8841370725872366</v>
      </c>
      <c r="AI13" s="2">
        <f t="shared" si="14"/>
        <v>3097.65625</v>
      </c>
      <c r="AJ13" s="2">
        <v>15.67233388356226</v>
      </c>
      <c r="AK13" s="2">
        <f t="shared" si="9"/>
        <v>3079.1015625</v>
      </c>
      <c r="AL13" s="2">
        <v>6.8999204693841421</v>
      </c>
      <c r="AM13" s="2">
        <f t="shared" si="10"/>
        <v>-13.000395954270189</v>
      </c>
      <c r="AN13" s="2">
        <f t="shared" si="11"/>
        <v>108.13785736621391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222.84448671799839</v>
      </c>
      <c r="L14" s="6" t="s">
        <v>7</v>
      </c>
      <c r="N14" s="6" t="s">
        <v>75</v>
      </c>
      <c r="O14" s="6">
        <f>$C$5*$C$50/O13</f>
        <v>0.99670294793230985</v>
      </c>
      <c r="U14" s="2">
        <v>10</v>
      </c>
      <c r="V14" s="2">
        <f t="shared" si="7"/>
        <v>5.37109375E-2</v>
      </c>
      <c r="W14" s="2">
        <f t="shared" si="0"/>
        <v>8.754790545541305E-4</v>
      </c>
      <c r="X14" s="2">
        <f t="shared" si="8"/>
        <v>5.46875E-2</v>
      </c>
      <c r="Y14" s="2">
        <f t="shared" si="1"/>
        <v>-1.0223498178781043E-4</v>
      </c>
      <c r="Z14" s="2">
        <f t="shared" si="3"/>
        <v>5.419921875E-2</v>
      </c>
      <c r="AA14" s="2">
        <f t="shared" si="2"/>
        <v>3.8662456255370709E-4</v>
      </c>
      <c r="AB14" s="2">
        <f t="shared" si="4"/>
        <v>3.3848170649192375E-7</v>
      </c>
      <c r="AC14" s="2">
        <f t="shared" si="5"/>
        <v>-3.9526555111398419E-8</v>
      </c>
      <c r="AD14" s="2">
        <f t="shared" si="6"/>
        <v>9.765625E-4</v>
      </c>
      <c r="AF14" s="2">
        <v>10</v>
      </c>
      <c r="AG14" s="2">
        <f t="shared" si="13"/>
        <v>3060.546875</v>
      </c>
      <c r="AH14" s="2">
        <v>-1.8841370725872366</v>
      </c>
      <c r="AI14" s="2">
        <f t="shared" si="14"/>
        <v>3079.1015625</v>
      </c>
      <c r="AJ14" s="2">
        <v>6.8999204693841421</v>
      </c>
      <c r="AK14" s="2">
        <f t="shared" si="9"/>
        <v>3069.82421875</v>
      </c>
      <c r="AL14" s="2">
        <v>2.5093338309179671</v>
      </c>
      <c r="AM14" s="2">
        <f t="shared" si="10"/>
        <v>-4.7279288983298944</v>
      </c>
      <c r="AN14" s="2">
        <f t="shared" si="11"/>
        <v>17.314203864469007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449.07837221428639</v>
      </c>
      <c r="L15" s="6" t="s">
        <v>7</v>
      </c>
      <c r="U15" s="2">
        <v>11</v>
      </c>
      <c r="V15" s="2">
        <f t="shared" si="7"/>
        <v>5.419921875E-2</v>
      </c>
      <c r="W15" s="2">
        <f t="shared" si="0"/>
        <v>3.8662456255370709E-4</v>
      </c>
      <c r="X15" s="2">
        <f t="shared" si="8"/>
        <v>5.46875E-2</v>
      </c>
      <c r="Y15" s="2">
        <f t="shared" si="1"/>
        <v>-1.0223498178781043E-4</v>
      </c>
      <c r="Z15" s="2">
        <f t="shared" si="3"/>
        <v>5.4443359375E-2</v>
      </c>
      <c r="AA15" s="2">
        <f t="shared" si="2"/>
        <v>1.4219542170099825E-4</v>
      </c>
      <c r="AB15" s="2">
        <f t="shared" si="4"/>
        <v>5.4976242712288355E-8</v>
      </c>
      <c r="AC15" s="2">
        <f t="shared" si="5"/>
        <v>-1.4537346347911579E-8</v>
      </c>
      <c r="AD15" s="2">
        <f t="shared" si="6"/>
        <v>4.8828125E-4</v>
      </c>
      <c r="AF15" s="2">
        <v>11</v>
      </c>
      <c r="AG15" s="2">
        <f t="shared" si="13"/>
        <v>3060.546875</v>
      </c>
      <c r="AH15" s="2">
        <v>-1.8841370725872366</v>
      </c>
      <c r="AI15" s="2">
        <f t="shared" si="14"/>
        <v>3069.82421875</v>
      </c>
      <c r="AJ15" s="2">
        <v>2.5093338309179671</v>
      </c>
      <c r="AK15" s="2">
        <f t="shared" si="9"/>
        <v>3065.185546875</v>
      </c>
      <c r="AL15" s="2">
        <v>0.31296096291134745</v>
      </c>
      <c r="AM15" s="2">
        <f t="shared" si="10"/>
        <v>-0.58966135249386897</v>
      </c>
      <c r="AN15" s="2">
        <f t="shared" si="11"/>
        <v>0.78532353199010729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115.25514009446123</v>
      </c>
      <c r="H16" s="6" t="s">
        <v>10</v>
      </c>
      <c r="J16" s="13" t="s">
        <v>53</v>
      </c>
      <c r="K16" s="6">
        <f xml:space="preserve"> $C$54 * 0.2138 * K4</f>
        <v>90.498944494952113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5.4443359375E-2</v>
      </c>
      <c r="W16" s="2">
        <f t="shared" si="0"/>
        <v>1.4219542170099825E-4</v>
      </c>
      <c r="X16" s="2">
        <f t="shared" si="8"/>
        <v>5.46875E-2</v>
      </c>
      <c r="Y16" s="2">
        <f t="shared" si="1"/>
        <v>-1.0223498178781043E-4</v>
      </c>
      <c r="Z16" s="2">
        <f t="shared" si="3"/>
        <v>5.45654296875E-2</v>
      </c>
      <c r="AA16" s="2">
        <f t="shared" si="2"/>
        <v>1.9980377757931878E-5</v>
      </c>
      <c r="AB16" s="2">
        <f t="shared" si="4"/>
        <v>2.8411182410343693E-9</v>
      </c>
      <c r="AC16" s="2">
        <f t="shared" si="5"/>
        <v>-2.0426935561957383E-9</v>
      </c>
      <c r="AD16" s="2">
        <f t="shared" si="6"/>
        <v>2.44140625E-4</v>
      </c>
      <c r="AF16" s="2">
        <v>12</v>
      </c>
      <c r="AG16" s="2">
        <f t="shared" si="13"/>
        <v>3060.546875</v>
      </c>
      <c r="AH16" s="2">
        <v>-1.8841370725872366</v>
      </c>
      <c r="AI16" s="2">
        <f t="shared" si="14"/>
        <v>3065.185546875</v>
      </c>
      <c r="AJ16" s="2">
        <v>0.31296096291134745</v>
      </c>
      <c r="AK16" s="2">
        <f t="shared" si="9"/>
        <v>3062.8662109375</v>
      </c>
      <c r="AL16" s="2">
        <v>-0.78549615465908573</v>
      </c>
      <c r="AM16" s="2">
        <f t="shared" si="10"/>
        <v>1.479982425367901</v>
      </c>
      <c r="AN16" s="2">
        <f t="shared" si="11"/>
        <v>-0.24582963292526816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0.3464009772440777</v>
      </c>
      <c r="H17" s="6" t="s">
        <v>122</v>
      </c>
      <c r="J17" s="13" t="s">
        <v>77</v>
      </c>
      <c r="K17" s="6">
        <f xml:space="preserve"> $C$54 * 0.1149 * K4</f>
        <v>48.635775128484553</v>
      </c>
      <c r="L17" s="6" t="s">
        <v>7</v>
      </c>
      <c r="N17" s="6" t="s">
        <v>25</v>
      </c>
      <c r="O17" s="6">
        <f xml:space="preserve"> ACOS(O14)/PI()*180</f>
        <v>4.6539308873209624</v>
      </c>
      <c r="P17" s="6" t="s">
        <v>40</v>
      </c>
      <c r="U17" s="2">
        <v>13</v>
      </c>
      <c r="V17" s="2">
        <f t="shared" si="7"/>
        <v>5.45654296875E-2</v>
      </c>
      <c r="W17" s="2">
        <f t="shared" si="0"/>
        <v>1.9980377757931878E-5</v>
      </c>
      <c r="X17" s="2">
        <f t="shared" si="8"/>
        <v>5.46875E-2</v>
      </c>
      <c r="Y17" s="2">
        <f t="shared" si="1"/>
        <v>-1.0223498178781043E-4</v>
      </c>
      <c r="Z17" s="2">
        <f t="shared" si="3"/>
        <v>5.462646484375E-2</v>
      </c>
      <c r="AA17" s="2">
        <f t="shared" si="2"/>
        <v>-4.1127262568135814E-5</v>
      </c>
      <c r="AB17" s="2">
        <f t="shared" si="4"/>
        <v>-8.2173824226100506E-10</v>
      </c>
      <c r="AC17" s="2">
        <f t="shared" si="5"/>
        <v>4.2046449396358624E-9</v>
      </c>
      <c r="AD17" s="2">
        <f t="shared" si="6"/>
        <v>1.220703125E-4</v>
      </c>
      <c r="AF17" s="2">
        <v>13</v>
      </c>
      <c r="AG17" s="2">
        <f t="shared" si="13"/>
        <v>3062.8662109375</v>
      </c>
      <c r="AH17" s="2">
        <v>-0.78549615465908573</v>
      </c>
      <c r="AI17" s="2">
        <f t="shared" si="14"/>
        <v>3065.185546875</v>
      </c>
      <c r="AJ17" s="2">
        <v>0.31296096291134745</v>
      </c>
      <c r="AK17" s="2">
        <f t="shared" si="9"/>
        <v>3064.02587890625</v>
      </c>
      <c r="AL17" s="2">
        <v>-0.2362425196733966</v>
      </c>
      <c r="AM17" s="2">
        <f t="shared" si="10"/>
        <v>0.18556759077042645</v>
      </c>
      <c r="AN17" s="2">
        <f t="shared" si="11"/>
        <v>-7.3934686437589145E-2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7533.3054841446829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138.24518091757665</v>
      </c>
      <c r="L18" s="6" t="s">
        <v>7</v>
      </c>
      <c r="N18" s="6" t="s">
        <v>19</v>
      </c>
      <c r="O18" s="6">
        <f xml:space="preserve"> O13 / $C$18</f>
        <v>7533.3054841446829</v>
      </c>
      <c r="P18" s="6" t="s">
        <v>20</v>
      </c>
      <c r="U18" s="2">
        <v>14</v>
      </c>
      <c r="V18" s="2">
        <f t="shared" si="7"/>
        <v>5.45654296875E-2</v>
      </c>
      <c r="W18" s="2">
        <f t="shared" si="0"/>
        <v>1.9980377757931878E-5</v>
      </c>
      <c r="X18" s="2">
        <f t="shared" si="8"/>
        <v>5.462646484375E-2</v>
      </c>
      <c r="Y18" s="2">
        <f t="shared" si="1"/>
        <v>-4.1127262568135814E-5</v>
      </c>
      <c r="Z18" s="2">
        <f t="shared" si="3"/>
        <v>5.4595947265625E-2</v>
      </c>
      <c r="AA18" s="2">
        <f t="shared" si="2"/>
        <v>-1.0573432542959615E-5</v>
      </c>
      <c r="AB18" s="2">
        <f t="shared" si="4"/>
        <v>-2.1126117640634339E-10</v>
      </c>
      <c r="AC18" s="2">
        <f t="shared" si="5"/>
        <v>4.3485633644077207E-10</v>
      </c>
      <c r="AD18" s="2">
        <f t="shared" si="6"/>
        <v>6.103515625E-5</v>
      </c>
      <c r="AF18" s="2">
        <v>14</v>
      </c>
      <c r="AG18" s="2">
        <f t="shared" si="13"/>
        <v>3064.02587890625</v>
      </c>
      <c r="AH18" s="2">
        <v>-0.2362425196733966</v>
      </c>
      <c r="AI18" s="2">
        <f t="shared" si="14"/>
        <v>3065.185546875</v>
      </c>
      <c r="AJ18" s="2">
        <v>0.31296096291134745</v>
      </c>
      <c r="AK18" s="2">
        <f t="shared" si="9"/>
        <v>3064.605712890625</v>
      </c>
      <c r="AL18" s="2">
        <v>3.8353460620328406E-2</v>
      </c>
      <c r="AM18" s="2">
        <f t="shared" si="10"/>
        <v>-9.0607181751407757E-3</v>
      </c>
      <c r="AN18" s="2">
        <f t="shared" si="11"/>
        <v>1.2003135966720422E-2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66.047485046677153</v>
      </c>
      <c r="H19" s="6" t="s">
        <v>101</v>
      </c>
      <c r="J19" s="14" t="s">
        <v>61</v>
      </c>
      <c r="K19" s="6">
        <f xml:space="preserve"> $C$55 * C31 * $C$5</f>
        <v>34.322485057236101</v>
      </c>
      <c r="L19" s="6" t="s">
        <v>7</v>
      </c>
      <c r="N19" s="6" t="s">
        <v>26</v>
      </c>
      <c r="O19" s="6">
        <f>$C$7*2*PI()/60</f>
        <v>25.258379389256266</v>
      </c>
      <c r="P19" s="6" t="s">
        <v>27</v>
      </c>
      <c r="U19" s="2">
        <v>15</v>
      </c>
      <c r="V19" s="2">
        <f t="shared" si="7"/>
        <v>5.45654296875E-2</v>
      </c>
      <c r="W19" s="2">
        <f t="shared" si="0"/>
        <v>1.9980377757931878E-5</v>
      </c>
      <c r="X19" s="2">
        <f t="shared" si="8"/>
        <v>5.4595947265625E-2</v>
      </c>
      <c r="Y19" s="2">
        <f t="shared" si="1"/>
        <v>-1.0573432542959615E-5</v>
      </c>
      <c r="Z19" s="2">
        <f t="shared" si="3"/>
        <v>5.45806884765625E-2</v>
      </c>
      <c r="AA19" s="2">
        <f t="shared" si="2"/>
        <v>4.7034750730798325E-6</v>
      </c>
      <c r="AB19" s="2">
        <f t="shared" si="4"/>
        <v>9.3977208735151301E-11</v>
      </c>
      <c r="AC19" s="2">
        <f t="shared" si="5"/>
        <v>-4.9731876402701659E-11</v>
      </c>
      <c r="AD19" s="2">
        <f t="shared" si="6"/>
        <v>3.0517578125E-5</v>
      </c>
      <c r="AF19" s="2">
        <v>15</v>
      </c>
      <c r="AG19" s="2">
        <f t="shared" si="13"/>
        <v>3064.02587890625</v>
      </c>
      <c r="AH19" s="2">
        <v>-0.2362425196733966</v>
      </c>
      <c r="AI19" s="2">
        <f t="shared" si="14"/>
        <v>3064.605712890625</v>
      </c>
      <c r="AJ19" s="2">
        <v>3.8353460620328406E-2</v>
      </c>
      <c r="AK19" s="2">
        <f t="shared" si="9"/>
        <v>3064.3157958984375</v>
      </c>
      <c r="AL19" s="2">
        <v>-9.8939949927626003E-2</v>
      </c>
      <c r="AM19" s="2">
        <f t="shared" si="10"/>
        <v>2.3373823067262059E-2</v>
      </c>
      <c r="AN19" s="2">
        <f t="shared" si="11"/>
        <v>-3.7946894733264683E-3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11.638008837170609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0.57988661348875348</v>
      </c>
      <c r="U20" s="2">
        <v>16</v>
      </c>
      <c r="V20" s="2">
        <f t="shared" si="7"/>
        <v>5.45806884765625E-2</v>
      </c>
      <c r="W20" s="2">
        <f t="shared" si="0"/>
        <v>4.7034750730798325E-6</v>
      </c>
      <c r="X20" s="2">
        <f t="shared" si="8"/>
        <v>5.4595947265625E-2</v>
      </c>
      <c r="Y20" s="2">
        <f t="shared" si="1"/>
        <v>-1.0573432542959615E-5</v>
      </c>
      <c r="Z20" s="2">
        <f t="shared" si="3"/>
        <v>5.458831787109375E-2</v>
      </c>
      <c r="AA20" s="2">
        <f t="shared" si="2"/>
        <v>-2.9349781185475377E-6</v>
      </c>
      <c r="AB20" s="2">
        <f t="shared" si="4"/>
        <v>-1.3804596420623088E-11</v>
      </c>
      <c r="AC20" s="2">
        <f t="shared" si="5"/>
        <v>3.103279315152492E-11</v>
      </c>
      <c r="AD20" s="2">
        <f t="shared" si="6"/>
        <v>1.52587890625E-5</v>
      </c>
      <c r="AF20" s="2">
        <v>16</v>
      </c>
      <c r="AG20" s="2">
        <f t="shared" si="13"/>
        <v>3064.3157958984375</v>
      </c>
      <c r="AH20" s="2">
        <v>-9.8939949927626003E-2</v>
      </c>
      <c r="AI20" s="2">
        <f t="shared" si="14"/>
        <v>3064.605712890625</v>
      </c>
      <c r="AJ20" s="2">
        <v>3.8353460620328406E-2</v>
      </c>
      <c r="AK20" s="2">
        <f t="shared" si="9"/>
        <v>3064.4607543945312</v>
      </c>
      <c r="AL20" s="2">
        <v>-3.0294106387827924E-2</v>
      </c>
      <c r="AM20" s="2">
        <f t="shared" si="10"/>
        <v>2.99729736911387E-3</v>
      </c>
      <c r="AN20" s="2">
        <f t="shared" si="11"/>
        <v>-1.1618838163735975E-3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0.13999999999814736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8.5962767861656932E-3</v>
      </c>
      <c r="U21" s="2">
        <v>17</v>
      </c>
      <c r="V21" s="2">
        <f t="shared" si="7"/>
        <v>5.45806884765625E-2</v>
      </c>
      <c r="W21" s="2">
        <f t="shared" si="0"/>
        <v>4.7034750730798325E-6</v>
      </c>
      <c r="X21" s="2">
        <f t="shared" si="8"/>
        <v>5.458831787109375E-2</v>
      </c>
      <c r="Y21" s="2">
        <f t="shared" si="1"/>
        <v>-2.9349781185475377E-6</v>
      </c>
      <c r="Z21" s="2">
        <f t="shared" si="3"/>
        <v>5.4584503173828125E-2</v>
      </c>
      <c r="AA21" s="2">
        <f t="shared" si="2"/>
        <v>8.8424863136510323E-7</v>
      </c>
      <c r="AB21" s="2">
        <f t="shared" si="4"/>
        <v>4.1590413960307205E-12</v>
      </c>
      <c r="AC21" s="2">
        <f t="shared" si="5"/>
        <v>-2.5952503844121858E-12</v>
      </c>
      <c r="AD21" s="2">
        <f t="shared" si="6"/>
        <v>7.62939453125E-6</v>
      </c>
      <c r="AF21" s="2">
        <v>17</v>
      </c>
      <c r="AG21" s="2">
        <f t="shared" si="13"/>
        <v>3064.4607543945312</v>
      </c>
      <c r="AH21" s="2">
        <v>-3.0294106387827924E-2</v>
      </c>
      <c r="AI21" s="2">
        <f t="shared" si="14"/>
        <v>3064.605712890625</v>
      </c>
      <c r="AJ21" s="2">
        <v>3.8353460620328406E-2</v>
      </c>
      <c r="AK21" s="2">
        <f t="shared" si="9"/>
        <v>3064.5332336425781</v>
      </c>
      <c r="AL21" s="2">
        <v>4.0374895947934419E-3</v>
      </c>
      <c r="AM21" s="2">
        <f t="shared" si="10"/>
        <v>-1.2231213932442078E-4</v>
      </c>
      <c r="AN21" s="2">
        <f t="shared" si="11"/>
        <v>1.5485169817889598E-4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264.18994018670861</v>
      </c>
      <c r="H22" s="25" t="s">
        <v>101</v>
      </c>
      <c r="J22" s="14" t="s">
        <v>112</v>
      </c>
      <c r="K22" s="6">
        <f>$C$55*(0.14*$G$12*1000/745.7)*0.453592</f>
        <v>24.031110086310061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5.4584503173828125E-2</v>
      </c>
      <c r="W22" s="2">
        <f t="shared" si="0"/>
        <v>8.8424863136510323E-7</v>
      </c>
      <c r="X22" s="2">
        <f t="shared" si="8"/>
        <v>5.458831787109375E-2</v>
      </c>
      <c r="Y22" s="2">
        <f t="shared" si="1"/>
        <v>-2.9349781185475377E-6</v>
      </c>
      <c r="Z22" s="2">
        <f t="shared" si="3"/>
        <v>5.4586410522460938E-2</v>
      </c>
      <c r="AA22" s="2">
        <f t="shared" si="2"/>
        <v>-1.0253647050664783E-6</v>
      </c>
      <c r="AB22" s="2">
        <f t="shared" si="4"/>
        <v>-9.0667733710511608E-13</v>
      </c>
      <c r="AC22" s="2">
        <f t="shared" si="5"/>
        <v>3.0094229729010631E-12</v>
      </c>
      <c r="AD22" s="2">
        <f t="shared" si="6"/>
        <v>3.814697265625E-6</v>
      </c>
      <c r="AF22" s="2">
        <v>18</v>
      </c>
      <c r="AG22" s="2">
        <f t="shared" si="13"/>
        <v>3064.4607543945312</v>
      </c>
      <c r="AH22" s="2">
        <v>-3.0294106387827924E-2</v>
      </c>
      <c r="AI22" s="2">
        <f t="shared" si="14"/>
        <v>3064.5332336425781</v>
      </c>
      <c r="AJ22" s="2">
        <v>4.0374895947934419E-3</v>
      </c>
      <c r="AK22" s="2">
        <f t="shared" si="9"/>
        <v>3064.4969940185547</v>
      </c>
      <c r="AL22" s="2">
        <v>-1.3120334489030938E-2</v>
      </c>
      <c r="AM22" s="2">
        <f t="shared" si="10"/>
        <v>3.9746880885459116E-4</v>
      </c>
      <c r="AN22" s="2">
        <f t="shared" si="11"/>
        <v>-5.2973213979671942E-5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65.703042823851959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17687.902555953682</v>
      </c>
      <c r="P23" s="6" t="s">
        <v>18</v>
      </c>
      <c r="U23" s="2">
        <v>19</v>
      </c>
      <c r="V23" s="2">
        <f t="shared" si="7"/>
        <v>5.4584503173828125E-2</v>
      </c>
      <c r="W23" s="2">
        <f t="shared" si="0"/>
        <v>8.8424863136510323E-7</v>
      </c>
      <c r="X23" s="2">
        <f t="shared" si="8"/>
        <v>5.4586410522460938E-2</v>
      </c>
      <c r="Y23" s="2">
        <f t="shared" si="1"/>
        <v>-1.0253647050664783E-6</v>
      </c>
      <c r="Z23" s="2">
        <f t="shared" si="3"/>
        <v>5.4585456848144531E-2</v>
      </c>
      <c r="AA23" s="2">
        <f t="shared" si="2"/>
        <v>-7.0558027219502772E-8</v>
      </c>
      <c r="AB23" s="2">
        <f t="shared" si="4"/>
        <v>-6.2390839000667029E-14</v>
      </c>
      <c r="AC23" s="2">
        <f t="shared" si="5"/>
        <v>7.2347710769998002E-14</v>
      </c>
      <c r="AD23" s="2">
        <f t="shared" si="6"/>
        <v>1.9073486328125E-6</v>
      </c>
      <c r="AF23" s="2">
        <v>19</v>
      </c>
      <c r="AG23" s="2">
        <f t="shared" si="13"/>
        <v>3064.4969940185547</v>
      </c>
      <c r="AH23" s="2">
        <v>-1.3120334489030938E-2</v>
      </c>
      <c r="AI23" s="2">
        <f t="shared" si="14"/>
        <v>3064.5332336425781</v>
      </c>
      <c r="AJ23" s="2">
        <v>4.0374895947934419E-3</v>
      </c>
      <c r="AK23" s="2">
        <f t="shared" si="9"/>
        <v>3064.5151138305664</v>
      </c>
      <c r="AL23" s="2">
        <v>-4.5494637611227517E-3</v>
      </c>
      <c r="AM23" s="2">
        <f t="shared" si="10"/>
        <v>5.9690486291655252E-5</v>
      </c>
      <c r="AN23" s="2">
        <f t="shared" si="11"/>
        <v>-1.8368412597422947E-5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8.9604741568246169</v>
      </c>
      <c r="L24" s="6" t="s">
        <v>7</v>
      </c>
      <c r="N24" s="6" t="s">
        <v>31</v>
      </c>
      <c r="O24" s="18">
        <f>Z34</f>
        <v>5.4585386533290148E-2</v>
      </c>
      <c r="U24" s="2">
        <v>20</v>
      </c>
      <c r="V24" s="2">
        <f t="shared" si="7"/>
        <v>5.4584503173828125E-2</v>
      </c>
      <c r="W24" s="2">
        <f t="shared" si="0"/>
        <v>8.8424863136510323E-7</v>
      </c>
      <c r="X24" s="2">
        <f t="shared" si="8"/>
        <v>5.4585456848144531E-2</v>
      </c>
      <c r="Y24" s="2">
        <f t="shared" si="1"/>
        <v>-7.0558027219502772E-8</v>
      </c>
      <c r="Z24" s="2">
        <f t="shared" si="3"/>
        <v>5.4584980010986328E-2</v>
      </c>
      <c r="AA24" s="2">
        <f t="shared" si="2"/>
        <v>4.0684530448059641E-7</v>
      </c>
      <c r="AB24" s="2">
        <f t="shared" si="4"/>
        <v>3.597524036642861E-13</v>
      </c>
      <c r="AC24" s="2">
        <f t="shared" si="5"/>
        <v>-2.8706202067668817E-14</v>
      </c>
      <c r="AD24" s="2">
        <f t="shared" si="6"/>
        <v>9.5367431640625E-7</v>
      </c>
      <c r="AF24" s="2">
        <v>20</v>
      </c>
      <c r="AG24" s="2">
        <f t="shared" si="13"/>
        <v>3064.5151138305664</v>
      </c>
      <c r="AH24" s="2">
        <v>-4.5494637611227517E-3</v>
      </c>
      <c r="AI24" s="2">
        <f t="shared" si="14"/>
        <v>3064.5332336425781</v>
      </c>
      <c r="AJ24" s="2">
        <v>4.0374895947934419E-3</v>
      </c>
      <c r="AK24" s="2">
        <f t="shared" si="9"/>
        <v>3064.5241737365723</v>
      </c>
      <c r="AL24" s="2">
        <v>-2.6401834475109354E-4</v>
      </c>
      <c r="AM24" s="2">
        <f t="shared" si="10"/>
        <v>1.2011418917167134E-6</v>
      </c>
      <c r="AN24" s="2">
        <f t="shared" si="11"/>
        <v>-1.065971319767128E-6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19.612848604134914</v>
      </c>
      <c r="L25" s="6" t="s">
        <v>7</v>
      </c>
      <c r="N25" s="6" t="s">
        <v>32</v>
      </c>
      <c r="O25" s="6">
        <f xml:space="preserve"> O19 * $C$9 * O24 - $C$8 * SIN(O17/180*PI())</f>
        <v>0.85051509908659639</v>
      </c>
      <c r="P25" s="6" t="s">
        <v>10</v>
      </c>
      <c r="U25" s="2">
        <v>21</v>
      </c>
      <c r="V25" s="2">
        <f t="shared" si="7"/>
        <v>5.4584980010986328E-2</v>
      </c>
      <c r="W25" s="2">
        <f t="shared" si="0"/>
        <v>4.0684530448059641E-7</v>
      </c>
      <c r="X25" s="2">
        <f t="shared" si="8"/>
        <v>5.4585456848144531E-2</v>
      </c>
      <c r="Y25" s="2">
        <f t="shared" si="1"/>
        <v>-7.0558027219502772E-8</v>
      </c>
      <c r="Z25" s="2">
        <f t="shared" si="3"/>
        <v>5.458521842956543E-2</v>
      </c>
      <c r="AA25" s="2">
        <f t="shared" si="2"/>
        <v>1.6814363923423059E-7</v>
      </c>
      <c r="AB25" s="2">
        <f t="shared" si="4"/>
        <v>6.8408450100726099E-14</v>
      </c>
      <c r="AC25" s="2">
        <f t="shared" si="5"/>
        <v>-1.1863883473875097E-14</v>
      </c>
      <c r="AD25" s="2">
        <f t="shared" si="6"/>
        <v>4.76837158203125E-7</v>
      </c>
      <c r="AF25" s="2">
        <v>21</v>
      </c>
      <c r="AG25" s="2">
        <f t="shared" si="13"/>
        <v>3064.5241737365723</v>
      </c>
      <c r="AH25" s="2">
        <v>-2.6401834475109354E-4</v>
      </c>
      <c r="AI25" s="2">
        <f t="shared" si="14"/>
        <v>3064.5332336425781</v>
      </c>
      <c r="AJ25" s="2">
        <v>4.0374895947934419E-3</v>
      </c>
      <c r="AK25" s="2">
        <f t="shared" si="9"/>
        <v>3064.5287036895752</v>
      </c>
      <c r="AL25" s="2">
        <v>1.8947626695080544E-3</v>
      </c>
      <c r="AM25" s="2">
        <f t="shared" si="10"/>
        <v>-5.0025210369967981E-7</v>
      </c>
      <c r="AN25" s="2">
        <f t="shared" si="11"/>
        <v>7.6500845627418149E-6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56.532931201405511</v>
      </c>
      <c r="L26" s="6" t="s">
        <v>7</v>
      </c>
      <c r="N26" s="6" t="s">
        <v>33</v>
      </c>
      <c r="O26" s="6">
        <f xml:space="preserve"> 1/$C$21 - O23 * SQRT( (2*$C$47*PI()*$C$9^2) / O18^3 )</f>
        <v>1.022598272961851</v>
      </c>
      <c r="U26" s="2">
        <v>22</v>
      </c>
      <c r="V26" s="2">
        <f t="shared" si="7"/>
        <v>5.458521842956543E-2</v>
      </c>
      <c r="W26" s="2">
        <f t="shared" si="0"/>
        <v>1.6814363923423059E-7</v>
      </c>
      <c r="X26" s="2">
        <f t="shared" si="8"/>
        <v>5.4585456848144531E-2</v>
      </c>
      <c r="Y26" s="2">
        <f t="shared" si="1"/>
        <v>-7.0558027219502772E-8</v>
      </c>
      <c r="Z26" s="2">
        <f t="shared" si="3"/>
        <v>5.458533763885498E-2</v>
      </c>
      <c r="AA26" s="2">
        <f t="shared" si="2"/>
        <v>4.8792806156550128E-8</v>
      </c>
      <c r="AB26" s="2">
        <f t="shared" si="4"/>
        <v>8.2041999956127093E-15</v>
      </c>
      <c r="AC26" s="2">
        <f t="shared" si="5"/>
        <v>-3.4427241449097864E-15</v>
      </c>
      <c r="AD26" s="2">
        <f t="shared" si="6"/>
        <v>2.384185791015625E-7</v>
      </c>
      <c r="AF26" s="2">
        <v>22</v>
      </c>
      <c r="AG26" s="2">
        <f t="shared" si="13"/>
        <v>3064.5241737365723</v>
      </c>
      <c r="AH26" s="2">
        <v>-2.6401834475109354E-4</v>
      </c>
      <c r="AI26" s="2">
        <f t="shared" si="14"/>
        <v>3064.5287036895752</v>
      </c>
      <c r="AJ26" s="2">
        <v>1.8947626695080544E-3</v>
      </c>
      <c r="AK26" s="2">
        <f t="shared" si="9"/>
        <v>3064.5264387130737</v>
      </c>
      <c r="AL26" s="2">
        <v>8.2339983828205732E-4</v>
      </c>
      <c r="AM26" s="2">
        <f t="shared" si="10"/>
        <v>-2.1739266237154688E-7</v>
      </c>
      <c r="AN26" s="2">
        <f t="shared" si="11"/>
        <v>1.5601472756558112E-6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-8.1107807664011489E-3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5.458533763885498E-2</v>
      </c>
      <c r="W27" s="2">
        <f t="shared" si="0"/>
        <v>4.8792806156550128E-8</v>
      </c>
      <c r="X27" s="2">
        <f t="shared" si="8"/>
        <v>5.4585456848144531E-2</v>
      </c>
      <c r="Y27" s="2">
        <f t="shared" si="1"/>
        <v>-7.0558027219502772E-8</v>
      </c>
      <c r="Z27" s="2">
        <f t="shared" si="3"/>
        <v>5.4585397243499756E-2</v>
      </c>
      <c r="AA27" s="2">
        <f t="shared" si="2"/>
        <v>-1.0882610493312406E-8</v>
      </c>
      <c r="AB27" s="2">
        <f t="shared" si="4"/>
        <v>-5.3099310427743054E-16</v>
      </c>
      <c r="AC27" s="2">
        <f t="shared" si="5"/>
        <v>7.6785552740638325E-16</v>
      </c>
      <c r="AD27" s="2">
        <f t="shared" si="6"/>
        <v>1.1920928955078125E-7</v>
      </c>
      <c r="AF27" s="2">
        <v>23</v>
      </c>
      <c r="AG27" s="2">
        <f t="shared" si="13"/>
        <v>3064.5241737365723</v>
      </c>
      <c r="AH27" s="2">
        <v>-2.6401834475109354E-4</v>
      </c>
      <c r="AI27" s="2">
        <f t="shared" si="14"/>
        <v>3064.5264387130737</v>
      </c>
      <c r="AJ27" s="2">
        <v>8.2339983828205732E-4</v>
      </c>
      <c r="AK27" s="2">
        <f t="shared" si="9"/>
        <v>3064.525306224823</v>
      </c>
      <c r="AL27" s="2">
        <v>2.7969069105893141E-4</v>
      </c>
      <c r="AM27" s="2">
        <f t="shared" si="10"/>
        <v>-7.3843473295668553E-8</v>
      </c>
      <c r="AN27" s="2">
        <f t="shared" si="11"/>
        <v>2.3029726978692096E-7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7509.1860488797429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1.1507215620743692</v>
      </c>
      <c r="U28" s="2">
        <v>24</v>
      </c>
      <c r="V28" s="2">
        <f t="shared" si="7"/>
        <v>5.458533763885498E-2</v>
      </c>
      <c r="W28" s="2">
        <f t="shared" si="0"/>
        <v>4.8792806156550128E-8</v>
      </c>
      <c r="X28" s="2">
        <f t="shared" si="8"/>
        <v>5.4585397243499756E-2</v>
      </c>
      <c r="Y28" s="2">
        <f t="shared" si="1"/>
        <v>-1.0882610493312406E-8</v>
      </c>
      <c r="Z28" s="2">
        <f t="shared" si="3"/>
        <v>5.4585367441177368E-2</v>
      </c>
      <c r="AA28" s="2">
        <f t="shared" si="2"/>
        <v>1.8955097838557755E-8</v>
      </c>
      <c r="AB28" s="2">
        <f t="shared" si="4"/>
        <v>9.2487241451519088E-16</v>
      </c>
      <c r="AC28" s="2">
        <f t="shared" si="5"/>
        <v>-2.0628094663965193E-16</v>
      </c>
      <c r="AD28" s="2">
        <f t="shared" si="6"/>
        <v>5.9604644775390625E-8</v>
      </c>
      <c r="AF28" s="2">
        <v>24</v>
      </c>
      <c r="AG28" s="2">
        <f t="shared" si="13"/>
        <v>3064.5241737365723</v>
      </c>
      <c r="AH28" s="2">
        <v>-2.6401834475109354E-4</v>
      </c>
      <c r="AI28" s="2">
        <f t="shared" si="14"/>
        <v>3064.525306224823</v>
      </c>
      <c r="AJ28" s="2">
        <v>2.7969069105893141E-4</v>
      </c>
      <c r="AK28" s="2">
        <f t="shared" si="9"/>
        <v>3064.5247399806976</v>
      </c>
      <c r="AL28" s="2">
        <v>1.5864045963098761E-5</v>
      </c>
      <c r="AM28" s="2">
        <f t="shared" si="10"/>
        <v>-4.1883991562326023E-9</v>
      </c>
      <c r="AN28" s="2">
        <f t="shared" si="11"/>
        <v>4.4370259784097434E-9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74.390506005049943</v>
      </c>
      <c r="H29" t="s">
        <v>18</v>
      </c>
      <c r="U29" s="2">
        <v>25</v>
      </c>
      <c r="V29" s="2">
        <f t="shared" si="7"/>
        <v>5.4585367441177368E-2</v>
      </c>
      <c r="W29" s="2">
        <f t="shared" si="0"/>
        <v>1.8955097838557755E-8</v>
      </c>
      <c r="X29" s="2">
        <f t="shared" si="8"/>
        <v>5.4585397243499756E-2</v>
      </c>
      <c r="Y29" s="2">
        <f t="shared" si="1"/>
        <v>-1.0882610493312406E-8</v>
      </c>
      <c r="Z29" s="2">
        <f t="shared" si="3"/>
        <v>5.4585382342338562E-2</v>
      </c>
      <c r="AA29" s="2">
        <f t="shared" si="2"/>
        <v>4.0362436726226747E-9</v>
      </c>
      <c r="AB29" s="2">
        <f t="shared" si="4"/>
        <v>7.6507393714822472E-17</v>
      </c>
      <c r="AC29" s="2">
        <f t="shared" si="5"/>
        <v>-4.3924867745249324E-17</v>
      </c>
      <c r="AD29" s="2">
        <f t="shared" si="6"/>
        <v>2.9802322387695312E-8</v>
      </c>
      <c r="AF29" s="2">
        <v>25</v>
      </c>
      <c r="AG29" s="2">
        <f t="shared" si="13"/>
        <v>3064.5241737365723</v>
      </c>
      <c r="AH29" s="2">
        <v>-2.6401834475109354E-4</v>
      </c>
      <c r="AI29" s="2">
        <f t="shared" si="14"/>
        <v>3064.5247399806976</v>
      </c>
      <c r="AJ29" s="2">
        <v>1.5864045963098761E-5</v>
      </c>
      <c r="AK29" s="2">
        <f t="shared" si="9"/>
        <v>3064.5244568586349</v>
      </c>
      <c r="AL29" s="2">
        <v>-1.240771539414709E-4</v>
      </c>
      <c r="AM29" s="2">
        <f t="shared" si="10"/>
        <v>3.2758644805053771E-8</v>
      </c>
      <c r="AN29" s="2">
        <f t="shared" si="11"/>
        <v>-1.9683656730979749E-9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10.298718744392087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5.4585382342338562E-2</v>
      </c>
      <c r="W30" s="2">
        <f t="shared" si="0"/>
        <v>4.0362436726226747E-9</v>
      </c>
      <c r="X30" s="2">
        <f t="shared" si="8"/>
        <v>5.4585397243499756E-2</v>
      </c>
      <c r="Y30" s="2">
        <f t="shared" si="1"/>
        <v>-1.0882610493312406E-8</v>
      </c>
      <c r="Z30" s="2">
        <f t="shared" si="3"/>
        <v>5.4585389792919159E-2</v>
      </c>
      <c r="AA30" s="2">
        <f t="shared" si="2"/>
        <v>-3.4231834103448655E-9</v>
      </c>
      <c r="AB30" s="2">
        <f t="shared" si="4"/>
        <v>-1.3816802380231373E-17</v>
      </c>
      <c r="AC30" s="2">
        <f t="shared" si="5"/>
        <v>3.7253171701951981E-17</v>
      </c>
      <c r="AD30" s="2">
        <f t="shared" si="6"/>
        <v>1.4901161193847656E-8</v>
      </c>
      <c r="AF30" s="2">
        <v>26</v>
      </c>
      <c r="AG30" s="2">
        <f t="shared" si="13"/>
        <v>3064.5244568586349</v>
      </c>
      <c r="AH30" s="2">
        <v>-1.240771539414709E-4</v>
      </c>
      <c r="AI30" s="2">
        <f t="shared" si="14"/>
        <v>3064.5247399806976</v>
      </c>
      <c r="AJ30" s="2">
        <v>1.5864045963098761E-5</v>
      </c>
      <c r="AK30" s="2">
        <f t="shared" si="9"/>
        <v>3064.5245984196663</v>
      </c>
      <c r="AL30" s="2">
        <v>-6.2134439303918043E-5</v>
      </c>
      <c r="AM30" s="2">
        <f t="shared" si="10"/>
        <v>7.709464390579219E-9</v>
      </c>
      <c r="AN30" s="2">
        <f t="shared" si="11"/>
        <v>-9.85703601008726E-10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297.56202402019977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5.4585382342338562E-2</v>
      </c>
      <c r="W31" s="2">
        <f t="shared" si="0"/>
        <v>4.0362436726226747E-9</v>
      </c>
      <c r="X31" s="2">
        <f t="shared" si="8"/>
        <v>5.4585389792919159E-2</v>
      </c>
      <c r="Y31" s="2">
        <f t="shared" si="1"/>
        <v>-3.4231834103448655E-9</v>
      </c>
      <c r="Z31" s="2">
        <f t="shared" si="3"/>
        <v>5.458538606762886E-2</v>
      </c>
      <c r="AA31" s="2">
        <f t="shared" si="2"/>
        <v>3.0653013460835155E-10</v>
      </c>
      <c r="AB31" s="2">
        <f t="shared" si="4"/>
        <v>1.2372303162811357E-18</v>
      </c>
      <c r="AC31" s="2">
        <f t="shared" si="5"/>
        <v>-1.0493088715620875E-18</v>
      </c>
      <c r="AD31" s="2">
        <f t="shared" si="6"/>
        <v>7.4505805969238281E-9</v>
      </c>
      <c r="AF31" s="2">
        <v>27</v>
      </c>
      <c r="AG31" s="2">
        <f t="shared" si="13"/>
        <v>3064.5245984196663</v>
      </c>
      <c r="AH31" s="2">
        <v>-6.2134439303918043E-5</v>
      </c>
      <c r="AI31" s="2">
        <f t="shared" si="14"/>
        <v>3064.5247399806976</v>
      </c>
      <c r="AJ31" s="2">
        <v>1.5864045963098761E-5</v>
      </c>
      <c r="AK31" s="2">
        <f t="shared" si="9"/>
        <v>3064.524669200182</v>
      </c>
      <c r="AL31" s="2">
        <v>-2.3135197807278018E-5</v>
      </c>
      <c r="AM31" s="2">
        <f t="shared" si="10"/>
        <v>1.4374925439404538E-9</v>
      </c>
      <c r="AN31" s="2">
        <f t="shared" si="11"/>
        <v>-3.6701784138004015E-10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1306.05</v>
      </c>
      <c r="L32" s="6" t="s">
        <v>7</v>
      </c>
      <c r="U32" s="2">
        <v>28</v>
      </c>
      <c r="V32" s="2">
        <f t="shared" si="7"/>
        <v>5.458538606762886E-2</v>
      </c>
      <c r="W32" s="2">
        <f t="shared" si="0"/>
        <v>3.0653013460835155E-10</v>
      </c>
      <c r="X32" s="2">
        <f t="shared" si="8"/>
        <v>5.4585389792919159E-2</v>
      </c>
      <c r="Y32" s="2">
        <f t="shared" si="1"/>
        <v>-3.4231834103448655E-9</v>
      </c>
      <c r="Z32" s="2">
        <f t="shared" si="3"/>
        <v>5.458538793027401E-2</v>
      </c>
      <c r="AA32" s="2">
        <f t="shared" si="2"/>
        <v>-1.5583266413377039E-9</v>
      </c>
      <c r="AB32" s="2">
        <f t="shared" si="4"/>
        <v>-4.7767407513302675E-19</v>
      </c>
      <c r="AC32" s="2">
        <f t="shared" si="5"/>
        <v>5.3344379065256618E-18</v>
      </c>
      <c r="AD32" s="2">
        <f t="shared" si="6"/>
        <v>3.7252902984619141E-9</v>
      </c>
      <c r="AF32" s="2">
        <v>28</v>
      </c>
      <c r="AG32" s="2">
        <f t="shared" si="13"/>
        <v>3064.524669200182</v>
      </c>
      <c r="AH32" s="2">
        <v>-2.3135197807278018E-5</v>
      </c>
      <c r="AI32" s="2">
        <f t="shared" si="14"/>
        <v>3064.5247399806976</v>
      </c>
      <c r="AJ32" s="2">
        <v>1.5864045963098761E-5</v>
      </c>
      <c r="AK32" s="2">
        <f t="shared" si="9"/>
        <v>3064.5247045904398</v>
      </c>
      <c r="AL32" s="2">
        <v>-1.1663462373689981E-5</v>
      </c>
      <c r="AM32" s="2">
        <f t="shared" si="10"/>
        <v>2.6983650913306212E-10</v>
      </c>
      <c r="AN32" s="2">
        <f t="shared" si="11"/>
        <v>-1.8502970318509083E-10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811.06</v>
      </c>
      <c r="L33" s="6" t="s">
        <v>7</v>
      </c>
      <c r="U33" s="2">
        <v>29</v>
      </c>
      <c r="V33" s="2">
        <f t="shared" si="7"/>
        <v>5.458538606762886E-2</v>
      </c>
      <c r="W33" s="2">
        <f t="shared" si="0"/>
        <v>3.0653013460835155E-10</v>
      </c>
      <c r="X33" s="2">
        <f t="shared" si="8"/>
        <v>5.458538793027401E-2</v>
      </c>
      <c r="Y33" s="2">
        <f t="shared" si="1"/>
        <v>-1.5583266413377039E-9</v>
      </c>
      <c r="Z33" s="2">
        <f t="shared" si="3"/>
        <v>5.4585386998951435E-2</v>
      </c>
      <c r="AA33" s="2">
        <f t="shared" si="2"/>
        <v>-6.2589824989522924E-10</v>
      </c>
      <c r="AB33" s="2">
        <f t="shared" si="4"/>
        <v>-1.9185667479151627E-19</v>
      </c>
      <c r="AC33" s="2">
        <f t="shared" si="5"/>
        <v>9.7535391757837949E-19</v>
      </c>
      <c r="AD33" s="2">
        <f t="shared" si="6"/>
        <v>1.862645149230957E-9</v>
      </c>
      <c r="AF33" s="2">
        <v>29</v>
      </c>
      <c r="AG33" s="2">
        <f t="shared" si="13"/>
        <v>3064.5247045904398</v>
      </c>
      <c r="AH33" s="2">
        <v>-1.1663462373689981E-5</v>
      </c>
      <c r="AI33" s="2">
        <f t="shared" si="14"/>
        <v>3064.5247399806976</v>
      </c>
      <c r="AJ33" s="2">
        <v>1.5864045963098761E-5</v>
      </c>
      <c r="AK33" s="2">
        <f t="shared" si="9"/>
        <v>3064.5247222855687</v>
      </c>
      <c r="AL33" s="2">
        <v>1.0128178473678418E-5</v>
      </c>
      <c r="AM33" s="2">
        <f t="shared" si="10"/>
        <v>-1.1812962854176505E-10</v>
      </c>
      <c r="AN33" s="2">
        <f t="shared" si="11"/>
        <v>1.6067388882890187E-10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196.6</v>
      </c>
      <c r="L34" s="6" t="s">
        <v>7</v>
      </c>
      <c r="U34" s="2">
        <v>30</v>
      </c>
      <c r="V34" s="2">
        <f t="shared" si="7"/>
        <v>5.458538606762886E-2</v>
      </c>
      <c r="W34" s="2">
        <f t="shared" si="0"/>
        <v>3.0653013460835155E-10</v>
      </c>
      <c r="X34" s="2">
        <f t="shared" si="8"/>
        <v>5.4585386998951435E-2</v>
      </c>
      <c r="Y34" s="2">
        <f t="shared" si="1"/>
        <v>-6.2589824989522924E-10</v>
      </c>
      <c r="Z34" s="2">
        <f t="shared" si="3"/>
        <v>5.4585386533290148E-2</v>
      </c>
      <c r="AA34" s="2">
        <f t="shared" si="2"/>
        <v>-1.5968405764343885E-10</v>
      </c>
      <c r="AB34" s="2">
        <f t="shared" si="4"/>
        <v>-4.8947975684251078E-20</v>
      </c>
      <c r="AC34" s="2">
        <f t="shared" si="5"/>
        <v>9.9945972215197279E-20</v>
      </c>
      <c r="AD34" s="2">
        <f>X34-V34</f>
        <v>9.3132257461547852E-10</v>
      </c>
      <c r="AF34" s="2">
        <v>30</v>
      </c>
      <c r="AG34" s="2">
        <f t="shared" si="13"/>
        <v>3064.5247045904398</v>
      </c>
      <c r="AH34" s="2">
        <v>-1.1663462373689981E-5</v>
      </c>
      <c r="AI34" s="2">
        <f t="shared" si="14"/>
        <v>3064.5247222855687</v>
      </c>
      <c r="AJ34" s="2">
        <v>1.0128178473678418E-5</v>
      </c>
      <c r="AK34" s="2">
        <f t="shared" si="9"/>
        <v>3064.5247134380043</v>
      </c>
      <c r="AL34" s="2">
        <v>7.2602438194735441E-6</v>
      </c>
      <c r="AM34" s="2">
        <f t="shared" si="10"/>
        <v>-8.4679580612244918E-11</v>
      </c>
      <c r="AN34" s="2">
        <f t="shared" si="11"/>
        <v>7.3533045166048724E-11</v>
      </c>
      <c r="AO34" s="2">
        <f t="shared" si="12"/>
        <v>1.7695128917694092E-5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264.18994018670861</v>
      </c>
      <c r="H35" s="25" t="s">
        <v>101</v>
      </c>
      <c r="J35" s="15" t="s">
        <v>70</v>
      </c>
      <c r="K35" s="6">
        <f>ROUND(SUM(K23:K26),2)</f>
        <v>150.81</v>
      </c>
      <c r="L35" s="6" t="s">
        <v>7</v>
      </c>
      <c r="AF35" s="2">
        <v>31</v>
      </c>
      <c r="AG35" s="2">
        <f t="shared" si="13"/>
        <v>3064.5247045904398</v>
      </c>
      <c r="AH35" s="2">
        <v>-1.1663462373689981E-5</v>
      </c>
      <c r="AI35" s="2">
        <f t="shared" si="14"/>
        <v>3064.5247134380043</v>
      </c>
      <c r="AJ35" s="2">
        <v>7.2602438194735441E-6</v>
      </c>
      <c r="AK35" s="2">
        <f t="shared" si="9"/>
        <v>3064.524709014222</v>
      </c>
      <c r="AL35" s="2">
        <v>-1.0229493000224466E-5</v>
      </c>
      <c r="AM35" s="2">
        <f t="shared" si="10"/>
        <v>1.1931130671004309E-10</v>
      </c>
      <c r="AN35" s="2">
        <f t="shared" si="11"/>
        <v>-7.4268613331227558E-11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3064.5199999999995</v>
      </c>
      <c r="L36" s="6" t="s">
        <v>7</v>
      </c>
      <c r="AF36" s="2">
        <v>32</v>
      </c>
      <c r="AG36" s="2">
        <f t="shared" si="13"/>
        <v>3064.524709014222</v>
      </c>
      <c r="AH36" s="2">
        <v>-1.0229493000224466E-5</v>
      </c>
      <c r="AI36" s="2">
        <f t="shared" si="14"/>
        <v>3064.5247134380043</v>
      </c>
      <c r="AJ36" s="2">
        <v>7.2602438194735441E-6</v>
      </c>
      <c r="AK36" s="2">
        <f t="shared" si="9"/>
        <v>3064.5247112261131</v>
      </c>
      <c r="AL36" s="2">
        <v>-9.5125119514705148E-6</v>
      </c>
      <c r="AM36" s="2">
        <f t="shared" si="10"/>
        <v>9.7308174422119201E-11</v>
      </c>
      <c r="AN36" s="2">
        <f t="shared" si="11"/>
        <v>-6.9063156103332027E-11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3064.5247112261131</v>
      </c>
      <c r="AH37" s="2">
        <v>-9.5125119514705148E-6</v>
      </c>
      <c r="AI37" s="2">
        <f t="shared" si="14"/>
        <v>3064.5247134380043</v>
      </c>
      <c r="AJ37" s="2">
        <v>7.2602438194735441E-6</v>
      </c>
      <c r="AK37" s="2">
        <f t="shared" si="9"/>
        <v>3064.5247123320587</v>
      </c>
      <c r="AL37" s="2">
        <v>6.9017519308545161E-6</v>
      </c>
      <c r="AM37" s="2">
        <f t="shared" si="10"/>
        <v>-6.5652997728338286E-11</v>
      </c>
      <c r="AN37" s="2">
        <f t="shared" si="11"/>
        <v>5.01084017995261E-11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3064.5247112261131</v>
      </c>
      <c r="AH38" s="2">
        <v>-9.5125119514705148E-6</v>
      </c>
      <c r="AI38" s="2">
        <f t="shared" si="14"/>
        <v>3064.5247123320587</v>
      </c>
      <c r="AJ38" s="2">
        <v>6.9017519308545161E-6</v>
      </c>
      <c r="AK38" s="2">
        <f t="shared" si="9"/>
        <v>3064.5247117790859</v>
      </c>
      <c r="AL38" s="2">
        <v>-9.3332664619083516E-6</v>
      </c>
      <c r="AM38" s="2">
        <f t="shared" si="10"/>
        <v>8.8782808765162121E-11</v>
      </c>
      <c r="AN38" s="2">
        <f t="shared" si="11"/>
        <v>-6.4415889824655664E-11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19.579999999999998</v>
      </c>
      <c r="L39" s="6" t="s">
        <v>58</v>
      </c>
      <c r="AF39" s="2">
        <v>35</v>
      </c>
      <c r="AG39" s="2">
        <f t="shared" si="13"/>
        <v>3064.5247117790859</v>
      </c>
      <c r="AH39" s="2">
        <v>-9.3332664619083516E-6</v>
      </c>
      <c r="AI39" s="2">
        <f t="shared" si="14"/>
        <v>3064.5247123320587</v>
      </c>
      <c r="AJ39" s="2">
        <v>6.9017519308545161E-6</v>
      </c>
      <c r="AK39" s="2">
        <f t="shared" si="9"/>
        <v>3064.5247120555723</v>
      </c>
      <c r="AL39" s="2">
        <v>-9.2436434897535946E-6</v>
      </c>
      <c r="AM39" s="2">
        <f t="shared" si="10"/>
        <v>8.62733877687547E-11</v>
      </c>
      <c r="AN39" s="2">
        <f t="shared" si="11"/>
        <v>-6.3797334303537649E-11</v>
      </c>
      <c r="AO39" s="2">
        <f t="shared" si="12"/>
        <v>5.5297277867794037E-7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42.62</v>
      </c>
      <c r="L40" s="6" t="s">
        <v>58</v>
      </c>
      <c r="AF40" s="2">
        <v>36</v>
      </c>
      <c r="AG40" s="2">
        <f t="shared" si="13"/>
        <v>3064.5247120555723</v>
      </c>
      <c r="AH40" s="2">
        <v>-9.2436434897535946E-6</v>
      </c>
      <c r="AI40" s="2">
        <f t="shared" si="14"/>
        <v>3064.5247123320587</v>
      </c>
      <c r="AJ40" s="2">
        <v>6.9017519308545161E-6</v>
      </c>
      <c r="AK40" s="2">
        <f t="shared" si="9"/>
        <v>3064.5247121938155</v>
      </c>
      <c r="AL40" s="2">
        <v>6.8569424911402166E-6</v>
      </c>
      <c r="AM40" s="2">
        <f t="shared" si="10"/>
        <v>-6.3383131817843058E-11</v>
      </c>
      <c r="AN40" s="2">
        <f t="shared" si="11"/>
        <v>4.7324916077985366E-11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26.47</v>
      </c>
      <c r="L41" s="6" t="s">
        <v>58</v>
      </c>
      <c r="AF41" s="2">
        <v>37</v>
      </c>
      <c r="AG41" s="2">
        <f t="shared" si="13"/>
        <v>3064.5247120555723</v>
      </c>
      <c r="AH41" s="2">
        <v>-9.2436434897535946E-6</v>
      </c>
      <c r="AI41" s="2">
        <f t="shared" si="14"/>
        <v>3064.5247121938155</v>
      </c>
      <c r="AJ41" s="2">
        <v>6.8569424911402166E-6</v>
      </c>
      <c r="AK41" s="2">
        <f t="shared" si="9"/>
        <v>3064.5247121246939</v>
      </c>
      <c r="AL41" s="2">
        <v>6.8345357249199878E-6</v>
      </c>
      <c r="AM41" s="2">
        <f t="shared" si="10"/>
        <v>-6.317601165914501E-11</v>
      </c>
      <c r="AN41" s="2">
        <f t="shared" si="11"/>
        <v>4.6864018419419667E-11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6.42</v>
      </c>
      <c r="L42" s="6" t="s">
        <v>58</v>
      </c>
      <c r="AF42" s="2">
        <v>38</v>
      </c>
      <c r="AG42" s="2">
        <f t="shared" si="13"/>
        <v>3064.5247120555723</v>
      </c>
      <c r="AH42" s="2">
        <v>-9.2436434897535946E-6</v>
      </c>
      <c r="AI42" s="2">
        <f t="shared" si="14"/>
        <v>3064.5247121246939</v>
      </c>
      <c r="AJ42" s="2">
        <v>6.8345357249199878E-6</v>
      </c>
      <c r="AK42" s="2">
        <f t="shared" si="9"/>
        <v>3064.5247120901331</v>
      </c>
      <c r="AL42" s="2">
        <v>-9.2324403340171557E-6</v>
      </c>
      <c r="AM42" s="2">
        <f t="shared" si="10"/>
        <v>8.5341386988076184E-11</v>
      </c>
      <c r="AN42" s="2">
        <f t="shared" si="11"/>
        <v>-6.3099443291032476E-11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3064.5247120901331</v>
      </c>
      <c r="AH43" s="2">
        <v>-9.2324403340171557E-6</v>
      </c>
      <c r="AI43" s="2">
        <f t="shared" si="14"/>
        <v>3064.5247121246939</v>
      </c>
      <c r="AJ43" s="2">
        <v>6.8345357249199878E-6</v>
      </c>
      <c r="AK43" s="2">
        <f t="shared" si="9"/>
        <v>3064.5247121074135</v>
      </c>
      <c r="AL43" s="2">
        <v>-9.2268392108962871E-6</v>
      </c>
      <c r="AM43" s="2">
        <f t="shared" si="10"/>
        <v>8.5186242486169906E-11</v>
      </c>
      <c r="AN43" s="2">
        <f t="shared" si="11"/>
        <v>-6.3061162214963224E-11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3064.5247121074135</v>
      </c>
      <c r="AH44" s="2">
        <v>-9.2268392108962871E-6</v>
      </c>
      <c r="AI44" s="2">
        <f t="shared" si="14"/>
        <v>3064.5247121246939</v>
      </c>
      <c r="AJ44" s="2">
        <v>6.8345357249199878E-6</v>
      </c>
      <c r="AK44" s="5">
        <f>(AG44+AI44)/2</f>
        <v>3064.5247121160537</v>
      </c>
      <c r="AL44" s="2">
        <v>6.831735390733229E-6</v>
      </c>
      <c r="AM44" s="2">
        <f t="shared" si="10"/>
        <v>-6.3035323981685224E-11</v>
      </c>
      <c r="AN44" s="2">
        <f t="shared" si="11"/>
        <v>4.6691739591166466E-11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2807.0148037438998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19.579999999999998</v>
      </c>
      <c r="L47" s="6" t="s">
        <v>58</v>
      </c>
      <c r="N47" s="6" t="s">
        <v>154</v>
      </c>
      <c r="O47" s="6">
        <f>0.377*O46^0.6945</f>
        <v>93.572298262017355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42.62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37.799999999999997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B1:D1"/>
    <mergeCell ref="B3:D3"/>
    <mergeCell ref="F3:H3"/>
    <mergeCell ref="J3:L3"/>
    <mergeCell ref="N3:P3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ABF3-9A7E-3B46-971F-D33B8F00571B}">
  <dimension ref="B1:AO56"/>
  <sheetViews>
    <sheetView tabSelected="1" workbookViewId="0">
      <selection activeCell="E10" sqref="E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0" t="s">
        <v>0</v>
      </c>
      <c r="C1" s="30"/>
      <c r="D1" s="30"/>
    </row>
    <row r="2" spans="2:41" x14ac:dyDescent="0.2">
      <c r="U2" s="16" t="s">
        <v>93</v>
      </c>
      <c r="AF2" s="16" t="s">
        <v>76</v>
      </c>
    </row>
    <row r="3" spans="2:41" x14ac:dyDescent="0.2">
      <c r="B3" s="28" t="s">
        <v>118</v>
      </c>
      <c r="C3" s="31"/>
      <c r="D3" s="31"/>
      <c r="F3" s="28" t="s">
        <v>80</v>
      </c>
      <c r="G3" s="31"/>
      <c r="H3" s="31"/>
      <c r="J3" s="32" t="s">
        <v>98</v>
      </c>
      <c r="K3" s="32"/>
      <c r="L3" s="32"/>
      <c r="N3" s="32" t="s">
        <v>92</v>
      </c>
      <c r="O3" s="32"/>
      <c r="P3" s="32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1371.2758138225709</v>
      </c>
      <c r="L4" s="6" t="s">
        <v>101</v>
      </c>
      <c r="N4" s="6" t="s">
        <v>22</v>
      </c>
      <c r="O4" s="6">
        <f xml:space="preserve"> 0.5 * $C$47 * $C$8^2</f>
        <v>3984.3733596601678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5.6564719439409966E-2</v>
      </c>
      <c r="X4" s="3">
        <v>1</v>
      </c>
      <c r="Y4" s="2">
        <f t="shared" ref="Y4:Y34" si="1" xml:space="preserve"> $O$20 * TAN($O$17/180*PI()) + $O$21 / (2 * SQRT($O$20^2 + X4^2)) - X4</f>
        <v>-0.94807700555148844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-0.44587517420332973</v>
      </c>
      <c r="AB4" s="2">
        <f>W4*AA4</f>
        <v>-2.522080413380939E-2</v>
      </c>
      <c r="AC4" s="2">
        <f>Y4*AA4</f>
        <v>0.42272400000844113</v>
      </c>
      <c r="AD4" s="2">
        <f>X4-V4</f>
        <v>1</v>
      </c>
      <c r="AF4" s="2">
        <v>0</v>
      </c>
      <c r="AG4" s="2"/>
      <c r="AH4" s="2">
        <f>K27</f>
        <v>-5.9706202719098656E-3</v>
      </c>
      <c r="AI4" s="2"/>
      <c r="AJ4" s="2">
        <f>K27</f>
        <v>-5.9706202719098656E-3</v>
      </c>
      <c r="AK4" s="2"/>
      <c r="AL4" s="2">
        <f>K27</f>
        <v>-5.9706202719098656E-3</v>
      </c>
      <c r="AM4" s="2"/>
      <c r="AN4" s="2"/>
      <c r="AO4" s="2"/>
    </row>
    <row r="5" spans="2:41" x14ac:dyDescent="0.2">
      <c r="B5" s="10" t="s">
        <v>37</v>
      </c>
      <c r="C5" s="10">
        <v>5559.1237788067901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342.81895345564271</v>
      </c>
      <c r="L5" s="6" t="s">
        <v>101</v>
      </c>
      <c r="N5" s="6" t="s">
        <v>114</v>
      </c>
      <c r="O5" s="6">
        <f xml:space="preserve"> $C$18 * 0.85 * ($C$5/$C$18 *2.20462/1000)^(2/3) * 0.3048^2</f>
        <v>0.66633952185695944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5.6564719439409966E-2</v>
      </c>
      <c r="X5" s="2">
        <f>IF(AC4&gt;0, Z4, X4)</f>
        <v>0.5</v>
      </c>
      <c r="Y5" s="2">
        <f t="shared" si="1"/>
        <v>-0.44587517420332973</v>
      </c>
      <c r="Z5" s="2">
        <f t="shared" ref="Z5:Z34" si="3" xml:space="preserve"> (V5 + X5)/2</f>
        <v>0.25</v>
      </c>
      <c r="AA5" s="2">
        <f t="shared" si="2"/>
        <v>-0.19430870214407597</v>
      </c>
      <c r="AB5" s="2">
        <f t="shared" ref="AB5:AB34" si="4">W5*AA5</f>
        <v>-1.0991017221415536E-2</v>
      </c>
      <c r="AC5" s="2">
        <f t="shared" ref="AC5:AC34" si="5">Y5*AA5</f>
        <v>8.6637426417712785E-2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-2141.8615260933393</v>
      </c>
      <c r="AI5" s="3">
        <v>10000</v>
      </c>
      <c r="AJ5" s="2">
        <f t="dataTable" ref="AJ5:AJ44" dt2D="0" dtr="0" r1="C5" ca="1"/>
        <v>1143.1112505342826</v>
      </c>
      <c r="AK5" s="2">
        <f>(AG5+AI5)/2</f>
        <v>5250</v>
      </c>
      <c r="AL5" s="2">
        <f t="dataTable" ref="AL5:AL44" dt2D="0" dtr="0" r1="C5" ca="1"/>
        <v>-108.12961027549954</v>
      </c>
      <c r="AM5" s="2">
        <f>AH5*AL5</f>
        <v>231598.65208055949</v>
      </c>
      <c r="AN5" s="2">
        <f>AJ5*AL5</f>
        <v>-123604.17402181089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5.6564719439409966E-2</v>
      </c>
      <c r="X6" s="2">
        <f t="shared" ref="X6:X34" si="8">IF(AC5&gt;0, Z5, X5)</f>
        <v>0.25</v>
      </c>
      <c r="Y6" s="2">
        <f t="shared" si="1"/>
        <v>-0.19430870214407597</v>
      </c>
      <c r="Z6" s="2">
        <f t="shared" si="3"/>
        <v>0.125</v>
      </c>
      <c r="AA6" s="2">
        <f t="shared" si="2"/>
        <v>-6.8681545232169905E-2</v>
      </c>
      <c r="AB6" s="2">
        <f t="shared" si="4"/>
        <v>-3.8849523367228359E-3</v>
      </c>
      <c r="AC6" s="2">
        <f t="shared" si="5"/>
        <v>1.3345421915312584E-2</v>
      </c>
      <c r="AD6" s="2">
        <f t="shared" si="6"/>
        <v>0.25</v>
      </c>
      <c r="AF6" s="2">
        <v>2</v>
      </c>
      <c r="AG6" s="2">
        <f>IF(AM5&gt;0, AK5, AG5)</f>
        <v>5250</v>
      </c>
      <c r="AH6" s="2">
        <v>-108.12961027549954</v>
      </c>
      <c r="AI6" s="2">
        <f>IF(AN5&gt;0, AK5, AI5)</f>
        <v>10000</v>
      </c>
      <c r="AJ6" s="2">
        <v>1143.1112505342826</v>
      </c>
      <c r="AK6" s="2">
        <f t="shared" ref="AK6:AK43" si="9">(AG6+AI6)/2</f>
        <v>7625</v>
      </c>
      <c r="AL6" s="2">
        <v>628.5014544117239</v>
      </c>
      <c r="AM6" s="2">
        <f t="shared" ref="AM6:AM44" si="10">AH6*AL6</f>
        <v>-67959.617323124345</v>
      </c>
      <c r="AN6" s="2">
        <f t="shared" ref="AN6:AN44" si="11">AJ6*AL6</f>
        <v>718447.08351520111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410.21537968614098</v>
      </c>
      <c r="D7" s="6" t="s">
        <v>125</v>
      </c>
      <c r="F7" t="s">
        <v>121</v>
      </c>
      <c r="G7" s="8">
        <f>$C$6*2*PI()/60*$C$9</f>
        <v>170.14323029157543</v>
      </c>
      <c r="H7" s="6" t="s">
        <v>10</v>
      </c>
      <c r="J7" s="32" t="s">
        <v>21</v>
      </c>
      <c r="K7" s="32"/>
      <c r="L7" s="32"/>
      <c r="N7" s="6" t="s">
        <v>159</v>
      </c>
      <c r="O7" s="6">
        <f>O5+$O$6</f>
        <v>1.2966161451920555</v>
      </c>
      <c r="P7" s="6" t="s">
        <v>115</v>
      </c>
      <c r="U7" s="2">
        <v>3</v>
      </c>
      <c r="V7" s="2">
        <f t="shared" si="7"/>
        <v>0</v>
      </c>
      <c r="W7" s="2">
        <f t="shared" si="0"/>
        <v>5.6564719439409966E-2</v>
      </c>
      <c r="X7" s="2">
        <f t="shared" si="8"/>
        <v>0.125</v>
      </c>
      <c r="Y7" s="2">
        <f t="shared" si="1"/>
        <v>-6.8681545232169905E-2</v>
      </c>
      <c r="Z7" s="2">
        <f t="shared" si="3"/>
        <v>6.25E-2</v>
      </c>
      <c r="AA7" s="2">
        <f t="shared" si="2"/>
        <v>-5.9989141337614404E-3</v>
      </c>
      <c r="AB7" s="2">
        <f t="shared" si="4"/>
        <v>-3.3932689491732697E-4</v>
      </c>
      <c r="AC7" s="2">
        <f t="shared" si="5"/>
        <v>4.1201469242183969E-4</v>
      </c>
      <c r="AD7" s="2">
        <f t="shared" si="6"/>
        <v>0.125</v>
      </c>
      <c r="AF7" s="2">
        <v>3</v>
      </c>
      <c r="AG7" s="2">
        <f t="shared" ref="AG7:AG44" si="13">IF(AM6&gt;0, AK6, AG6)</f>
        <v>5250</v>
      </c>
      <c r="AH7" s="2">
        <v>-108.12961027549954</v>
      </c>
      <c r="AI7" s="2">
        <f t="shared" ref="AI7:AI44" si="14">IF(AN6&gt;0, AK6, AI6)</f>
        <v>7625</v>
      </c>
      <c r="AJ7" s="2">
        <v>628.5014544117239</v>
      </c>
      <c r="AK7" s="2">
        <f t="shared" si="9"/>
        <v>6437.5</v>
      </c>
      <c r="AL7" s="2">
        <v>288.02429446922542</v>
      </c>
      <c r="AM7" s="2">
        <f t="shared" si="10"/>
        <v>-31143.954710833063</v>
      </c>
      <c r="AN7" s="2">
        <f t="shared" si="11"/>
        <v>181023.68797981882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320 * 1000/3600</f>
        <v>88.888888888888886</v>
      </c>
      <c r="D8" s="6" t="s">
        <v>10</v>
      </c>
      <c r="F8" t="s">
        <v>124</v>
      </c>
      <c r="G8" s="8">
        <f>G7/$C$43</f>
        <v>0.50953757529582699</v>
      </c>
      <c r="H8" s="6" t="s">
        <v>122</v>
      </c>
      <c r="J8" s="6" t="s">
        <v>96</v>
      </c>
      <c r="K8" s="6">
        <f xml:space="preserve"> $C$15 * (G12*G6 + G22*G15 + G31*G27 +G35*G34)/3600</f>
        <v>532.19705004008324</v>
      </c>
      <c r="L8" s="6" t="s">
        <v>102</v>
      </c>
      <c r="N8" s="6" t="s">
        <v>38</v>
      </c>
      <c r="O8" s="6">
        <f xml:space="preserve"> O4 *O7</f>
        <v>5166.2028266084862</v>
      </c>
      <c r="P8" s="6" t="s">
        <v>20</v>
      </c>
      <c r="U8" s="2">
        <v>4</v>
      </c>
      <c r="V8" s="2">
        <f t="shared" si="7"/>
        <v>0</v>
      </c>
      <c r="W8" s="2">
        <f t="shared" si="0"/>
        <v>5.6564719439409966E-2</v>
      </c>
      <c r="X8" s="2">
        <f t="shared" si="8"/>
        <v>6.25E-2</v>
      </c>
      <c r="Y8" s="2">
        <f t="shared" si="1"/>
        <v>-5.9989141337614404E-3</v>
      </c>
      <c r="Z8" s="2">
        <f t="shared" si="3"/>
        <v>3.125E-2</v>
      </c>
      <c r="AA8" s="2">
        <f t="shared" si="2"/>
        <v>2.5298675739854268E-2</v>
      </c>
      <c r="AB8" s="2">
        <f t="shared" si="4"/>
        <v>1.4310124954134641E-3</v>
      </c>
      <c r="AC8" s="2">
        <f t="shared" si="5"/>
        <v>-1.5176458346125943E-4</v>
      </c>
      <c r="AD8" s="2">
        <f t="shared" si="6"/>
        <v>6.25E-2</v>
      </c>
      <c r="AF8" s="2">
        <v>4</v>
      </c>
      <c r="AG8" s="2">
        <f t="shared" si="13"/>
        <v>5250</v>
      </c>
      <c r="AH8" s="2">
        <v>-108.12961027549954</v>
      </c>
      <c r="AI8" s="2">
        <f t="shared" si="14"/>
        <v>6437.5</v>
      </c>
      <c r="AJ8" s="2">
        <v>288.02429446922542</v>
      </c>
      <c r="AK8" s="2">
        <f t="shared" si="9"/>
        <v>5843.75</v>
      </c>
      <c r="AL8" s="2">
        <v>96.533389340087524</v>
      </c>
      <c r="AM8" s="2">
        <f t="shared" si="10"/>
        <v>-10438.117767916727</v>
      </c>
      <c r="AN8" s="2">
        <f t="shared" si="11"/>
        <v>27803.961357401757</v>
      </c>
      <c r="AO8" s="2">
        <f t="shared" si="12"/>
        <v>1187.5</v>
      </c>
    </row>
    <row r="9" spans="2:41" x14ac:dyDescent="0.2">
      <c r="B9" s="6" t="s">
        <v>95</v>
      </c>
      <c r="C9" s="17">
        <v>4.0618704201790399</v>
      </c>
      <c r="D9" s="6" t="s">
        <v>8</v>
      </c>
      <c r="F9" t="s">
        <v>19</v>
      </c>
      <c r="G9" s="6">
        <f xml:space="preserve"> $C$5 * $C$44 / $C$18</f>
        <v>13621.925688860347</v>
      </c>
      <c r="H9" s="6" t="s">
        <v>20</v>
      </c>
      <c r="J9" s="6" t="s">
        <v>138</v>
      </c>
      <c r="K9" s="6">
        <f xml:space="preserve"> $C$15 * (G6 + G15 + G27 + G34)/60</f>
        <v>43.438453333333335</v>
      </c>
      <c r="L9" s="6" t="s">
        <v>103</v>
      </c>
      <c r="N9" s="6" t="s">
        <v>39</v>
      </c>
      <c r="O9" s="6">
        <f xml:space="preserve"> O8</f>
        <v>5166.2028266084862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2.5298675739854268E-2</v>
      </c>
      <c r="X9" s="2">
        <f t="shared" si="8"/>
        <v>6.25E-2</v>
      </c>
      <c r="Y9" s="2">
        <f t="shared" si="1"/>
        <v>-5.9989141337614404E-3</v>
      </c>
      <c r="Z9" s="2">
        <f t="shared" si="3"/>
        <v>4.6875E-2</v>
      </c>
      <c r="AA9" s="2">
        <f t="shared" si="2"/>
        <v>9.6537486616547347E-3</v>
      </c>
      <c r="AB9" s="2">
        <f t="shared" si="4"/>
        <v>2.4422705706525526E-4</v>
      </c>
      <c r="AC9" s="2">
        <f t="shared" si="5"/>
        <v>-5.7912009290181177E-5</v>
      </c>
      <c r="AD9" s="2">
        <f t="shared" si="6"/>
        <v>3.125E-2</v>
      </c>
      <c r="AF9" s="2">
        <v>5</v>
      </c>
      <c r="AG9" s="2">
        <f t="shared" si="13"/>
        <v>5250</v>
      </c>
      <c r="AH9" s="2">
        <v>-108.12961027549954</v>
      </c>
      <c r="AI9" s="2">
        <f t="shared" si="14"/>
        <v>5843.75</v>
      </c>
      <c r="AJ9" s="2">
        <v>96.533389340087524</v>
      </c>
      <c r="AK9" s="2">
        <f t="shared" si="9"/>
        <v>5546.875</v>
      </c>
      <c r="AL9" s="2">
        <v>-4.2264335725603814</v>
      </c>
      <c r="AM9" s="2">
        <f t="shared" si="10"/>
        <v>457.00261505624127</v>
      </c>
      <c r="AN9" s="2">
        <f t="shared" si="11"/>
        <v>-407.99195757998837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228.54596897042848</v>
      </c>
      <c r="H10" s="6" t="s">
        <v>101</v>
      </c>
      <c r="N10" s="6" t="s">
        <v>113</v>
      </c>
      <c r="O10" s="6">
        <f>O7/(0.3048^2)/($C$5*2.20462/1000)^(2/3)</f>
        <v>2.6255569429076404</v>
      </c>
      <c r="U10" s="2">
        <v>6</v>
      </c>
      <c r="V10" s="2">
        <f t="shared" si="7"/>
        <v>4.6875E-2</v>
      </c>
      <c r="W10" s="2">
        <f t="shared" si="0"/>
        <v>9.6537486616547347E-3</v>
      </c>
      <c r="X10" s="2">
        <f t="shared" si="8"/>
        <v>6.25E-2</v>
      </c>
      <c r="Y10" s="2">
        <f t="shared" si="1"/>
        <v>-5.9989141337614404E-3</v>
      </c>
      <c r="Z10" s="2">
        <f t="shared" si="3"/>
        <v>5.46875E-2</v>
      </c>
      <c r="AA10" s="2">
        <f t="shared" si="2"/>
        <v>1.8283713285166606E-3</v>
      </c>
      <c r="AB10" s="2">
        <f t="shared" si="4"/>
        <v>1.7650637265675602E-5</v>
      </c>
      <c r="AC10" s="2">
        <f t="shared" si="5"/>
        <v>-1.0968242604402776E-5</v>
      </c>
      <c r="AD10" s="2">
        <f t="shared" si="6"/>
        <v>1.5625E-2</v>
      </c>
      <c r="AF10" s="2">
        <v>6</v>
      </c>
      <c r="AG10" s="2">
        <f t="shared" si="13"/>
        <v>5546.875</v>
      </c>
      <c r="AH10" s="2">
        <v>-4.2264335725603814</v>
      </c>
      <c r="AI10" s="2">
        <f t="shared" si="14"/>
        <v>5843.75</v>
      </c>
      <c r="AJ10" s="2">
        <v>96.533389340087524</v>
      </c>
      <c r="AK10" s="2">
        <f t="shared" si="9"/>
        <v>5695.3125</v>
      </c>
      <c r="AL10" s="2">
        <v>46.556060180750137</v>
      </c>
      <c r="AM10" s="2">
        <f t="shared" si="10"/>
        <v>-196.76609575406391</v>
      </c>
      <c r="AN10" s="2">
        <f t="shared" si="11"/>
        <v>4494.2142835688983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6.0809689663855808</v>
      </c>
      <c r="H11" s="6" t="s">
        <v>147</v>
      </c>
      <c r="J11" s="28" t="s">
        <v>51</v>
      </c>
      <c r="K11" s="28"/>
      <c r="L11" s="28"/>
      <c r="U11" s="2">
        <v>7</v>
      </c>
      <c r="V11" s="2">
        <f t="shared" si="7"/>
        <v>5.46875E-2</v>
      </c>
      <c r="W11" s="2">
        <f t="shared" si="0"/>
        <v>1.8283713285166606E-3</v>
      </c>
      <c r="X11" s="2">
        <f t="shared" si="8"/>
        <v>6.25E-2</v>
      </c>
      <c r="Y11" s="2">
        <f t="shared" si="1"/>
        <v>-5.9989141337614404E-3</v>
      </c>
      <c r="Z11" s="2">
        <f t="shared" si="3"/>
        <v>5.859375E-2</v>
      </c>
      <c r="AA11" s="2">
        <f t="shared" si="2"/>
        <v>-2.085034705445063E-3</v>
      </c>
      <c r="AB11" s="2">
        <f t="shared" si="4"/>
        <v>-3.812217674397934E-6</v>
      </c>
      <c r="AC11" s="2">
        <f t="shared" si="5"/>
        <v>1.250794416387751E-5</v>
      </c>
      <c r="AD11" s="2">
        <f t="shared" si="6"/>
        <v>7.8125E-3</v>
      </c>
      <c r="AF11" s="2">
        <v>7</v>
      </c>
      <c r="AG11" s="2">
        <f t="shared" si="13"/>
        <v>5546.875</v>
      </c>
      <c r="AH11" s="2">
        <v>-4.2264335725603814</v>
      </c>
      <c r="AI11" s="2">
        <f t="shared" si="14"/>
        <v>5695.3125</v>
      </c>
      <c r="AJ11" s="2">
        <v>46.556060180750137</v>
      </c>
      <c r="AK11" s="2">
        <f t="shared" si="9"/>
        <v>5621.09375</v>
      </c>
      <c r="AL11" s="2">
        <v>21.264258990152484</v>
      </c>
      <c r="AM11" s="2">
        <f t="shared" si="10"/>
        <v>-89.871978091599374</v>
      </c>
      <c r="AN11" s="2">
        <f t="shared" si="11"/>
        <v>989.98012124459615</v>
      </c>
      <c r="AO11" s="2">
        <f t="shared" si="12"/>
        <v>148.4375</v>
      </c>
    </row>
    <row r="12" spans="2:41" x14ac:dyDescent="0.2">
      <c r="B12" s="32" t="s">
        <v>11</v>
      </c>
      <c r="C12" s="32"/>
      <c r="D12" s="32"/>
      <c r="F12" s="24" t="s">
        <v>82</v>
      </c>
      <c r="G12" s="25">
        <f xml:space="preserve"> 1/1000 * (($C$5*$C$44)/$C$21 * ( ($G$4/2) + SQRT( ($G$4/2)^2 + ($C$5*$C$44) / (2*$C$41*PI()*$C$9^2 * $C$18) ) ) )</f>
        <v>914.1838758817139</v>
      </c>
      <c r="H12" s="25" t="s">
        <v>101</v>
      </c>
      <c r="J12" s="10" t="s">
        <v>79</v>
      </c>
      <c r="K12" s="6">
        <f>C5</f>
        <v>5559.1237788067901</v>
      </c>
      <c r="L12" s="6" t="s">
        <v>7</v>
      </c>
      <c r="N12" s="28" t="s">
        <v>73</v>
      </c>
      <c r="O12" s="29"/>
      <c r="P12" s="29"/>
      <c r="U12" s="2">
        <v>8</v>
      </c>
      <c r="V12" s="2">
        <f t="shared" si="7"/>
        <v>5.46875E-2</v>
      </c>
      <c r="W12" s="2">
        <f t="shared" si="0"/>
        <v>1.8283713285166606E-3</v>
      </c>
      <c r="X12" s="2">
        <f t="shared" si="8"/>
        <v>5.859375E-2</v>
      </c>
      <c r="Y12" s="2">
        <f t="shared" si="1"/>
        <v>-2.085034705445063E-3</v>
      </c>
      <c r="Z12" s="2">
        <f t="shared" si="3"/>
        <v>5.6640625E-2</v>
      </c>
      <c r="AA12" s="2">
        <f t="shared" si="2"/>
        <v>-1.2827227782820361E-4</v>
      </c>
      <c r="AB12" s="2">
        <f t="shared" si="4"/>
        <v>-2.3452935502461082E-7</v>
      </c>
      <c r="AC12" s="2">
        <f t="shared" si="5"/>
        <v>2.674521510182958E-7</v>
      </c>
      <c r="AD12" s="2">
        <f t="shared" si="6"/>
        <v>3.90625E-3</v>
      </c>
      <c r="AF12" s="2">
        <v>8</v>
      </c>
      <c r="AG12" s="2">
        <f t="shared" si="13"/>
        <v>5546.875</v>
      </c>
      <c r="AH12" s="2">
        <v>-4.2264335725603814</v>
      </c>
      <c r="AI12" s="2">
        <f t="shared" si="14"/>
        <v>5621.09375</v>
      </c>
      <c r="AJ12" s="2">
        <v>21.264258990152484</v>
      </c>
      <c r="AK12" s="2">
        <f t="shared" si="9"/>
        <v>5583.984375</v>
      </c>
      <c r="AL12" s="2">
        <v>8.5436186147771878</v>
      </c>
      <c r="AM12" s="2">
        <f t="shared" si="10"/>
        <v>-36.109036544646123</v>
      </c>
      <c r="AN12" s="2">
        <f t="shared" si="11"/>
        <v>181.67371893770994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3130.570882588725</v>
      </c>
      <c r="L13" s="6" t="s">
        <v>7</v>
      </c>
      <c r="N13" s="6" t="s">
        <v>74</v>
      </c>
      <c r="O13" s="6">
        <f xml:space="preserve"> SQRT( ($C$5*$C$50)^2 + O9^2)</f>
        <v>54726.880678833601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1.8283713285166606E-3</v>
      </c>
      <c r="X13" s="2">
        <f t="shared" si="8"/>
        <v>5.6640625E-2</v>
      </c>
      <c r="Y13" s="2">
        <f t="shared" si="1"/>
        <v>-1.2827227782820361E-4</v>
      </c>
      <c r="Z13" s="2">
        <f t="shared" si="3"/>
        <v>5.56640625E-2</v>
      </c>
      <c r="AA13" s="2">
        <f t="shared" si="2"/>
        <v>8.5006440676889394E-4</v>
      </c>
      <c r="AB13" s="2">
        <f t="shared" si="4"/>
        <v>1.5542333887287696E-6</v>
      </c>
      <c r="AC13" s="2">
        <f t="shared" si="5"/>
        <v>-1.0903969775692664E-7</v>
      </c>
      <c r="AD13" s="2">
        <f t="shared" si="6"/>
        <v>1.953125E-3</v>
      </c>
      <c r="AF13" s="2">
        <v>9</v>
      </c>
      <c r="AG13" s="2">
        <f t="shared" si="13"/>
        <v>5546.875</v>
      </c>
      <c r="AH13" s="2">
        <v>-4.2264335725603814</v>
      </c>
      <c r="AI13" s="2">
        <f t="shared" si="14"/>
        <v>5583.984375</v>
      </c>
      <c r="AJ13" s="2">
        <v>8.5436186147771878</v>
      </c>
      <c r="AK13" s="2">
        <f t="shared" si="9"/>
        <v>5565.4296875</v>
      </c>
      <c r="AL13" s="2">
        <v>2.1647529473702889</v>
      </c>
      <c r="AM13" s="2">
        <f t="shared" si="10"/>
        <v>-9.149184533064826</v>
      </c>
      <c r="AN13" s="2">
        <f t="shared" si="11"/>
        <v>18.494823577546583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28" t="s">
        <v>86</v>
      </c>
      <c r="G14" s="31"/>
      <c r="H14" s="31"/>
      <c r="J14" s="12" t="s">
        <v>126</v>
      </c>
      <c r="K14" s="6">
        <f xml:space="preserve"> $C$54 * $C$18 * (0.0095 * MAX(G9,O18,G28) - 1.9275)</f>
        <v>409.75629315913534</v>
      </c>
      <c r="L14" s="6" t="s">
        <v>7</v>
      </c>
      <c r="N14" s="6" t="s">
        <v>75</v>
      </c>
      <c r="O14" s="6">
        <f>$C$5*$C$50/O13</f>
        <v>0.99553437446706539</v>
      </c>
      <c r="U14" s="2">
        <v>10</v>
      </c>
      <c r="V14" s="2">
        <f t="shared" si="7"/>
        <v>5.56640625E-2</v>
      </c>
      <c r="W14" s="2">
        <f t="shared" si="0"/>
        <v>8.5006440676889394E-4</v>
      </c>
      <c r="X14" s="2">
        <f t="shared" si="8"/>
        <v>5.6640625E-2</v>
      </c>
      <c r="Y14" s="2">
        <f t="shared" si="1"/>
        <v>-1.2827227782820361E-4</v>
      </c>
      <c r="Z14" s="2">
        <f t="shared" si="3"/>
        <v>5.615234375E-2</v>
      </c>
      <c r="AA14" s="2">
        <f t="shared" si="2"/>
        <v>3.6089978126575828E-4</v>
      </c>
      <c r="AB14" s="2">
        <f t="shared" si="4"/>
        <v>3.0678805846470039E-7</v>
      </c>
      <c r="AC14" s="2">
        <f t="shared" si="5"/>
        <v>-4.6293437010659255E-8</v>
      </c>
      <c r="AD14" s="2">
        <f t="shared" si="6"/>
        <v>9.765625E-4</v>
      </c>
      <c r="AF14" s="2">
        <v>10</v>
      </c>
      <c r="AG14" s="2">
        <f t="shared" si="13"/>
        <v>5546.875</v>
      </c>
      <c r="AH14" s="2">
        <v>-4.2264335725603814</v>
      </c>
      <c r="AI14" s="2">
        <f t="shared" si="14"/>
        <v>5565.4296875</v>
      </c>
      <c r="AJ14" s="2">
        <v>2.1647529473702889</v>
      </c>
      <c r="AK14" s="2">
        <f t="shared" si="9"/>
        <v>5556.15234375</v>
      </c>
      <c r="AL14" s="2">
        <v>-1.0293179311784115</v>
      </c>
      <c r="AM14" s="2">
        <f t="shared" si="10"/>
        <v>4.3503438611708347</v>
      </c>
      <c r="AN14" s="2">
        <f t="shared" si="11"/>
        <v>-2.2282190252995546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1086.3072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494.29383856937625</v>
      </c>
      <c r="L15" s="6" t="s">
        <v>7</v>
      </c>
      <c r="U15" s="2">
        <v>11</v>
      </c>
      <c r="V15" s="2">
        <f t="shared" si="7"/>
        <v>5.615234375E-2</v>
      </c>
      <c r="W15" s="2">
        <f t="shared" si="0"/>
        <v>3.6089978126575828E-4</v>
      </c>
      <c r="X15" s="2">
        <f t="shared" si="8"/>
        <v>5.6640625E-2</v>
      </c>
      <c r="Y15" s="2">
        <f t="shared" si="1"/>
        <v>-1.2827227782820361E-4</v>
      </c>
      <c r="Z15" s="2">
        <f t="shared" si="3"/>
        <v>5.6396484375E-2</v>
      </c>
      <c r="AA15" s="2">
        <f t="shared" si="2"/>
        <v>1.163146804694648E-4</v>
      </c>
      <c r="AB15" s="2">
        <f t="shared" si="4"/>
        <v>4.1977942739426413E-8</v>
      </c>
      <c r="AC15" s="2">
        <f t="shared" si="5"/>
        <v>-1.4919949008677916E-8</v>
      </c>
      <c r="AD15" s="2">
        <f t="shared" si="6"/>
        <v>4.8828125E-4</v>
      </c>
      <c r="AF15" s="2">
        <v>11</v>
      </c>
      <c r="AG15" s="2">
        <f t="shared" si="13"/>
        <v>5556.15234375</v>
      </c>
      <c r="AH15" s="2">
        <v>-1.0293179311784115</v>
      </c>
      <c r="AI15" s="2">
        <f t="shared" si="14"/>
        <v>5565.4296875</v>
      </c>
      <c r="AJ15" s="2">
        <v>2.1647529473702889</v>
      </c>
      <c r="AK15" s="2">
        <f t="shared" si="9"/>
        <v>5560.791015625</v>
      </c>
      <c r="AL15" s="2">
        <v>0.56809552986578638</v>
      </c>
      <c r="AM15" s="2">
        <f t="shared" si="10"/>
        <v>-0.58475091551315472</v>
      </c>
      <c r="AN15" s="2">
        <f t="shared" si="11"/>
        <v>1.2297864726648471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174.48842453771286</v>
      </c>
      <c r="H16" s="6" t="s">
        <v>10</v>
      </c>
      <c r="J16" s="13" t="s">
        <v>53</v>
      </c>
      <c r="K16" s="6">
        <f xml:space="preserve"> $C$54 * 0.2138 * K4</f>
        <v>234.54301519621251</v>
      </c>
      <c r="L16" s="6" t="s">
        <v>7</v>
      </c>
      <c r="N16" s="28" t="s">
        <v>24</v>
      </c>
      <c r="O16" s="29"/>
      <c r="P16" s="29"/>
      <c r="U16" s="2">
        <v>12</v>
      </c>
      <c r="V16" s="2">
        <f t="shared" si="7"/>
        <v>5.6396484375E-2</v>
      </c>
      <c r="W16" s="2">
        <f t="shared" si="0"/>
        <v>1.163146804694648E-4</v>
      </c>
      <c r="X16" s="2">
        <f t="shared" si="8"/>
        <v>5.6640625E-2</v>
      </c>
      <c r="Y16" s="2">
        <f t="shared" si="1"/>
        <v>-1.2827227782820361E-4</v>
      </c>
      <c r="Z16" s="2">
        <f t="shared" si="3"/>
        <v>5.65185546875E-2</v>
      </c>
      <c r="AA16" s="2">
        <f t="shared" si="2"/>
        <v>-5.9785665479025751E-6</v>
      </c>
      <c r="AB16" s="2">
        <f t="shared" si="4"/>
        <v>-6.9539505768471931E-10</v>
      </c>
      <c r="AC16" s="2">
        <f t="shared" si="5"/>
        <v>7.6688434924696329E-10</v>
      </c>
      <c r="AD16" s="2">
        <f t="shared" si="6"/>
        <v>2.44140625E-4</v>
      </c>
      <c r="AF16" s="2">
        <v>12</v>
      </c>
      <c r="AG16" s="2">
        <f t="shared" si="13"/>
        <v>5556.15234375</v>
      </c>
      <c r="AH16" s="2">
        <v>-1.0293179311784115</v>
      </c>
      <c r="AI16" s="2">
        <f t="shared" si="14"/>
        <v>5560.791015625</v>
      </c>
      <c r="AJ16" s="2">
        <v>0.56809552986578638</v>
      </c>
      <c r="AK16" s="2">
        <f t="shared" si="9"/>
        <v>5558.4716796875</v>
      </c>
      <c r="AL16" s="2">
        <v>-0.23052654347611679</v>
      </c>
      <c r="AM16" s="2">
        <f t="shared" si="10"/>
        <v>0.23728510481254667</v>
      </c>
      <c r="AN16" s="2">
        <f t="shared" si="11"/>
        <v>-0.1309610988641928</v>
      </c>
      <c r="AO16" s="2">
        <f t="shared" si="12"/>
        <v>4.638671875</v>
      </c>
    </row>
    <row r="17" spans="2:41" x14ac:dyDescent="0.2">
      <c r="B17" s="27" t="s">
        <v>110</v>
      </c>
      <c r="C17" s="27"/>
      <c r="D17" s="27"/>
      <c r="F17" s="6" t="s">
        <v>124</v>
      </c>
      <c r="G17" s="6">
        <f>G16/$C$49</f>
        <v>0.5244274635222792</v>
      </c>
      <c r="H17" s="6" t="s">
        <v>122</v>
      </c>
      <c r="J17" s="13" t="s">
        <v>77</v>
      </c>
      <c r="K17" s="6">
        <f xml:space="preserve"> $C$54 * 0.1149 * K4</f>
        <v>126.04767280657072</v>
      </c>
      <c r="L17" s="6" t="s">
        <v>7</v>
      </c>
      <c r="N17" s="6" t="s">
        <v>25</v>
      </c>
      <c r="O17" s="6">
        <f xml:space="preserve"> ACOS(O14)/PI()*180</f>
        <v>5.4167716804066348</v>
      </c>
      <c r="P17" s="6" t="s">
        <v>40</v>
      </c>
      <c r="U17" s="2">
        <v>13</v>
      </c>
      <c r="V17" s="2">
        <f t="shared" si="7"/>
        <v>5.6396484375E-2</v>
      </c>
      <c r="W17" s="2">
        <f t="shared" si="0"/>
        <v>1.163146804694648E-4</v>
      </c>
      <c r="X17" s="2">
        <f t="shared" si="8"/>
        <v>5.65185546875E-2</v>
      </c>
      <c r="Y17" s="2">
        <f t="shared" si="1"/>
        <v>-5.9785665479025751E-6</v>
      </c>
      <c r="Z17" s="2">
        <f t="shared" si="3"/>
        <v>5.645751953125E-2</v>
      </c>
      <c r="AA17" s="2">
        <f t="shared" si="2"/>
        <v>5.5168115000683859E-5</v>
      </c>
      <c r="AB17" s="2">
        <f t="shared" si="4"/>
        <v>6.4168616684072314E-9</v>
      </c>
      <c r="AC17" s="2">
        <f t="shared" si="5"/>
        <v>-3.2982624685393076E-10</v>
      </c>
      <c r="AD17" s="2">
        <f t="shared" si="6"/>
        <v>1.220703125E-4</v>
      </c>
      <c r="AF17" s="2">
        <v>13</v>
      </c>
      <c r="AG17" s="2">
        <f t="shared" si="13"/>
        <v>5558.4716796875</v>
      </c>
      <c r="AH17" s="2">
        <v>-0.23052654347611679</v>
      </c>
      <c r="AI17" s="2">
        <f t="shared" si="14"/>
        <v>5560.791015625</v>
      </c>
      <c r="AJ17" s="2">
        <v>0.56809552986578638</v>
      </c>
      <c r="AK17" s="2">
        <f t="shared" si="9"/>
        <v>5559.63134765625</v>
      </c>
      <c r="AL17" s="2">
        <v>0.1687961154648292</v>
      </c>
      <c r="AM17" s="2">
        <f t="shared" si="10"/>
        <v>-3.8911985050302578E-2</v>
      </c>
      <c r="AN17" s="2">
        <f t="shared" si="11"/>
        <v>9.5892318654278608E-2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13681.7201697084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150.62427643054386</v>
      </c>
      <c r="L18" s="6" t="s">
        <v>7</v>
      </c>
      <c r="N18" s="6" t="s">
        <v>19</v>
      </c>
      <c r="O18" s="6">
        <f xml:space="preserve"> O13 / $C$18</f>
        <v>13681.7201697084</v>
      </c>
      <c r="P18" s="6" t="s">
        <v>20</v>
      </c>
      <c r="U18" s="2">
        <v>14</v>
      </c>
      <c r="V18" s="2">
        <f t="shared" si="7"/>
        <v>5.645751953125E-2</v>
      </c>
      <c r="W18" s="2">
        <f t="shared" si="0"/>
        <v>5.5168115000683859E-5</v>
      </c>
      <c r="X18" s="2">
        <f t="shared" si="8"/>
        <v>5.65185546875E-2</v>
      </c>
      <c r="Y18" s="2">
        <f t="shared" si="1"/>
        <v>-5.9785665479025751E-6</v>
      </c>
      <c r="Z18" s="2">
        <f t="shared" si="3"/>
        <v>5.6488037109375E-2</v>
      </c>
      <c r="AA18" s="2">
        <f t="shared" si="2"/>
        <v>2.4594788735482487E-5</v>
      </c>
      <c r="AB18" s="2">
        <f t="shared" si="4"/>
        <v>1.3568481333766218E-9</v>
      </c>
      <c r="AC18" s="2">
        <f t="shared" si="5"/>
        <v>-1.4704158118668667E-10</v>
      </c>
      <c r="AD18" s="2">
        <f t="shared" si="6"/>
        <v>6.103515625E-5</v>
      </c>
      <c r="AF18" s="2">
        <v>14</v>
      </c>
      <c r="AG18" s="2">
        <f t="shared" si="13"/>
        <v>5558.4716796875</v>
      </c>
      <c r="AH18" s="2">
        <v>-0.23052654347611679</v>
      </c>
      <c r="AI18" s="2">
        <f t="shared" si="14"/>
        <v>5559.63134765625</v>
      </c>
      <c r="AJ18" s="2">
        <v>0.1687961154648292</v>
      </c>
      <c r="AK18" s="2">
        <f t="shared" si="9"/>
        <v>5559.051513671875</v>
      </c>
      <c r="AL18" s="2">
        <v>-3.0833590085421747E-2</v>
      </c>
      <c r="AM18" s="2">
        <f t="shared" si="10"/>
        <v>7.1079609453517396E-3</v>
      </c>
      <c r="AN18" s="2">
        <f t="shared" si="11"/>
        <v>-5.2045902322540617E-3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179.64151302473329</v>
      </c>
      <c r="H19" s="6" t="s">
        <v>101</v>
      </c>
      <c r="J19" s="14" t="s">
        <v>61</v>
      </c>
      <c r="K19" s="6">
        <f xml:space="preserve"> $C$55 * C31 * $C$5</f>
        <v>62.262186322636062</v>
      </c>
      <c r="L19" s="6" t="s">
        <v>7</v>
      </c>
      <c r="N19" s="6" t="s">
        <v>26</v>
      </c>
      <c r="O19" s="6">
        <f>$C$7*2*PI()/60</f>
        <v>42.957654107050942</v>
      </c>
      <c r="P19" s="6" t="s">
        <v>27</v>
      </c>
      <c r="U19" s="2">
        <v>15</v>
      </c>
      <c r="V19" s="2">
        <f t="shared" si="7"/>
        <v>5.6488037109375E-2</v>
      </c>
      <c r="W19" s="2">
        <f t="shared" si="0"/>
        <v>2.4594788735482487E-5</v>
      </c>
      <c r="X19" s="2">
        <f t="shared" si="8"/>
        <v>5.65185546875E-2</v>
      </c>
      <c r="Y19" s="2">
        <f t="shared" si="1"/>
        <v>-5.9785665479025751E-6</v>
      </c>
      <c r="Z19" s="2">
        <f t="shared" si="3"/>
        <v>5.65032958984375E-2</v>
      </c>
      <c r="AA19" s="2">
        <f t="shared" si="2"/>
        <v>9.3081147209544968E-6</v>
      </c>
      <c r="AB19" s="2">
        <f t="shared" si="4"/>
        <v>2.2893111508751037E-10</v>
      </c>
      <c r="AC19" s="2">
        <f t="shared" si="5"/>
        <v>-5.5649183294738065E-11</v>
      </c>
      <c r="AD19" s="2">
        <f t="shared" si="6"/>
        <v>3.0517578125E-5</v>
      </c>
      <c r="AF19" s="2">
        <v>15</v>
      </c>
      <c r="AG19" s="2">
        <f t="shared" si="13"/>
        <v>5559.051513671875</v>
      </c>
      <c r="AH19" s="2">
        <v>-3.0833590085421747E-2</v>
      </c>
      <c r="AI19" s="2">
        <f t="shared" si="14"/>
        <v>5559.63134765625</v>
      </c>
      <c r="AJ19" s="2">
        <v>0.1687961154648292</v>
      </c>
      <c r="AK19" s="2">
        <f t="shared" si="9"/>
        <v>5559.3414306640625</v>
      </c>
      <c r="AL19" s="2">
        <v>6.8998744646705745E-2</v>
      </c>
      <c r="AM19" s="2">
        <f t="shared" si="10"/>
        <v>-2.127479008845213E-3</v>
      </c>
      <c r="AN19" s="2">
        <f t="shared" si="11"/>
        <v>1.1646720068313609E-2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7.7711159382724624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0.50715080173095584</v>
      </c>
      <c r="U20" s="2">
        <v>16</v>
      </c>
      <c r="V20" s="2">
        <f t="shared" si="7"/>
        <v>5.65032958984375E-2</v>
      </c>
      <c r="W20" s="2">
        <f t="shared" si="0"/>
        <v>9.3081147209544968E-6</v>
      </c>
      <c r="X20" s="2">
        <f t="shared" si="8"/>
        <v>5.65185546875E-2</v>
      </c>
      <c r="Y20" s="2">
        <f t="shared" si="1"/>
        <v>-5.9785665479025751E-6</v>
      </c>
      <c r="Z20" s="2">
        <f t="shared" si="3"/>
        <v>5.651092529296875E-2</v>
      </c>
      <c r="AA20" s="2">
        <f t="shared" si="2"/>
        <v>1.6647749933040856E-6</v>
      </c>
      <c r="AB20" s="2">
        <f t="shared" si="4"/>
        <v>1.5495916622250683E-11</v>
      </c>
      <c r="AC20" s="2">
        <f t="shared" si="5"/>
        <v>-9.9529680847525405E-12</v>
      </c>
      <c r="AD20" s="2">
        <f t="shared" si="6"/>
        <v>1.52587890625E-5</v>
      </c>
      <c r="AF20" s="2">
        <v>16</v>
      </c>
      <c r="AG20" s="2">
        <f t="shared" si="13"/>
        <v>5559.051513671875</v>
      </c>
      <c r="AH20" s="2">
        <v>-3.0833590085421747E-2</v>
      </c>
      <c r="AI20" s="2">
        <f t="shared" si="14"/>
        <v>5559.3414306640625</v>
      </c>
      <c r="AJ20" s="2">
        <v>6.8998744646705745E-2</v>
      </c>
      <c r="AK20" s="2">
        <f t="shared" si="9"/>
        <v>5559.1964721679688</v>
      </c>
      <c r="AL20" s="2">
        <v>1.9082160303696583E-2</v>
      </c>
      <c r="AM20" s="2">
        <f t="shared" si="10"/>
        <v>-5.8837150874848742E-4</v>
      </c>
      <c r="AN20" s="2">
        <f t="shared" si="11"/>
        <v>1.3166451061022654E-3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0.13999999999959289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8.5962767862544521E-3</v>
      </c>
      <c r="U21" s="2">
        <v>17</v>
      </c>
      <c r="V21" s="2">
        <f t="shared" si="7"/>
        <v>5.651092529296875E-2</v>
      </c>
      <c r="W21" s="2">
        <f t="shared" si="0"/>
        <v>1.6647749933040856E-6</v>
      </c>
      <c r="X21" s="2">
        <f t="shared" si="8"/>
        <v>5.65185546875E-2</v>
      </c>
      <c r="Y21" s="2">
        <f t="shared" si="1"/>
        <v>-5.9785665479025751E-6</v>
      </c>
      <c r="Z21" s="2">
        <f t="shared" si="3"/>
        <v>5.6514739990234375E-2</v>
      </c>
      <c r="AA21" s="2">
        <f t="shared" si="2"/>
        <v>-2.1568955506090504E-6</v>
      </c>
      <c r="AB21" s="2">
        <f t="shared" si="4"/>
        <v>-3.5907457758227937E-12</v>
      </c>
      <c r="AC21" s="2">
        <f t="shared" si="5"/>
        <v>1.2895143586191174E-11</v>
      </c>
      <c r="AD21" s="2">
        <f t="shared" si="6"/>
        <v>7.62939453125E-6</v>
      </c>
      <c r="AF21" s="2">
        <v>17</v>
      </c>
      <c r="AG21" s="2">
        <f t="shared" si="13"/>
        <v>5559.051513671875</v>
      </c>
      <c r="AH21" s="2">
        <v>-3.0833590085421747E-2</v>
      </c>
      <c r="AI21" s="2">
        <f t="shared" si="14"/>
        <v>5559.1964721679688</v>
      </c>
      <c r="AJ21" s="2">
        <v>1.9082160303696583E-2</v>
      </c>
      <c r="AK21" s="2">
        <f t="shared" si="9"/>
        <v>5559.1239929199219</v>
      </c>
      <c r="AL21" s="2">
        <v>-5.8949671929440228E-3</v>
      </c>
      <c r="AM21" s="2">
        <f t="shared" si="10"/>
        <v>1.8176300199424528E-4</v>
      </c>
      <c r="AN21" s="2">
        <f t="shared" si="11"/>
        <v>-1.1248870896079011E-4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718.56605209893314</v>
      </c>
      <c r="H22" s="25" t="s">
        <v>101</v>
      </c>
      <c r="J22" s="14" t="s">
        <v>112</v>
      </c>
      <c r="K22" s="6">
        <f>$C$55*(0.14*$G$12*1000/745.7)*0.453592</f>
        <v>62.280605034787584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5.651092529296875E-2</v>
      </c>
      <c r="W22" s="2">
        <f t="shared" si="0"/>
        <v>1.6647749933040856E-6</v>
      </c>
      <c r="X22" s="2">
        <f t="shared" si="8"/>
        <v>5.6514739990234375E-2</v>
      </c>
      <c r="Y22" s="2">
        <f t="shared" si="1"/>
        <v>-2.1568955506090504E-6</v>
      </c>
      <c r="Z22" s="2">
        <f t="shared" si="3"/>
        <v>5.6512832641601562E-2</v>
      </c>
      <c r="AA22" s="2">
        <f t="shared" si="2"/>
        <v>-2.4606022198253585E-7</v>
      </c>
      <c r="AB22" s="2">
        <f t="shared" si="4"/>
        <v>-4.0963490440337795E-13</v>
      </c>
      <c r="AC22" s="2">
        <f t="shared" si="5"/>
        <v>5.3072619797600681E-13</v>
      </c>
      <c r="AD22" s="2">
        <f t="shared" si="6"/>
        <v>3.814697265625E-6</v>
      </c>
      <c r="AF22" s="2">
        <v>18</v>
      </c>
      <c r="AG22" s="2">
        <f t="shared" si="13"/>
        <v>5559.1239929199219</v>
      </c>
      <c r="AH22" s="2">
        <v>-5.8949671929440228E-3</v>
      </c>
      <c r="AI22" s="2">
        <f t="shared" si="14"/>
        <v>5559.1964721679688</v>
      </c>
      <c r="AJ22" s="2">
        <v>1.9082160303696583E-2</v>
      </c>
      <c r="AK22" s="2">
        <f t="shared" si="9"/>
        <v>5559.1602325439453</v>
      </c>
      <c r="AL22" s="2">
        <v>6.5935704278672347E-3</v>
      </c>
      <c r="AM22" s="2">
        <f t="shared" si="10"/>
        <v>-3.8868881356643234E-5</v>
      </c>
      <c r="AN22" s="2">
        <f t="shared" si="11"/>
        <v>1.2581956787827584E-4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119.18761381761759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41659.060315144896</v>
      </c>
      <c r="P23" s="6" t="s">
        <v>18</v>
      </c>
      <c r="U23" s="2">
        <v>19</v>
      </c>
      <c r="V23" s="2">
        <f t="shared" si="7"/>
        <v>5.651092529296875E-2</v>
      </c>
      <c r="W23" s="2">
        <f t="shared" si="0"/>
        <v>1.6647749933040856E-6</v>
      </c>
      <c r="X23" s="2">
        <f t="shared" si="8"/>
        <v>5.6512832641601562E-2</v>
      </c>
      <c r="Y23" s="2">
        <f t="shared" si="1"/>
        <v>-2.4606022198253585E-7</v>
      </c>
      <c r="Z23" s="2">
        <f t="shared" si="3"/>
        <v>5.6511878967285156E-2</v>
      </c>
      <c r="AA23" s="2">
        <f t="shared" si="2"/>
        <v>7.0935739983346568E-7</v>
      </c>
      <c r="AB23" s="2">
        <f t="shared" si="4"/>
        <v>1.1809204605579615E-12</v>
      </c>
      <c r="AC23" s="2">
        <f t="shared" si="5"/>
        <v>-1.7454463926797702E-13</v>
      </c>
      <c r="AD23" s="2">
        <f t="shared" si="6"/>
        <v>1.9073486328125E-6</v>
      </c>
      <c r="AF23" s="2">
        <v>19</v>
      </c>
      <c r="AG23" s="2">
        <f t="shared" si="13"/>
        <v>5559.1239929199219</v>
      </c>
      <c r="AH23" s="2">
        <v>-5.8949671929440228E-3</v>
      </c>
      <c r="AI23" s="2">
        <f t="shared" si="14"/>
        <v>5559.1602325439453</v>
      </c>
      <c r="AJ23" s="2">
        <v>6.5935704278672347E-3</v>
      </c>
      <c r="AK23" s="2">
        <f t="shared" si="9"/>
        <v>5559.1421127319336</v>
      </c>
      <c r="AL23" s="2">
        <v>3.6844320948148379E-4</v>
      </c>
      <c r="AM23" s="2">
        <f t="shared" si="10"/>
        <v>-2.1719606323563489E-6</v>
      </c>
      <c r="AN23" s="2">
        <f t="shared" si="11"/>
        <v>2.4293562503856044E-6</v>
      </c>
      <c r="AO23" s="2">
        <f t="shared" si="12"/>
        <v>3.62396240234375E-2</v>
      </c>
    </row>
    <row r="24" spans="2:41" x14ac:dyDescent="0.2">
      <c r="B24" s="27" t="s">
        <v>104</v>
      </c>
      <c r="C24" s="27"/>
      <c r="D24" s="27"/>
      <c r="F24" s="28" t="s">
        <v>81</v>
      </c>
      <c r="G24" s="31"/>
      <c r="H24" s="31"/>
      <c r="J24" s="15" t="s">
        <v>65</v>
      </c>
      <c r="K24" s="6">
        <f xml:space="preserve"> $C$56 * (11.5 * ($C$5*2.20462/1000)^0.4 * 0.453592)</f>
        <v>11.370753595646331</v>
      </c>
      <c r="L24" s="6" t="s">
        <v>7</v>
      </c>
      <c r="N24" s="6" t="s">
        <v>31</v>
      </c>
      <c r="O24" s="18">
        <f>Z34</f>
        <v>5.6512587238103151E-2</v>
      </c>
      <c r="U24" s="2">
        <v>20</v>
      </c>
      <c r="V24" s="2">
        <f t="shared" si="7"/>
        <v>5.6511878967285156E-2</v>
      </c>
      <c r="W24" s="2">
        <f t="shared" si="0"/>
        <v>7.0935739983346568E-7</v>
      </c>
      <c r="X24" s="2">
        <f t="shared" si="8"/>
        <v>5.6512832641601562E-2</v>
      </c>
      <c r="Y24" s="2">
        <f t="shared" si="1"/>
        <v>-2.4606022198253585E-7</v>
      </c>
      <c r="Z24" s="2">
        <f t="shared" si="3"/>
        <v>5.6512355804443359E-2</v>
      </c>
      <c r="AA24" s="2">
        <f t="shared" si="2"/>
        <v>2.3164859246777025E-7</v>
      </c>
      <c r="AB24" s="2">
        <f t="shared" si="4"/>
        <v>1.6432164322801964E-13</v>
      </c>
      <c r="AC24" s="2">
        <f t="shared" si="5"/>
        <v>-5.6999504084561532E-14</v>
      </c>
      <c r="AD24" s="2">
        <f t="shared" si="6"/>
        <v>9.5367431640625E-7</v>
      </c>
      <c r="AF24" s="2">
        <v>20</v>
      </c>
      <c r="AG24" s="2">
        <f t="shared" si="13"/>
        <v>5559.1239929199219</v>
      </c>
      <c r="AH24" s="2">
        <v>-5.8949671929440228E-3</v>
      </c>
      <c r="AI24" s="2">
        <f t="shared" si="14"/>
        <v>5559.1421127319336</v>
      </c>
      <c r="AJ24" s="2">
        <v>3.6844320948148379E-4</v>
      </c>
      <c r="AK24" s="2">
        <f t="shared" si="9"/>
        <v>5559.1330528259277</v>
      </c>
      <c r="AL24" s="2">
        <v>-2.7824117287309491E-3</v>
      </c>
      <c r="AM24" s="2">
        <f t="shared" si="10"/>
        <v>1.6402225858131608E-5</v>
      </c>
      <c r="AN24" s="2">
        <f t="shared" si="11"/>
        <v>-1.0251607074325546E-6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35.578392184363459</v>
      </c>
      <c r="L25" s="6" t="s">
        <v>7</v>
      </c>
      <c r="N25" s="6" t="s">
        <v>32</v>
      </c>
      <c r="O25" s="6">
        <f xml:space="preserve"> O19 * $C$9 * O24 - $C$8 * SIN(O17/180*PI())</f>
        <v>1.4697050941425935</v>
      </c>
      <c r="P25" s="6" t="s">
        <v>10</v>
      </c>
      <c r="U25" s="2">
        <v>21</v>
      </c>
      <c r="V25" s="2">
        <f t="shared" si="7"/>
        <v>5.6512355804443359E-2</v>
      </c>
      <c r="W25" s="2">
        <f t="shared" si="0"/>
        <v>2.3164859246777025E-7</v>
      </c>
      <c r="X25" s="2">
        <f t="shared" si="8"/>
        <v>5.6512832641601562E-2</v>
      </c>
      <c r="Y25" s="2">
        <f t="shared" si="1"/>
        <v>-2.4606022198253585E-7</v>
      </c>
      <c r="Z25" s="2">
        <f t="shared" si="3"/>
        <v>5.6512594223022461E-2</v>
      </c>
      <c r="AA25" s="2">
        <f t="shared" si="2"/>
        <v>-7.2058138692043805E-9</v>
      </c>
      <c r="AB25" s="2">
        <f t="shared" si="4"/>
        <v>-1.6692166403859322E-15</v>
      </c>
      <c r="AC25" s="2">
        <f t="shared" si="5"/>
        <v>1.7730641602212655E-15</v>
      </c>
      <c r="AD25" s="2">
        <f t="shared" si="6"/>
        <v>4.76837158203125E-7</v>
      </c>
      <c r="AF25" s="2">
        <v>21</v>
      </c>
      <c r="AG25" s="2">
        <f t="shared" si="13"/>
        <v>5559.1330528259277</v>
      </c>
      <c r="AH25" s="2">
        <v>-2.7824117287309491E-3</v>
      </c>
      <c r="AI25" s="2">
        <f t="shared" si="14"/>
        <v>5559.1421127319336</v>
      </c>
      <c r="AJ25" s="2">
        <v>3.6844320948148379E-4</v>
      </c>
      <c r="AK25" s="2">
        <f t="shared" si="9"/>
        <v>5559.1375827789307</v>
      </c>
      <c r="AL25" s="2">
        <v>-1.2261327856322168E-3</v>
      </c>
      <c r="AM25" s="2">
        <f t="shared" si="10"/>
        <v>3.4116062437246307E-6</v>
      </c>
      <c r="AN25" s="2">
        <f t="shared" si="11"/>
        <v>-4.5176029878880614E-7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122.61421972144831</v>
      </c>
      <c r="L26" s="6" t="s">
        <v>7</v>
      </c>
      <c r="N26" s="6" t="s">
        <v>33</v>
      </c>
      <c r="O26" s="6">
        <f xml:space="preserve"> 1/$C$21 - O23 * SQRT( (2*$C$47*PI()*$C$9^2) / O18^3 )</f>
        <v>1.0671615912585839</v>
      </c>
      <c r="U26" s="2">
        <v>22</v>
      </c>
      <c r="V26" s="2">
        <f t="shared" si="7"/>
        <v>5.6512355804443359E-2</v>
      </c>
      <c r="W26" s="2">
        <f t="shared" si="0"/>
        <v>2.3164859246777025E-7</v>
      </c>
      <c r="X26" s="2">
        <f t="shared" si="8"/>
        <v>5.6512594223022461E-2</v>
      </c>
      <c r="Y26" s="2">
        <f t="shared" si="1"/>
        <v>-7.2058138692043805E-9</v>
      </c>
      <c r="Z26" s="2">
        <f t="shared" si="3"/>
        <v>5.651247501373291E-2</v>
      </c>
      <c r="AA26" s="2">
        <f t="shared" si="2"/>
        <v>1.1222138951438865E-7</v>
      </c>
      <c r="AB26" s="2">
        <f t="shared" si="4"/>
        <v>2.5995926925785523E-14</v>
      </c>
      <c r="AC26" s="2">
        <f t="shared" si="5"/>
        <v>-8.0864644498416873E-16</v>
      </c>
      <c r="AD26" s="2">
        <f t="shared" si="6"/>
        <v>2.384185791015625E-7</v>
      </c>
      <c r="AF26" s="2">
        <v>22</v>
      </c>
      <c r="AG26" s="2">
        <f t="shared" si="13"/>
        <v>5559.1375827789307</v>
      </c>
      <c r="AH26" s="2">
        <v>-1.2261327856322168E-3</v>
      </c>
      <c r="AI26" s="2">
        <f t="shared" si="14"/>
        <v>5559.1421127319336</v>
      </c>
      <c r="AJ26" s="2">
        <v>3.6844320948148379E-4</v>
      </c>
      <c r="AK26" s="2">
        <f t="shared" si="9"/>
        <v>5559.1398477554321</v>
      </c>
      <c r="AL26" s="2">
        <v>-4.0969678957480937E-4</v>
      </c>
      <c r="AM26" s="2">
        <f t="shared" si="10"/>
        <v>5.0234266586593715E-7</v>
      </c>
      <c r="AN26" s="2">
        <f t="shared" si="11"/>
        <v>-1.5095000006520286E-7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-5.9706202719098656E-3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5.651247501373291E-2</v>
      </c>
      <c r="W27" s="2">
        <f t="shared" si="0"/>
        <v>1.1222138951438865E-7</v>
      </c>
      <c r="X27" s="2">
        <f t="shared" si="8"/>
        <v>5.6512594223022461E-2</v>
      </c>
      <c r="Y27" s="2">
        <f t="shared" si="1"/>
        <v>-7.2058138692043805E-9</v>
      </c>
      <c r="Z27" s="2">
        <f t="shared" si="3"/>
        <v>5.6512534618377686E-2</v>
      </c>
      <c r="AA27" s="2">
        <f t="shared" si="2"/>
        <v>5.2507787881572732E-8</v>
      </c>
      <c r="AB27" s="2">
        <f t="shared" si="4"/>
        <v>5.8924969163968691E-15</v>
      </c>
      <c r="AC27" s="2">
        <f t="shared" si="5"/>
        <v>-3.783613461582785E-16</v>
      </c>
      <c r="AD27" s="2">
        <f t="shared" si="6"/>
        <v>1.1920928955078125E-7</v>
      </c>
      <c r="AF27" s="2">
        <v>23</v>
      </c>
      <c r="AG27" s="2">
        <f t="shared" si="13"/>
        <v>5559.1398477554321</v>
      </c>
      <c r="AH27" s="2">
        <v>-4.0969678957480937E-4</v>
      </c>
      <c r="AI27" s="2">
        <f t="shared" si="14"/>
        <v>5559.1421127319336</v>
      </c>
      <c r="AJ27" s="2">
        <v>3.6844320948148379E-4</v>
      </c>
      <c r="AK27" s="2">
        <f t="shared" si="9"/>
        <v>5559.1409802436829</v>
      </c>
      <c r="AL27" s="2">
        <v>-2.0626817786251195E-5</v>
      </c>
      <c r="AM27" s="2">
        <f t="shared" si="10"/>
        <v>8.450741026171691E-9</v>
      </c>
      <c r="AN27" s="2">
        <f t="shared" si="11"/>
        <v>-7.5998109465561447E-9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13621.925688860347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1.1526674605516465</v>
      </c>
      <c r="U28" s="2">
        <v>24</v>
      </c>
      <c r="V28" s="2">
        <f t="shared" si="7"/>
        <v>5.6512534618377686E-2</v>
      </c>
      <c r="W28" s="2">
        <f t="shared" si="0"/>
        <v>5.2507787881572732E-8</v>
      </c>
      <c r="X28" s="2">
        <f t="shared" si="8"/>
        <v>5.6512594223022461E-2</v>
      </c>
      <c r="Y28" s="2">
        <f t="shared" si="1"/>
        <v>-7.2058138692043805E-9</v>
      </c>
      <c r="Z28" s="2">
        <f t="shared" si="3"/>
        <v>5.6512564420700073E-2</v>
      </c>
      <c r="AA28" s="2">
        <f t="shared" si="2"/>
        <v>2.2650987016592516E-8</v>
      </c>
      <c r="AB28" s="2">
        <f t="shared" si="4"/>
        <v>1.1893532215754979E-15</v>
      </c>
      <c r="AC28" s="2">
        <f t="shared" si="5"/>
        <v>-1.632187963953307E-16</v>
      </c>
      <c r="AD28" s="2">
        <f t="shared" si="6"/>
        <v>5.9604644775390625E-8</v>
      </c>
      <c r="AF28" s="2">
        <v>24</v>
      </c>
      <c r="AG28" s="2">
        <f t="shared" si="13"/>
        <v>5559.1409802436829</v>
      </c>
      <c r="AH28" s="2">
        <v>-2.0626817786251195E-5</v>
      </c>
      <c r="AI28" s="2">
        <f t="shared" si="14"/>
        <v>5559.1421127319336</v>
      </c>
      <c r="AJ28" s="2">
        <v>3.6844320948148379E-4</v>
      </c>
      <c r="AK28" s="2">
        <f t="shared" si="9"/>
        <v>5559.1415464878082</v>
      </c>
      <c r="AL28" s="2">
        <v>1.5476006956305355E-4</v>
      </c>
      <c r="AM28" s="2">
        <f t="shared" si="10"/>
        <v>-3.1922077554646651E-9</v>
      </c>
      <c r="AN28" s="2">
        <f t="shared" si="11"/>
        <v>5.7020296729389142E-8</v>
      </c>
      <c r="AO28" s="2">
        <f t="shared" si="12"/>
        <v>1.1324882507324219E-3</v>
      </c>
    </row>
    <row r="29" spans="2:41" x14ac:dyDescent="0.2">
      <c r="B29" s="27" t="s">
        <v>108</v>
      </c>
      <c r="C29" s="27"/>
      <c r="D29" s="27"/>
      <c r="F29" t="s">
        <v>97</v>
      </c>
      <c r="G29" s="6">
        <f>G31/$C$18</f>
        <v>204.18072056141023</v>
      </c>
      <c r="H29" t="s">
        <v>18</v>
      </c>
      <c r="U29" s="2">
        <v>25</v>
      </c>
      <c r="V29" s="2">
        <f t="shared" si="7"/>
        <v>5.6512564420700073E-2</v>
      </c>
      <c r="W29" s="2">
        <f t="shared" si="0"/>
        <v>2.2650987016592516E-8</v>
      </c>
      <c r="X29" s="2">
        <f t="shared" si="8"/>
        <v>5.6512594223022461E-2</v>
      </c>
      <c r="Y29" s="2">
        <f t="shared" si="1"/>
        <v>-7.2058138692043805E-9</v>
      </c>
      <c r="Z29" s="2">
        <f t="shared" si="3"/>
        <v>5.6512579321861267E-2</v>
      </c>
      <c r="AA29" s="2">
        <f t="shared" si="2"/>
        <v>7.7225865771635149E-9</v>
      </c>
      <c r="AB29" s="2">
        <f t="shared" si="4"/>
        <v>1.7492420829384241E-16</v>
      </c>
      <c r="AC29" s="2">
        <f t="shared" si="5"/>
        <v>-5.5647521463856437E-17</v>
      </c>
      <c r="AD29" s="2">
        <f t="shared" si="6"/>
        <v>2.9802322387695312E-8</v>
      </c>
      <c r="AF29" s="2">
        <v>25</v>
      </c>
      <c r="AG29" s="2">
        <f t="shared" si="13"/>
        <v>5559.1409802436829</v>
      </c>
      <c r="AH29" s="2">
        <v>-2.0626817786251195E-5</v>
      </c>
      <c r="AI29" s="2">
        <f t="shared" si="14"/>
        <v>5559.1415464878082</v>
      </c>
      <c r="AJ29" s="2">
        <v>1.5476006956305355E-4</v>
      </c>
      <c r="AK29" s="2">
        <f t="shared" si="9"/>
        <v>5559.1412633657455</v>
      </c>
      <c r="AL29" s="2">
        <v>6.7066625888401177E-5</v>
      </c>
      <c r="AM29" s="2">
        <f t="shared" si="10"/>
        <v>-1.3833710717387282E-9</v>
      </c>
      <c r="AN29" s="2">
        <f t="shared" si="11"/>
        <v>1.0379235687848254E-8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6.8066218048422513</v>
      </c>
      <c r="H30" s="6" t="s">
        <v>147</v>
      </c>
      <c r="J30" s="32" t="s">
        <v>111</v>
      </c>
      <c r="K30" s="32"/>
      <c r="L30" s="32"/>
      <c r="U30" s="2">
        <v>26</v>
      </c>
      <c r="V30" s="2">
        <f t="shared" si="7"/>
        <v>5.6512579321861267E-2</v>
      </c>
      <c r="W30" s="2">
        <f t="shared" si="0"/>
        <v>7.7225865771635149E-9</v>
      </c>
      <c r="X30" s="2">
        <f t="shared" si="8"/>
        <v>5.6512594223022461E-2</v>
      </c>
      <c r="Y30" s="2">
        <f t="shared" si="1"/>
        <v>-7.2058138692043805E-9</v>
      </c>
      <c r="Z30" s="2">
        <f t="shared" si="3"/>
        <v>5.6512586772441864E-2</v>
      </c>
      <c r="AA30" s="2">
        <f t="shared" si="2"/>
        <v>2.5838635397956722E-10</v>
      </c>
      <c r="AB30" s="2">
        <f t="shared" si="4"/>
        <v>1.9954109889648265E-18</v>
      </c>
      <c r="AC30" s="2">
        <f t="shared" si="5"/>
        <v>-1.861883973119118E-18</v>
      </c>
      <c r="AD30" s="2">
        <f t="shared" si="6"/>
        <v>1.4901161193847656E-8</v>
      </c>
      <c r="AF30" s="2">
        <v>26</v>
      </c>
      <c r="AG30" s="2">
        <f t="shared" si="13"/>
        <v>5559.1409802436829</v>
      </c>
      <c r="AH30" s="2">
        <v>-2.0626817786251195E-5</v>
      </c>
      <c r="AI30" s="2">
        <f t="shared" si="14"/>
        <v>5559.1412633657455</v>
      </c>
      <c r="AJ30" s="2">
        <v>6.7066625888401177E-5</v>
      </c>
      <c r="AK30" s="2">
        <f t="shared" si="9"/>
        <v>5559.1411218047142</v>
      </c>
      <c r="AL30" s="2">
        <v>4.0717914089327678E-6</v>
      </c>
      <c r="AM30" s="2">
        <f t="shared" si="10"/>
        <v>-8.3988099455679227E-11</v>
      </c>
      <c r="AN30" s="2">
        <f t="shared" si="11"/>
        <v>2.7308131111849987E-10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816.7228822456409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5.6512586772441864E-2</v>
      </c>
      <c r="W31" s="2">
        <f t="shared" si="0"/>
        <v>2.5838635397956722E-10</v>
      </c>
      <c r="X31" s="2">
        <f t="shared" si="8"/>
        <v>5.6512594223022461E-2</v>
      </c>
      <c r="Y31" s="2">
        <f t="shared" si="1"/>
        <v>-7.2058138692043805E-9</v>
      </c>
      <c r="Z31" s="2">
        <f t="shared" si="3"/>
        <v>5.6512590497732162E-2</v>
      </c>
      <c r="AA31" s="2">
        <f t="shared" si="2"/>
        <v>-3.4737137610818536E-9</v>
      </c>
      <c r="AB31" s="2">
        <f t="shared" si="4"/>
        <v>-8.9756023349458961E-19</v>
      </c>
      <c r="AC31" s="2">
        <f t="shared" si="5"/>
        <v>2.5030934797249732E-17</v>
      </c>
      <c r="AD31" s="2">
        <f t="shared" si="6"/>
        <v>7.4505805969238281E-9</v>
      </c>
      <c r="AF31" s="2">
        <v>27</v>
      </c>
      <c r="AG31" s="2">
        <f t="shared" si="13"/>
        <v>5559.1409802436829</v>
      </c>
      <c r="AH31" s="2">
        <v>-2.0626817786251195E-5</v>
      </c>
      <c r="AI31" s="2">
        <f t="shared" si="14"/>
        <v>5559.1411218047142</v>
      </c>
      <c r="AJ31" s="2">
        <v>4.0717914089327678E-6</v>
      </c>
      <c r="AK31" s="2">
        <f t="shared" si="9"/>
        <v>5559.1410510241985</v>
      </c>
      <c r="AL31" s="2">
        <v>-8.2775140981539153E-6</v>
      </c>
      <c r="AM31" s="2">
        <f t="shared" si="10"/>
        <v>1.707387750257462E-10</v>
      </c>
      <c r="AN31" s="2">
        <f t="shared" si="11"/>
        <v>-3.3704310792182979E-11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3130.57</v>
      </c>
      <c r="L32" s="6" t="s">
        <v>7</v>
      </c>
      <c r="U32" s="2">
        <v>28</v>
      </c>
      <c r="V32" s="2">
        <f t="shared" si="7"/>
        <v>5.6512586772441864E-2</v>
      </c>
      <c r="W32" s="2">
        <f t="shared" si="0"/>
        <v>2.5838635397956722E-10</v>
      </c>
      <c r="X32" s="2">
        <f t="shared" si="8"/>
        <v>5.6512590497732162E-2</v>
      </c>
      <c r="Y32" s="2">
        <f t="shared" si="1"/>
        <v>-3.4737137610818536E-9</v>
      </c>
      <c r="Z32" s="2">
        <f t="shared" si="3"/>
        <v>5.6512588635087013E-2</v>
      </c>
      <c r="AA32" s="2">
        <f t="shared" si="2"/>
        <v>-1.6076637035511432E-9</v>
      </c>
      <c r="AB32" s="2">
        <f t="shared" si="4"/>
        <v>-4.153983627858677E-19</v>
      </c>
      <c r="AC32" s="2">
        <f t="shared" si="5"/>
        <v>5.5845635302174237E-18</v>
      </c>
      <c r="AD32" s="2">
        <f t="shared" si="6"/>
        <v>3.7252902984619141E-9</v>
      </c>
      <c r="AF32" s="2">
        <v>28</v>
      </c>
      <c r="AG32" s="2">
        <f t="shared" si="13"/>
        <v>5559.1410510241985</v>
      </c>
      <c r="AH32" s="2">
        <v>-8.2775140981539153E-6</v>
      </c>
      <c r="AI32" s="2">
        <f t="shared" si="14"/>
        <v>5559.1411218047142</v>
      </c>
      <c r="AJ32" s="2">
        <v>4.0717914089327678E-6</v>
      </c>
      <c r="AK32" s="2">
        <f t="shared" si="9"/>
        <v>5559.1410864144564</v>
      </c>
      <c r="AL32" s="2">
        <v>-2.1028608898632228E-6</v>
      </c>
      <c r="AM32" s="2">
        <f t="shared" si="10"/>
        <v>1.7406460662299315E-11</v>
      </c>
      <c r="AN32" s="2">
        <f t="shared" si="11"/>
        <v>-8.562410905525786E-12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28" t="s">
        <v>156</v>
      </c>
      <c r="G33" s="31"/>
      <c r="H33" s="31"/>
      <c r="J33" s="19" t="s">
        <v>78</v>
      </c>
      <c r="K33" s="6">
        <f>ROUND(SUM(K14:K17),2)</f>
        <v>1264.6400000000001</v>
      </c>
      <c r="L33" s="6" t="s">
        <v>7</v>
      </c>
      <c r="U33" s="2">
        <v>29</v>
      </c>
      <c r="V33" s="2">
        <f t="shared" si="7"/>
        <v>5.6512586772441864E-2</v>
      </c>
      <c r="W33" s="2">
        <f t="shared" si="0"/>
        <v>2.5838635397956722E-10</v>
      </c>
      <c r="X33" s="2">
        <f t="shared" si="8"/>
        <v>5.6512588635087013E-2</v>
      </c>
      <c r="Y33" s="2">
        <f t="shared" si="1"/>
        <v>-1.6076637035511432E-9</v>
      </c>
      <c r="Z33" s="2">
        <f t="shared" si="3"/>
        <v>5.6512587703764439E-2</v>
      </c>
      <c r="AA33" s="2">
        <f t="shared" si="2"/>
        <v>-6.7463867825523494E-10</v>
      </c>
      <c r="AB33" s="2">
        <f t="shared" si="4"/>
        <v>-1.7431742832796449E-19</v>
      </c>
      <c r="AC33" s="2">
        <f t="shared" si="5"/>
        <v>1.0845921160426591E-18</v>
      </c>
      <c r="AD33" s="2">
        <f t="shared" si="6"/>
        <v>1.862645149230957E-9</v>
      </c>
      <c r="AF33" s="2">
        <v>29</v>
      </c>
      <c r="AG33" s="2">
        <f t="shared" si="13"/>
        <v>5559.1410864144564</v>
      </c>
      <c r="AH33" s="2">
        <v>-2.1028608898632228E-6</v>
      </c>
      <c r="AI33" s="2">
        <f t="shared" si="14"/>
        <v>5559.1411218047142</v>
      </c>
      <c r="AJ33" s="2">
        <v>4.0717914089327678E-6</v>
      </c>
      <c r="AK33" s="2">
        <f t="shared" si="9"/>
        <v>5559.1411041095853</v>
      </c>
      <c r="AL33" s="2">
        <v>9.8446253105066717E-7</v>
      </c>
      <c r="AM33" s="2">
        <f t="shared" si="10"/>
        <v>-2.0701877540822066E-12</v>
      </c>
      <c r="AN33" s="2">
        <f t="shared" si="11"/>
        <v>4.0085260763483147E-12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275.17</v>
      </c>
      <c r="L34" s="6" t="s">
        <v>7</v>
      </c>
      <c r="U34" s="2">
        <v>30</v>
      </c>
      <c r="V34" s="2">
        <f t="shared" si="7"/>
        <v>5.6512586772441864E-2</v>
      </c>
      <c r="W34" s="2">
        <f t="shared" si="0"/>
        <v>2.5838635397956722E-10</v>
      </c>
      <c r="X34" s="2">
        <f t="shared" si="8"/>
        <v>5.6512587703764439E-2</v>
      </c>
      <c r="Y34" s="2">
        <f t="shared" si="1"/>
        <v>-6.7463867825523494E-10</v>
      </c>
      <c r="Z34" s="2">
        <f t="shared" si="3"/>
        <v>5.6512587238103151E-2</v>
      </c>
      <c r="AA34" s="2">
        <f t="shared" si="2"/>
        <v>-2.0812616213783386E-10</v>
      </c>
      <c r="AB34" s="2">
        <f t="shared" si="4"/>
        <v>-5.377696020255514E-20</v>
      </c>
      <c r="AC34" s="2">
        <f t="shared" si="5"/>
        <v>1.4040995893500296E-19</v>
      </c>
      <c r="AD34" s="2">
        <f>X34-V34</f>
        <v>9.3132257461547852E-10</v>
      </c>
      <c r="AF34" s="2">
        <v>30</v>
      </c>
      <c r="AG34" s="2">
        <f t="shared" si="13"/>
        <v>5559.1410864144564</v>
      </c>
      <c r="AH34" s="2">
        <v>-2.1028608898632228E-6</v>
      </c>
      <c r="AI34" s="2">
        <f t="shared" si="14"/>
        <v>5559.1411041095853</v>
      </c>
      <c r="AJ34" s="2">
        <v>9.8446253105066717E-7</v>
      </c>
      <c r="AK34" s="2">
        <f t="shared" si="9"/>
        <v>5559.1410952620208</v>
      </c>
      <c r="AL34" s="2">
        <v>-5.5919826991157606E-7</v>
      </c>
      <c r="AM34" s="2">
        <f t="shared" si="10"/>
        <v>1.1759161714762315E-12</v>
      </c>
      <c r="AN34" s="2">
        <f t="shared" si="11"/>
        <v>-5.5050974415630431E-13</v>
      </c>
      <c r="AO34" s="2">
        <f t="shared" si="12"/>
        <v>1.7695128917694092E-5</v>
      </c>
    </row>
    <row r="35" spans="2:41" x14ac:dyDescent="0.2">
      <c r="B35" s="32" t="s">
        <v>2</v>
      </c>
      <c r="C35" s="32"/>
      <c r="D35" s="32"/>
      <c r="F35" s="26" t="s">
        <v>132</v>
      </c>
      <c r="G35" s="25">
        <f xml:space="preserve"> G22</f>
        <v>718.56605209893314</v>
      </c>
      <c r="H35" s="25" t="s">
        <v>101</v>
      </c>
      <c r="J35" s="15" t="s">
        <v>70</v>
      </c>
      <c r="K35" s="6">
        <f>ROUND(SUM(K23:K26),2)</f>
        <v>288.75</v>
      </c>
      <c r="L35" s="6" t="s">
        <v>7</v>
      </c>
      <c r="AF35" s="2">
        <v>31</v>
      </c>
      <c r="AG35" s="2">
        <f t="shared" si="13"/>
        <v>5559.1410952620208</v>
      </c>
      <c r="AH35" s="2">
        <v>-5.5919826991157606E-7</v>
      </c>
      <c r="AI35" s="2">
        <f t="shared" si="14"/>
        <v>5559.1411041095853</v>
      </c>
      <c r="AJ35" s="2">
        <v>9.8446253105066717E-7</v>
      </c>
      <c r="AK35" s="2">
        <f t="shared" si="9"/>
        <v>5559.1410996858031</v>
      </c>
      <c r="AL35" s="2">
        <v>2.1263349481159821E-7</v>
      </c>
      <c r="AM35" s="2">
        <f t="shared" si="10"/>
        <v>-1.189042824238978E-13</v>
      </c>
      <c r="AN35" s="2">
        <f t="shared" si="11"/>
        <v>2.0932970848837488E-13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5559.13</v>
      </c>
      <c r="L36" s="6" t="s">
        <v>7</v>
      </c>
      <c r="AF36" s="2">
        <v>32</v>
      </c>
      <c r="AG36" s="2">
        <f t="shared" si="13"/>
        <v>5559.1410952620208</v>
      </c>
      <c r="AH36" s="2">
        <v>-5.5919826991157606E-7</v>
      </c>
      <c r="AI36" s="2">
        <f t="shared" si="14"/>
        <v>5559.1410996858031</v>
      </c>
      <c r="AJ36" s="2">
        <v>2.1263349481159821E-7</v>
      </c>
      <c r="AK36" s="2">
        <f t="shared" si="9"/>
        <v>5559.1410974739119</v>
      </c>
      <c r="AL36" s="2">
        <v>-1.7328238754998893E-7</v>
      </c>
      <c r="AM36" s="2">
        <f t="shared" si="10"/>
        <v>9.6899211324101035E-14</v>
      </c>
      <c r="AN36" s="2">
        <f t="shared" si="11"/>
        <v>-3.6845639654051921E-14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5559.1410974739119</v>
      </c>
      <c r="AH37" s="2">
        <v>-1.7328238754998893E-7</v>
      </c>
      <c r="AI37" s="2">
        <f t="shared" si="14"/>
        <v>5559.1410996858031</v>
      </c>
      <c r="AJ37" s="2">
        <v>2.1263349481159821E-7</v>
      </c>
      <c r="AK37" s="2">
        <f t="shared" si="9"/>
        <v>5559.1410985798575</v>
      </c>
      <c r="AL37" s="2">
        <v>1.9676008378155529E-8</v>
      </c>
      <c r="AM37" s="2">
        <f t="shared" si="10"/>
        <v>-3.4095057092203755E-15</v>
      </c>
      <c r="AN37" s="2">
        <f t="shared" si="11"/>
        <v>4.1837784253894967E-15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32" t="s">
        <v>56</v>
      </c>
      <c r="K38" s="32"/>
      <c r="L38" s="32"/>
      <c r="AF38" s="2">
        <v>34</v>
      </c>
      <c r="AG38" s="2">
        <f t="shared" si="13"/>
        <v>5559.1410974739119</v>
      </c>
      <c r="AH38" s="2">
        <v>-1.7328238754998893E-7</v>
      </c>
      <c r="AI38" s="2">
        <f t="shared" si="14"/>
        <v>5559.1410985798575</v>
      </c>
      <c r="AJ38" s="2">
        <v>1.9676008378155529E-8</v>
      </c>
      <c r="AK38" s="2">
        <f t="shared" si="9"/>
        <v>5559.1410980268847</v>
      </c>
      <c r="AL38" s="2">
        <v>-7.6802280091214925E-8</v>
      </c>
      <c r="AM38" s="2">
        <f t="shared" si="10"/>
        <v>1.3308482463488703E-14</v>
      </c>
      <c r="AN38" s="2">
        <f t="shared" si="11"/>
        <v>-1.5111623065361925E-15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10.79</v>
      </c>
      <c r="L39" s="6" t="s">
        <v>58</v>
      </c>
      <c r="AF39" s="2">
        <v>35</v>
      </c>
      <c r="AG39" s="2">
        <f t="shared" si="13"/>
        <v>5559.1410980268847</v>
      </c>
      <c r="AH39" s="2">
        <v>-7.6802280091214925E-8</v>
      </c>
      <c r="AI39" s="2">
        <f t="shared" si="14"/>
        <v>5559.1410985798575</v>
      </c>
      <c r="AJ39" s="2">
        <v>1.9676008378155529E-8</v>
      </c>
      <c r="AK39" s="2">
        <f t="shared" si="9"/>
        <v>5559.1410983033711</v>
      </c>
      <c r="AL39" s="2">
        <v>-2.8563590603880584E-8</v>
      </c>
      <c r="AM39" s="2">
        <f t="shared" si="10"/>
        <v>2.1937488859700315E-15</v>
      </c>
      <c r="AN39" s="2">
        <f t="shared" si="11"/>
        <v>-5.6201744803215894E-16</v>
      </c>
      <c r="AO39" s="2">
        <f t="shared" si="12"/>
        <v>5.5297277867794037E-7</v>
      </c>
    </row>
    <row r="40" spans="2:41" x14ac:dyDescent="0.2">
      <c r="B40" s="32" t="s">
        <v>144</v>
      </c>
      <c r="C40" s="33"/>
      <c r="D40" s="33"/>
      <c r="J40" s="11" t="s">
        <v>52</v>
      </c>
      <c r="K40" s="6">
        <f>ROUND(K13/$C$5 * 100, 2)</f>
        <v>56.31</v>
      </c>
      <c r="L40" s="6" t="s">
        <v>58</v>
      </c>
      <c r="AF40" s="2">
        <v>36</v>
      </c>
      <c r="AG40" s="2">
        <f t="shared" si="13"/>
        <v>5559.1410983033711</v>
      </c>
      <c r="AH40" s="2">
        <v>-2.8563590603880584E-8</v>
      </c>
      <c r="AI40" s="2">
        <f t="shared" si="14"/>
        <v>5559.1410985798575</v>
      </c>
      <c r="AJ40" s="2">
        <v>1.9676008378155529E-8</v>
      </c>
      <c r="AK40" s="2">
        <f t="shared" si="9"/>
        <v>5559.1410984416143</v>
      </c>
      <c r="AL40" s="2">
        <v>-4.4437911128625274E-9</v>
      </c>
      <c r="AM40" s="2">
        <f t="shared" si="10"/>
        <v>1.2693063007696813E-16</v>
      </c>
      <c r="AN40" s="2">
        <f t="shared" si="11"/>
        <v>-8.7436071167456173E-17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22.75</v>
      </c>
      <c r="L41" s="6" t="s">
        <v>58</v>
      </c>
      <c r="AF41" s="2">
        <v>37</v>
      </c>
      <c r="AG41" s="2">
        <f t="shared" si="13"/>
        <v>5559.1410984416143</v>
      </c>
      <c r="AH41" s="2">
        <v>-4.4437911128625274E-9</v>
      </c>
      <c r="AI41" s="2">
        <f t="shared" si="14"/>
        <v>5559.1410985798575</v>
      </c>
      <c r="AJ41" s="2">
        <v>1.9676008378155529E-8</v>
      </c>
      <c r="AK41" s="2">
        <f t="shared" si="9"/>
        <v>5559.1410985107359</v>
      </c>
      <c r="AL41" s="2">
        <v>7.6179276220500469E-9</v>
      </c>
      <c r="AM41" s="2">
        <f t="shared" si="10"/>
        <v>-3.3852479065295965E-17</v>
      </c>
      <c r="AN41" s="2">
        <f t="shared" si="11"/>
        <v>1.4989040771563915E-16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4.95</v>
      </c>
      <c r="L42" s="6" t="s">
        <v>58</v>
      </c>
      <c r="AF42" s="2">
        <v>38</v>
      </c>
      <c r="AG42" s="2">
        <f t="shared" si="13"/>
        <v>5559.1410984416143</v>
      </c>
      <c r="AH42" s="2">
        <v>-4.4437911128625274E-9</v>
      </c>
      <c r="AI42" s="2">
        <f t="shared" si="14"/>
        <v>5559.1410985107359</v>
      </c>
      <c r="AJ42" s="2">
        <v>7.6179276220500469E-9</v>
      </c>
      <c r="AK42" s="2">
        <f t="shared" si="9"/>
        <v>5559.1410984761751</v>
      </c>
      <c r="AL42" s="2">
        <v>1.5834302757866681E-9</v>
      </c>
      <c r="AM42" s="2">
        <f t="shared" si="10"/>
        <v>-7.0364333873782563E-18</v>
      </c>
      <c r="AN42" s="2">
        <f t="shared" si="11"/>
        <v>1.2062457235505582E-17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5.19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5559.1410984416143</v>
      </c>
      <c r="AH43" s="2">
        <v>-4.4437911128625274E-9</v>
      </c>
      <c r="AI43" s="2">
        <f t="shared" si="14"/>
        <v>5559.1410984761751</v>
      </c>
      <c r="AJ43" s="2">
        <v>1.5834302757866681E-9</v>
      </c>
      <c r="AK43" s="2">
        <f t="shared" si="9"/>
        <v>5559.1410984588947</v>
      </c>
      <c r="AL43" s="2">
        <v>-1.4269971870817244E-9</v>
      </c>
      <c r="AM43" s="2">
        <f t="shared" si="10"/>
        <v>6.3412774180335923E-18</v>
      </c>
      <c r="AN43" s="2">
        <f t="shared" si="11"/>
        <v>-2.2595505494876144E-18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5559.1410984588947</v>
      </c>
      <c r="AH44" s="2">
        <v>-1.4269971870817244E-9</v>
      </c>
      <c r="AI44" s="2">
        <f t="shared" si="14"/>
        <v>5559.1410984761751</v>
      </c>
      <c r="AJ44" s="2">
        <v>1.5834302757866681E-9</v>
      </c>
      <c r="AK44" s="5">
        <f>(AG44+AI44)/2</f>
        <v>5559.1410984675349</v>
      </c>
      <c r="AL44" s="2">
        <v>8.1854523159563541E-11</v>
      </c>
      <c r="AM44" s="2">
        <f t="shared" si="10"/>
        <v>-1.1680617429861304E-19</v>
      </c>
      <c r="AN44" s="2">
        <f t="shared" si="11"/>
        <v>1.2961093018093391E-19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32" t="s">
        <v>145</v>
      </c>
      <c r="C46" s="33"/>
      <c r="D46" s="33"/>
      <c r="J46" s="32" t="s">
        <v>56</v>
      </c>
      <c r="K46" s="32"/>
      <c r="L46" s="32"/>
      <c r="N46" s="6" t="s">
        <v>153</v>
      </c>
      <c r="O46" s="6">
        <f>G12*1000/O45</f>
        <v>7274.8441370741248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10.79</v>
      </c>
      <c r="L47" s="6" t="s">
        <v>58</v>
      </c>
      <c r="N47" s="6" t="s">
        <v>154</v>
      </c>
      <c r="O47" s="6">
        <f>0.377*O46^0.6945</f>
        <v>181.29169314790835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56.31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32.89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32" t="s">
        <v>71</v>
      </c>
      <c r="C52" s="32"/>
      <c r="D52" s="32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52:D52"/>
    <mergeCell ref="J7:L7"/>
    <mergeCell ref="J38:L38"/>
    <mergeCell ref="B40:D40"/>
    <mergeCell ref="B46:D46"/>
    <mergeCell ref="J46:L46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B1:D1"/>
    <mergeCell ref="B3:D3"/>
    <mergeCell ref="F3:H3"/>
    <mergeCell ref="J3:L3"/>
    <mergeCell ref="N3:P3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multirotor_ref</vt:lpstr>
      <vt:lpstr>multirotor_opt_weight</vt:lpstr>
      <vt:lpstr>multirotor_opt_energy</vt:lpstr>
      <vt:lpstr>multirotor_opt_time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2025-06-30T10:21:17Z</dcterms:modified>
</cp:coreProperties>
</file>