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6_multipoint_optimization_with_varying_batteries/weighted_sum_of_energy/multirotor/"/>
    </mc:Choice>
  </mc:AlternateContent>
  <xr:revisionPtr revIDLastSave="0" documentId="13_ncr:1_{CC1D2ED0-DFDE-B049-98E1-212E25B734AC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obj_val" sheetId="26" r:id="rId1"/>
    <sheet name="uniform_250" sheetId="22" r:id="rId2"/>
    <sheet name="uniform_400" sheetId="23" r:id="rId3"/>
    <sheet name="uniform_550" sheetId="24" r:id="rId4"/>
    <sheet name="uniform_700" sheetId="25" r:id="rId5"/>
    <sheet name="linear_250" sheetId="13" r:id="rId6"/>
    <sheet name="linear_400" sheetId="19" r:id="rId7"/>
    <sheet name="linear_550" sheetId="20" r:id="rId8"/>
    <sheet name="linear_700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5" i="25" l="1"/>
  <c r="AN44" i="25"/>
  <c r="AM44" i="25"/>
  <c r="O44" i="25"/>
  <c r="AN43" i="25"/>
  <c r="AM43" i="25"/>
  <c r="AN42" i="25"/>
  <c r="AM42" i="25"/>
  <c r="AN41" i="25"/>
  <c r="AM41" i="25"/>
  <c r="AN40" i="25"/>
  <c r="AM40" i="25"/>
  <c r="AN39" i="25"/>
  <c r="AM39" i="25"/>
  <c r="AN38" i="25"/>
  <c r="AM38" i="25"/>
  <c r="AN37" i="25"/>
  <c r="AM37" i="25"/>
  <c r="AN36" i="25"/>
  <c r="AM36" i="25"/>
  <c r="AN35" i="25"/>
  <c r="AM35" i="25"/>
  <c r="AN34" i="25"/>
  <c r="AM34" i="25"/>
  <c r="G34" i="25"/>
  <c r="AN33" i="25"/>
  <c r="AM33" i="25"/>
  <c r="C33" i="25"/>
  <c r="AN32" i="25"/>
  <c r="AM32" i="25"/>
  <c r="AN31" i="25"/>
  <c r="AM31" i="25"/>
  <c r="K31" i="25"/>
  <c r="C31" i="25"/>
  <c r="AN30" i="25"/>
  <c r="AM30" i="25"/>
  <c r="AN29" i="25"/>
  <c r="AM29" i="25"/>
  <c r="AN28" i="25"/>
  <c r="AM28" i="25"/>
  <c r="G28" i="25"/>
  <c r="AN27" i="25"/>
  <c r="AM27" i="25"/>
  <c r="G27" i="25"/>
  <c r="AN26" i="25"/>
  <c r="AM26" i="25"/>
  <c r="K26" i="25"/>
  <c r="G26" i="25"/>
  <c r="AN25" i="25"/>
  <c r="AM25" i="25"/>
  <c r="K25" i="25"/>
  <c r="G25" i="25"/>
  <c r="G31" i="25" s="1"/>
  <c r="G29" i="25" s="1"/>
  <c r="AN24" i="25"/>
  <c r="AM24" i="25"/>
  <c r="K24" i="25"/>
  <c r="AN23" i="25"/>
  <c r="AM23" i="25"/>
  <c r="K23" i="25"/>
  <c r="AN22" i="25"/>
  <c r="AM22" i="25"/>
  <c r="AN21" i="25"/>
  <c r="AM21" i="25"/>
  <c r="K21" i="25"/>
  <c r="AN20" i="25"/>
  <c r="AM20" i="25"/>
  <c r="K20" i="25"/>
  <c r="AN19" i="25"/>
  <c r="AM19" i="25"/>
  <c r="O19" i="25"/>
  <c r="G16" i="25" s="1"/>
  <c r="G17" i="25" s="1"/>
  <c r="K19" i="25"/>
  <c r="AN18" i="25"/>
  <c r="AM18" i="25"/>
  <c r="K18" i="25"/>
  <c r="AN17" i="25"/>
  <c r="AM17" i="25"/>
  <c r="AN16" i="25"/>
  <c r="AM16" i="25"/>
  <c r="AN15" i="25"/>
  <c r="AM15" i="25"/>
  <c r="AN14" i="25"/>
  <c r="AM14" i="25"/>
  <c r="C14" i="25"/>
  <c r="G15" i="25" s="1"/>
  <c r="AN13" i="25"/>
  <c r="AM13" i="25"/>
  <c r="C13" i="25"/>
  <c r="K39" i="25" s="1"/>
  <c r="AN12" i="25"/>
  <c r="AM12" i="25"/>
  <c r="K12" i="25"/>
  <c r="AN11" i="25"/>
  <c r="AM11" i="25"/>
  <c r="AN10" i="25"/>
  <c r="AM10" i="25"/>
  <c r="C10" i="25"/>
  <c r="AN9" i="25"/>
  <c r="AM9" i="25"/>
  <c r="G9" i="25"/>
  <c r="AN8" i="25"/>
  <c r="AM8" i="25"/>
  <c r="C8" i="25"/>
  <c r="AN7" i="25"/>
  <c r="AM7" i="25"/>
  <c r="G7" i="25"/>
  <c r="G8" i="25" s="1"/>
  <c r="AN6" i="25"/>
  <c r="AM6" i="25"/>
  <c r="AO5" i="25"/>
  <c r="AN5" i="25"/>
  <c r="AI6" i="25" s="1"/>
  <c r="AM5" i="25"/>
  <c r="AG6" i="25" s="1"/>
  <c r="AK5" i="25"/>
  <c r="O5" i="25"/>
  <c r="O7" i="25" s="1"/>
  <c r="O10" i="25" s="1"/>
  <c r="G5" i="25"/>
  <c r="G6" i="25" s="1"/>
  <c r="K9" i="25" s="1"/>
  <c r="AD4" i="25"/>
  <c r="Z4" i="25"/>
  <c r="O4" i="25"/>
  <c r="G4" i="25"/>
  <c r="G12" i="25" s="1"/>
  <c r="O45" i="24"/>
  <c r="AN44" i="24"/>
  <c r="AM44" i="24"/>
  <c r="O44" i="24"/>
  <c r="AN43" i="24"/>
  <c r="AM43" i="24"/>
  <c r="AN42" i="24"/>
  <c r="AM42" i="24"/>
  <c r="AN41" i="24"/>
  <c r="AM41" i="24"/>
  <c r="AN40" i="24"/>
  <c r="AM40" i="24"/>
  <c r="AN39" i="24"/>
  <c r="AM39" i="24"/>
  <c r="AN38" i="24"/>
  <c r="AM38" i="24"/>
  <c r="AN37" i="24"/>
  <c r="AM37" i="24"/>
  <c r="AN36" i="24"/>
  <c r="AM36" i="24"/>
  <c r="AN35" i="24"/>
  <c r="AM35" i="24"/>
  <c r="AN34" i="24"/>
  <c r="AM34" i="24"/>
  <c r="G34" i="24"/>
  <c r="AN33" i="24"/>
  <c r="AM33" i="24"/>
  <c r="C33" i="24"/>
  <c r="AN32" i="24"/>
  <c r="AM32" i="24"/>
  <c r="AN31" i="24"/>
  <c r="AM31" i="24"/>
  <c r="K31" i="24"/>
  <c r="G31" i="24"/>
  <c r="G29" i="24" s="1"/>
  <c r="C31" i="24"/>
  <c r="AN30" i="24"/>
  <c r="AM30" i="24"/>
  <c r="AN29" i="24"/>
  <c r="AM29" i="24"/>
  <c r="AN28" i="24"/>
  <c r="AM28" i="24"/>
  <c r="G28" i="24"/>
  <c r="AN27" i="24"/>
  <c r="AM27" i="24"/>
  <c r="AN26" i="24"/>
  <c r="AM26" i="24"/>
  <c r="K26" i="24"/>
  <c r="G26" i="24"/>
  <c r="AN25" i="24"/>
  <c r="AM25" i="24"/>
  <c r="K25" i="24"/>
  <c r="G25" i="24"/>
  <c r="G27" i="24" s="1"/>
  <c r="AN24" i="24"/>
  <c r="AM24" i="24"/>
  <c r="K24" i="24"/>
  <c r="AN23" i="24"/>
  <c r="AM23" i="24"/>
  <c r="K23" i="24"/>
  <c r="AN22" i="24"/>
  <c r="AM22" i="24"/>
  <c r="AN21" i="24"/>
  <c r="AM21" i="24"/>
  <c r="K21" i="24"/>
  <c r="AN20" i="24"/>
  <c r="AM20" i="24"/>
  <c r="K20" i="24"/>
  <c r="C20" i="24"/>
  <c r="AN19" i="24"/>
  <c r="AM19" i="24"/>
  <c r="O19" i="24"/>
  <c r="G16" i="24" s="1"/>
  <c r="G17" i="24" s="1"/>
  <c r="K19" i="24"/>
  <c r="AN18" i="24"/>
  <c r="AM18" i="24"/>
  <c r="K18" i="24"/>
  <c r="AN17" i="24"/>
  <c r="AM17" i="24"/>
  <c r="AN16" i="24"/>
  <c r="AM16" i="24"/>
  <c r="AN15" i="24"/>
  <c r="AM15" i="24"/>
  <c r="AN14" i="24"/>
  <c r="AM14" i="24"/>
  <c r="C14" i="24"/>
  <c r="AN13" i="24"/>
  <c r="AM13" i="24"/>
  <c r="C13" i="24"/>
  <c r="K39" i="24" s="1"/>
  <c r="AN12" i="24"/>
  <c r="AM12" i="24"/>
  <c r="K12" i="24"/>
  <c r="G12" i="24"/>
  <c r="AN11" i="24"/>
  <c r="AM11" i="24"/>
  <c r="AN10" i="24"/>
  <c r="AM10" i="24"/>
  <c r="C10" i="24"/>
  <c r="AN9" i="24"/>
  <c r="AM9" i="24"/>
  <c r="G9" i="24"/>
  <c r="AN8" i="24"/>
  <c r="AM8" i="24"/>
  <c r="C8" i="24"/>
  <c r="AN7" i="24"/>
  <c r="AM7" i="24"/>
  <c r="G7" i="24"/>
  <c r="G8" i="24" s="1"/>
  <c r="AN6" i="24"/>
  <c r="AM6" i="24"/>
  <c r="AO5" i="24"/>
  <c r="AN5" i="24"/>
  <c r="AI6" i="24" s="1"/>
  <c r="AM5" i="24"/>
  <c r="AG6" i="24" s="1"/>
  <c r="AK5" i="24"/>
  <c r="O5" i="24"/>
  <c r="O7" i="24" s="1"/>
  <c r="O10" i="24" s="1"/>
  <c r="G5" i="24"/>
  <c r="G6" i="24" s="1"/>
  <c r="AD4" i="24"/>
  <c r="Z4" i="24"/>
  <c r="O4" i="24"/>
  <c r="G4" i="24"/>
  <c r="O45" i="23"/>
  <c r="AN44" i="23"/>
  <c r="AM44" i="23"/>
  <c r="O44" i="23"/>
  <c r="AN43" i="23"/>
  <c r="AM43" i="23"/>
  <c r="AN42" i="23"/>
  <c r="AM42" i="23"/>
  <c r="AN41" i="23"/>
  <c r="AM41" i="23"/>
  <c r="AN40" i="23"/>
  <c r="AM40" i="23"/>
  <c r="AN39" i="23"/>
  <c r="AM39" i="23"/>
  <c r="AN38" i="23"/>
  <c r="AM38" i="23"/>
  <c r="AN37" i="23"/>
  <c r="AM37" i="23"/>
  <c r="AN36" i="23"/>
  <c r="AM36" i="23"/>
  <c r="AN35" i="23"/>
  <c r="AM35" i="23"/>
  <c r="AN34" i="23"/>
  <c r="AM34" i="23"/>
  <c r="G34" i="23"/>
  <c r="AN33" i="23"/>
  <c r="AM33" i="23"/>
  <c r="C33" i="23"/>
  <c r="AN32" i="23"/>
  <c r="AM32" i="23"/>
  <c r="AN31" i="23"/>
  <c r="AM31" i="23"/>
  <c r="K31" i="23"/>
  <c r="C31" i="23"/>
  <c r="AN30" i="23"/>
  <c r="AM30" i="23"/>
  <c r="AN29" i="23"/>
  <c r="AM29" i="23"/>
  <c r="AN28" i="23"/>
  <c r="AM28" i="23"/>
  <c r="G28" i="23"/>
  <c r="AN27" i="23"/>
  <c r="AM27" i="23"/>
  <c r="AN26" i="23"/>
  <c r="AM26" i="23"/>
  <c r="K26" i="23"/>
  <c r="G26" i="23"/>
  <c r="AN25" i="23"/>
  <c r="AM25" i="23"/>
  <c r="K25" i="23"/>
  <c r="G25" i="23"/>
  <c r="G27" i="23" s="1"/>
  <c r="AN24" i="23"/>
  <c r="AM24" i="23"/>
  <c r="K24" i="23"/>
  <c r="AN23" i="23"/>
  <c r="AM23" i="23"/>
  <c r="K23" i="23"/>
  <c r="AN22" i="23"/>
  <c r="AM22" i="23"/>
  <c r="AN21" i="23"/>
  <c r="AM21" i="23"/>
  <c r="K21" i="23"/>
  <c r="AN20" i="23"/>
  <c r="AM20" i="23"/>
  <c r="K20" i="23"/>
  <c r="AN19" i="23"/>
  <c r="AM19" i="23"/>
  <c r="O19" i="23"/>
  <c r="G16" i="23" s="1"/>
  <c r="G17" i="23" s="1"/>
  <c r="K19" i="23"/>
  <c r="AN18" i="23"/>
  <c r="AM18" i="23"/>
  <c r="K18" i="23"/>
  <c r="AN17" i="23"/>
  <c r="AM17" i="23"/>
  <c r="AN16" i="23"/>
  <c r="AM16" i="23"/>
  <c r="AN15" i="23"/>
  <c r="AM15" i="23"/>
  <c r="AN14" i="23"/>
  <c r="AM14" i="23"/>
  <c r="C14" i="23"/>
  <c r="G15" i="23" s="1"/>
  <c r="AN13" i="23"/>
  <c r="AM13" i="23"/>
  <c r="C13" i="23"/>
  <c r="K39" i="23" s="1"/>
  <c r="AN12" i="23"/>
  <c r="AM12" i="23"/>
  <c r="K12" i="23"/>
  <c r="AN11" i="23"/>
  <c r="AM11" i="23"/>
  <c r="AN10" i="23"/>
  <c r="AM10" i="23"/>
  <c r="C10" i="23"/>
  <c r="C20" i="23" s="1"/>
  <c r="AN9" i="23"/>
  <c r="AM9" i="23"/>
  <c r="G9" i="23"/>
  <c r="AN8" i="23"/>
  <c r="AM8" i="23"/>
  <c r="C8" i="23"/>
  <c r="AN7" i="23"/>
  <c r="AM7" i="23"/>
  <c r="G7" i="23"/>
  <c r="G8" i="23" s="1"/>
  <c r="AN6" i="23"/>
  <c r="AM6" i="23"/>
  <c r="AO5" i="23"/>
  <c r="AN5" i="23"/>
  <c r="AI6" i="23" s="1"/>
  <c r="AM5" i="23"/>
  <c r="AG6" i="23" s="1"/>
  <c r="AK5" i="23"/>
  <c r="O5" i="23"/>
  <c r="O7" i="23" s="1"/>
  <c r="O10" i="23" s="1"/>
  <c r="G5" i="23"/>
  <c r="G6" i="23" s="1"/>
  <c r="AD4" i="23"/>
  <c r="Z4" i="23"/>
  <c r="O4" i="23"/>
  <c r="G4" i="23"/>
  <c r="G12" i="23" s="1"/>
  <c r="O45" i="22"/>
  <c r="AN44" i="22"/>
  <c r="AM44" i="22"/>
  <c r="O44" i="22"/>
  <c r="AN43" i="22"/>
  <c r="AM43" i="22"/>
  <c r="AN42" i="22"/>
  <c r="AM42" i="22"/>
  <c r="AN41" i="22"/>
  <c r="AM41" i="22"/>
  <c r="AN40" i="22"/>
  <c r="AM40" i="22"/>
  <c r="AN39" i="22"/>
  <c r="AM39" i="22"/>
  <c r="AN38" i="22"/>
  <c r="AM38" i="22"/>
  <c r="AN37" i="22"/>
  <c r="AM37" i="22"/>
  <c r="AN36" i="22"/>
  <c r="AM36" i="22"/>
  <c r="AN35" i="22"/>
  <c r="AM35" i="22"/>
  <c r="AN34" i="22"/>
  <c r="AM34" i="22"/>
  <c r="G34" i="22"/>
  <c r="AN33" i="22"/>
  <c r="AM33" i="22"/>
  <c r="C33" i="22"/>
  <c r="AN32" i="22"/>
  <c r="AM32" i="22"/>
  <c r="AN31" i="22"/>
  <c r="AM31" i="22"/>
  <c r="K31" i="22"/>
  <c r="C31" i="22"/>
  <c r="AN30" i="22"/>
  <c r="AM30" i="22"/>
  <c r="AN29" i="22"/>
  <c r="AM29" i="22"/>
  <c r="AN28" i="22"/>
  <c r="AM28" i="22"/>
  <c r="G28" i="22"/>
  <c r="AN27" i="22"/>
  <c r="AM27" i="22"/>
  <c r="AN26" i="22"/>
  <c r="AM26" i="22"/>
  <c r="K26" i="22"/>
  <c r="G26" i="22"/>
  <c r="AN25" i="22"/>
  <c r="AM25" i="22"/>
  <c r="K25" i="22"/>
  <c r="G25" i="22"/>
  <c r="G27" i="22" s="1"/>
  <c r="AN24" i="22"/>
  <c r="AM24" i="22"/>
  <c r="K24" i="22"/>
  <c r="AN23" i="22"/>
  <c r="AM23" i="22"/>
  <c r="K23" i="22"/>
  <c r="AN22" i="22"/>
  <c r="AM22" i="22"/>
  <c r="AN21" i="22"/>
  <c r="AM21" i="22"/>
  <c r="K21" i="22"/>
  <c r="AN20" i="22"/>
  <c r="AM20" i="22"/>
  <c r="K20" i="22"/>
  <c r="AN19" i="22"/>
  <c r="AM19" i="22"/>
  <c r="O19" i="22"/>
  <c r="G16" i="22" s="1"/>
  <c r="G17" i="22" s="1"/>
  <c r="K19" i="22"/>
  <c r="AN18" i="22"/>
  <c r="AM18" i="22"/>
  <c r="K18" i="22"/>
  <c r="AN17" i="22"/>
  <c r="AM17" i="22"/>
  <c r="AN16" i="22"/>
  <c r="AM16" i="22"/>
  <c r="AN15" i="22"/>
  <c r="AM15" i="22"/>
  <c r="AN14" i="22"/>
  <c r="AM14" i="22"/>
  <c r="C14" i="22"/>
  <c r="G15" i="22" s="1"/>
  <c r="AN13" i="22"/>
  <c r="AM13" i="22"/>
  <c r="C13" i="22"/>
  <c r="K39" i="22" s="1"/>
  <c r="AN12" i="22"/>
  <c r="AM12" i="22"/>
  <c r="K12" i="22"/>
  <c r="AN11" i="22"/>
  <c r="AM11" i="22"/>
  <c r="AN10" i="22"/>
  <c r="AM10" i="22"/>
  <c r="C10" i="22"/>
  <c r="AN9" i="22"/>
  <c r="AM9" i="22"/>
  <c r="G9" i="22"/>
  <c r="AN8" i="22"/>
  <c r="AM8" i="22"/>
  <c r="C8" i="22"/>
  <c r="AN7" i="22"/>
  <c r="AM7" i="22"/>
  <c r="G7" i="22"/>
  <c r="G8" i="22" s="1"/>
  <c r="AN6" i="22"/>
  <c r="AM6" i="22"/>
  <c r="AO5" i="22"/>
  <c r="AN5" i="22"/>
  <c r="AI6" i="22" s="1"/>
  <c r="AM5" i="22"/>
  <c r="AG6" i="22" s="1"/>
  <c r="AK5" i="22"/>
  <c r="O5" i="22"/>
  <c r="O7" i="22" s="1"/>
  <c r="O10" i="22" s="1"/>
  <c r="G5" i="22"/>
  <c r="G6" i="22" s="1"/>
  <c r="AD4" i="22"/>
  <c r="Z4" i="22"/>
  <c r="O4" i="22"/>
  <c r="G4" i="22"/>
  <c r="G12" i="22" s="1"/>
  <c r="O45" i="21"/>
  <c r="AN44" i="21"/>
  <c r="AM44" i="21"/>
  <c r="O44" i="21"/>
  <c r="AN43" i="21"/>
  <c r="AM43" i="21"/>
  <c r="AN42" i="21"/>
  <c r="AM42" i="21"/>
  <c r="AN41" i="21"/>
  <c r="AM41" i="2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G34" i="21"/>
  <c r="AN33" i="21"/>
  <c r="AM33" i="21"/>
  <c r="C33" i="21"/>
  <c r="AN32" i="21"/>
  <c r="AM32" i="21"/>
  <c r="AN31" i="21"/>
  <c r="AM31" i="21"/>
  <c r="K31" i="21"/>
  <c r="C31" i="21"/>
  <c r="K19" i="21" s="1"/>
  <c r="AN30" i="21"/>
  <c r="AM30" i="21"/>
  <c r="AN29" i="21"/>
  <c r="AM29" i="21"/>
  <c r="AN28" i="21"/>
  <c r="AM28" i="21"/>
  <c r="G28" i="21"/>
  <c r="AN27" i="21"/>
  <c r="AM27" i="21"/>
  <c r="AN26" i="21"/>
  <c r="AM26" i="21"/>
  <c r="K26" i="21"/>
  <c r="G26" i="21"/>
  <c r="AN25" i="21"/>
  <c r="AM25" i="21"/>
  <c r="K25" i="21"/>
  <c r="G25" i="21"/>
  <c r="G31" i="21" s="1"/>
  <c r="G29" i="21" s="1"/>
  <c r="AN24" i="21"/>
  <c r="AM24" i="21"/>
  <c r="K24" i="21"/>
  <c r="AN23" i="21"/>
  <c r="AM23" i="21"/>
  <c r="K23" i="21"/>
  <c r="AN22" i="21"/>
  <c r="AM22" i="21"/>
  <c r="AN21" i="21"/>
  <c r="AM21" i="21"/>
  <c r="K21" i="21"/>
  <c r="AN20" i="21"/>
  <c r="AM20" i="21"/>
  <c r="K20" i="21"/>
  <c r="AN19" i="21"/>
  <c r="AM19" i="21"/>
  <c r="O19" i="21"/>
  <c r="G16" i="21" s="1"/>
  <c r="G17" i="21" s="1"/>
  <c r="AN18" i="21"/>
  <c r="AM18" i="21"/>
  <c r="K18" i="21"/>
  <c r="AN17" i="21"/>
  <c r="AM17" i="21"/>
  <c r="AN16" i="21"/>
  <c r="AM16" i="21"/>
  <c r="AN15" i="21"/>
  <c r="AM15" i="21"/>
  <c r="AN14" i="21"/>
  <c r="AM14" i="21"/>
  <c r="C14" i="21"/>
  <c r="AN13" i="21"/>
  <c r="AM13" i="21"/>
  <c r="C13" i="21"/>
  <c r="K39" i="21" s="1"/>
  <c r="AN12" i="21"/>
  <c r="AM12" i="21"/>
  <c r="K12" i="21"/>
  <c r="G12" i="21"/>
  <c r="AN11" i="21"/>
  <c r="AM11" i="21"/>
  <c r="AN10" i="21"/>
  <c r="AM10" i="21"/>
  <c r="C10" i="21"/>
  <c r="C20" i="21" s="1"/>
  <c r="AN9" i="21"/>
  <c r="AM9" i="21"/>
  <c r="G9" i="21"/>
  <c r="AN8" i="21"/>
  <c r="AM8" i="21"/>
  <c r="C8" i="21"/>
  <c r="AN7" i="21"/>
  <c r="AM7" i="21"/>
  <c r="G7" i="21"/>
  <c r="G8" i="21" s="1"/>
  <c r="AN6" i="21"/>
  <c r="AM6" i="21"/>
  <c r="AO5" i="21"/>
  <c r="AN5" i="21"/>
  <c r="AM5" i="21"/>
  <c r="AG6" i="21" s="1"/>
  <c r="AK5" i="21"/>
  <c r="O5" i="21"/>
  <c r="O7" i="21" s="1"/>
  <c r="O10" i="21" s="1"/>
  <c r="G5" i="21"/>
  <c r="G6" i="21" s="1"/>
  <c r="AD4" i="21"/>
  <c r="Z4" i="21"/>
  <c r="G4" i="21"/>
  <c r="O45" i="20"/>
  <c r="AN44" i="20"/>
  <c r="AM44" i="20"/>
  <c r="O44" i="20"/>
  <c r="AN43" i="20"/>
  <c r="AM43" i="20"/>
  <c r="AN42" i="20"/>
  <c r="AM42" i="20"/>
  <c r="AN41" i="20"/>
  <c r="AM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G34" i="20"/>
  <c r="AN33" i="20"/>
  <c r="AM33" i="20"/>
  <c r="C33" i="20"/>
  <c r="AN32" i="20"/>
  <c r="AM32" i="20"/>
  <c r="AN31" i="20"/>
  <c r="AM31" i="20"/>
  <c r="K31" i="20"/>
  <c r="C31" i="20"/>
  <c r="AN30" i="20"/>
  <c r="AM30" i="20"/>
  <c r="AN29" i="20"/>
  <c r="AM29" i="20"/>
  <c r="AN28" i="20"/>
  <c r="AM28" i="20"/>
  <c r="G28" i="20"/>
  <c r="AN27" i="20"/>
  <c r="AM27" i="20"/>
  <c r="G27" i="20"/>
  <c r="AN26" i="20"/>
  <c r="AM26" i="20"/>
  <c r="K26" i="20"/>
  <c r="G26" i="20"/>
  <c r="AN25" i="20"/>
  <c r="AM25" i="20"/>
  <c r="K25" i="20"/>
  <c r="G25" i="20"/>
  <c r="G31" i="20" s="1"/>
  <c r="G29" i="20" s="1"/>
  <c r="AN24" i="20"/>
  <c r="AM24" i="20"/>
  <c r="K24" i="20"/>
  <c r="AN23" i="20"/>
  <c r="AM23" i="20"/>
  <c r="K23" i="20"/>
  <c r="AN22" i="20"/>
  <c r="AM22" i="20"/>
  <c r="AN21" i="20"/>
  <c r="AM21" i="20"/>
  <c r="K21" i="20"/>
  <c r="AN20" i="20"/>
  <c r="AM20" i="20"/>
  <c r="K20" i="20"/>
  <c r="AN19" i="20"/>
  <c r="AM19" i="20"/>
  <c r="O19" i="20"/>
  <c r="G16" i="20" s="1"/>
  <c r="G17" i="20" s="1"/>
  <c r="K19" i="20"/>
  <c r="AN18" i="20"/>
  <c r="AM18" i="20"/>
  <c r="K18" i="20"/>
  <c r="AN17" i="20"/>
  <c r="AM17" i="20"/>
  <c r="AN16" i="20"/>
  <c r="AM16" i="20"/>
  <c r="AN15" i="20"/>
  <c r="AM15" i="20"/>
  <c r="AN14" i="20"/>
  <c r="AM14" i="20"/>
  <c r="C14" i="20"/>
  <c r="G15" i="20" s="1"/>
  <c r="AN13" i="20"/>
  <c r="AM13" i="20"/>
  <c r="C13" i="20"/>
  <c r="K39" i="20" s="1"/>
  <c r="AN12" i="20"/>
  <c r="AM12" i="20"/>
  <c r="K12" i="20"/>
  <c r="AN11" i="20"/>
  <c r="AM11" i="20"/>
  <c r="AN10" i="20"/>
  <c r="AM10" i="20"/>
  <c r="C10" i="20"/>
  <c r="C20" i="20" s="1"/>
  <c r="AN9" i="20"/>
  <c r="AM9" i="20"/>
  <c r="G9" i="20"/>
  <c r="AN8" i="20"/>
  <c r="AM8" i="20"/>
  <c r="C8" i="20"/>
  <c r="AN7" i="20"/>
  <c r="AM7" i="20"/>
  <c r="G7" i="20"/>
  <c r="G8" i="20" s="1"/>
  <c r="AN6" i="20"/>
  <c r="AM6" i="20"/>
  <c r="AO5" i="20"/>
  <c r="AN5" i="20"/>
  <c r="AM5" i="20"/>
  <c r="AG6" i="20" s="1"/>
  <c r="AK5" i="20"/>
  <c r="O5" i="20"/>
  <c r="O7" i="20" s="1"/>
  <c r="O10" i="20" s="1"/>
  <c r="G5" i="20"/>
  <c r="AD4" i="20"/>
  <c r="Z4" i="20"/>
  <c r="O4" i="20"/>
  <c r="G4" i="20"/>
  <c r="G12" i="20" s="1"/>
  <c r="K22" i="20" s="1"/>
  <c r="O45" i="19"/>
  <c r="AN44" i="19"/>
  <c r="AM44" i="19"/>
  <c r="O44" i="19"/>
  <c r="AN43" i="19"/>
  <c r="AM43" i="19"/>
  <c r="AN42" i="19"/>
  <c r="AM42" i="19"/>
  <c r="AN41" i="19"/>
  <c r="AM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G34" i="19"/>
  <c r="AN33" i="19"/>
  <c r="AM33" i="19"/>
  <c r="C33" i="19"/>
  <c r="AN32" i="19"/>
  <c r="AM32" i="19"/>
  <c r="AN31" i="19"/>
  <c r="AM31" i="19"/>
  <c r="K31" i="19"/>
  <c r="C31" i="19"/>
  <c r="AN30" i="19"/>
  <c r="AM30" i="19"/>
  <c r="AN29" i="19"/>
  <c r="AM29" i="19"/>
  <c r="AN28" i="19"/>
  <c r="AM28" i="19"/>
  <c r="G28" i="19"/>
  <c r="AN27" i="19"/>
  <c r="AM27" i="19"/>
  <c r="AN26" i="19"/>
  <c r="AM26" i="19"/>
  <c r="K26" i="19"/>
  <c r="G26" i="19"/>
  <c r="AN25" i="19"/>
  <c r="AM25" i="19"/>
  <c r="K25" i="19"/>
  <c r="G25" i="19"/>
  <c r="G31" i="19" s="1"/>
  <c r="G29" i="19" s="1"/>
  <c r="AN24" i="19"/>
  <c r="AM24" i="19"/>
  <c r="K24" i="19"/>
  <c r="AN23" i="19"/>
  <c r="AM23" i="19"/>
  <c r="K23" i="19"/>
  <c r="AN22" i="19"/>
  <c r="AM22" i="19"/>
  <c r="AN21" i="19"/>
  <c r="AM21" i="19"/>
  <c r="K21" i="19"/>
  <c r="AN20" i="19"/>
  <c r="AM20" i="19"/>
  <c r="K20" i="19"/>
  <c r="AN19" i="19"/>
  <c r="AM19" i="19"/>
  <c r="O19" i="19"/>
  <c r="G16" i="19" s="1"/>
  <c r="G17" i="19" s="1"/>
  <c r="K19" i="19"/>
  <c r="AN18" i="19"/>
  <c r="AM18" i="19"/>
  <c r="K18" i="19"/>
  <c r="AN17" i="19"/>
  <c r="AM17" i="19"/>
  <c r="AN16" i="19"/>
  <c r="AM16" i="19"/>
  <c r="AN15" i="19"/>
  <c r="AM15" i="19"/>
  <c r="AN14" i="19"/>
  <c r="AM14" i="19"/>
  <c r="C14" i="19"/>
  <c r="AN13" i="19"/>
  <c r="AM13" i="19"/>
  <c r="C13" i="19"/>
  <c r="K39" i="19" s="1"/>
  <c r="AN12" i="19"/>
  <c r="AM12" i="19"/>
  <c r="K12" i="19"/>
  <c r="AN11" i="19"/>
  <c r="AM11" i="19"/>
  <c r="AN10" i="19"/>
  <c r="AM10" i="19"/>
  <c r="C10" i="19"/>
  <c r="C20" i="19" s="1"/>
  <c r="AN9" i="19"/>
  <c r="AM9" i="19"/>
  <c r="G9" i="19"/>
  <c r="AN8" i="19"/>
  <c r="AM8" i="19"/>
  <c r="C8" i="19"/>
  <c r="AN7" i="19"/>
  <c r="AM7" i="19"/>
  <c r="G7" i="19"/>
  <c r="G8" i="19" s="1"/>
  <c r="AN6" i="19"/>
  <c r="AM6" i="19"/>
  <c r="AO5" i="19"/>
  <c r="AN5" i="19"/>
  <c r="AI6" i="19" s="1"/>
  <c r="AM5" i="19"/>
  <c r="AG6" i="19" s="1"/>
  <c r="AK5" i="19"/>
  <c r="O5" i="19"/>
  <c r="O7" i="19" s="1"/>
  <c r="O10" i="19" s="1"/>
  <c r="G5" i="19"/>
  <c r="G6" i="19" s="1"/>
  <c r="AD4" i="19"/>
  <c r="Z4" i="19"/>
  <c r="O4" i="19"/>
  <c r="G4" i="19"/>
  <c r="G12" i="19" s="1"/>
  <c r="C8" i="13"/>
  <c r="O4" i="13" s="1"/>
  <c r="C14" i="13"/>
  <c r="O5" i="13"/>
  <c r="G34" i="13"/>
  <c r="AK6" i="22" l="1"/>
  <c r="K35" i="25"/>
  <c r="K43" i="25"/>
  <c r="G30" i="24"/>
  <c r="G30" i="25"/>
  <c r="AG7" i="25"/>
  <c r="AK6" i="25"/>
  <c r="AI7" i="25" s="1"/>
  <c r="K22" i="25"/>
  <c r="K42" i="25" s="1"/>
  <c r="O46" i="25"/>
  <c r="O47" i="25" s="1"/>
  <c r="G10" i="25"/>
  <c r="G11" i="25" s="1"/>
  <c r="AO6" i="25"/>
  <c r="O8" i="25"/>
  <c r="O9" i="25" s="1"/>
  <c r="O13" i="25" s="1"/>
  <c r="C20" i="25"/>
  <c r="K47" i="25"/>
  <c r="O8" i="24"/>
  <c r="O9" i="24" s="1"/>
  <c r="O13" i="24" s="1"/>
  <c r="K35" i="24"/>
  <c r="AO6" i="24"/>
  <c r="G15" i="24"/>
  <c r="K9" i="24" s="1"/>
  <c r="O14" i="24"/>
  <c r="O17" i="24" s="1"/>
  <c r="O20" i="24" s="1"/>
  <c r="O18" i="24"/>
  <c r="O46" i="24"/>
  <c r="O47" i="24" s="1"/>
  <c r="G10" i="24"/>
  <c r="G11" i="24" s="1"/>
  <c r="K22" i="24"/>
  <c r="K34" i="24" s="1"/>
  <c r="AK6" i="24"/>
  <c r="AG7" i="24" s="1"/>
  <c r="K43" i="24"/>
  <c r="K47" i="24"/>
  <c r="K35" i="23"/>
  <c r="K43" i="23"/>
  <c r="AK6" i="23"/>
  <c r="AG7" i="23" s="1"/>
  <c r="O8" i="22"/>
  <c r="O9" i="22" s="1"/>
  <c r="O13" i="22" s="1"/>
  <c r="O14" i="22" s="1"/>
  <c r="O17" i="22" s="1"/>
  <c r="O20" i="22" s="1"/>
  <c r="K9" i="23"/>
  <c r="AO6" i="23"/>
  <c r="K22" i="23"/>
  <c r="K42" i="23" s="1"/>
  <c r="G10" i="23"/>
  <c r="G11" i="23" s="1"/>
  <c r="O46" i="23"/>
  <c r="O47" i="23" s="1"/>
  <c r="O8" i="23"/>
  <c r="O9" i="23" s="1"/>
  <c r="O13" i="23" s="1"/>
  <c r="G31" i="23"/>
  <c r="G29" i="23" s="1"/>
  <c r="G30" i="23" s="1"/>
  <c r="K47" i="23"/>
  <c r="K35" i="22"/>
  <c r="K43" i="22"/>
  <c r="AG7" i="22"/>
  <c r="AO6" i="22"/>
  <c r="K22" i="22"/>
  <c r="K42" i="22" s="1"/>
  <c r="O46" i="22"/>
  <c r="O47" i="22" s="1"/>
  <c r="G10" i="22"/>
  <c r="G11" i="22" s="1"/>
  <c r="K9" i="22"/>
  <c r="AI7" i="22"/>
  <c r="C20" i="22"/>
  <c r="G31" i="22"/>
  <c r="G29" i="22" s="1"/>
  <c r="G30" i="22" s="1"/>
  <c r="K47" i="22"/>
  <c r="K35" i="21"/>
  <c r="K43" i="21"/>
  <c r="O46" i="21"/>
  <c r="O47" i="21" s="1"/>
  <c r="G10" i="21"/>
  <c r="G11" i="21" s="1"/>
  <c r="G30" i="21"/>
  <c r="O4" i="21"/>
  <c r="O8" i="21" s="1"/>
  <c r="O9" i="21" s="1"/>
  <c r="O13" i="21" s="1"/>
  <c r="G15" i="21"/>
  <c r="K9" i="21" s="1"/>
  <c r="K22" i="21"/>
  <c r="K34" i="21" s="1"/>
  <c r="AI6" i="21"/>
  <c r="AO6" i="21" s="1"/>
  <c r="AG7" i="21"/>
  <c r="G27" i="21"/>
  <c r="K47" i="21"/>
  <c r="O8" i="20"/>
  <c r="O9" i="20" s="1"/>
  <c r="O13" i="20" s="1"/>
  <c r="O14" i="20" s="1"/>
  <c r="O17" i="20" s="1"/>
  <c r="O20" i="20" s="1"/>
  <c r="O23" i="20" s="1"/>
  <c r="K35" i="20"/>
  <c r="K43" i="20"/>
  <c r="O8" i="19"/>
  <c r="O9" i="19" s="1"/>
  <c r="O13" i="19" s="1"/>
  <c r="O14" i="19" s="1"/>
  <c r="O17" i="19" s="1"/>
  <c r="O20" i="19" s="1"/>
  <c r="AI6" i="20"/>
  <c r="AO6" i="20" s="1"/>
  <c r="K42" i="20"/>
  <c r="K34" i="20"/>
  <c r="O46" i="20"/>
  <c r="O47" i="20" s="1"/>
  <c r="G10" i="20"/>
  <c r="G11" i="20" s="1"/>
  <c r="G30" i="20"/>
  <c r="G6" i="20"/>
  <c r="K9" i="20" s="1"/>
  <c r="K47" i="20"/>
  <c r="G30" i="19"/>
  <c r="K35" i="19"/>
  <c r="K43" i="19"/>
  <c r="AO6" i="19"/>
  <c r="G10" i="19"/>
  <c r="G11" i="19" s="1"/>
  <c r="O46" i="19"/>
  <c r="O47" i="19" s="1"/>
  <c r="K22" i="19"/>
  <c r="K42" i="19" s="1"/>
  <c r="K9" i="19"/>
  <c r="AK6" i="19"/>
  <c r="AG7" i="19" s="1"/>
  <c r="G15" i="19"/>
  <c r="G27" i="19"/>
  <c r="K47" i="19"/>
  <c r="O44" i="13"/>
  <c r="O45" i="13" s="1"/>
  <c r="G7" i="13"/>
  <c r="G8" i="13" s="1"/>
  <c r="AN44" i="13"/>
  <c r="AM44" i="13"/>
  <c r="AN43" i="13"/>
  <c r="AM43" i="13"/>
  <c r="AN42" i="13"/>
  <c r="AM42" i="13"/>
  <c r="AN41" i="13"/>
  <c r="AM41" i="13"/>
  <c r="AN40" i="13"/>
  <c r="AM40" i="13"/>
  <c r="AN39" i="13"/>
  <c r="AM39" i="13"/>
  <c r="AN38" i="13"/>
  <c r="AM38" i="13"/>
  <c r="AN37" i="13"/>
  <c r="AM37" i="13"/>
  <c r="AN36" i="13"/>
  <c r="AM36" i="13"/>
  <c r="AN35" i="13"/>
  <c r="AM35" i="13"/>
  <c r="AN34" i="13"/>
  <c r="AM34" i="13"/>
  <c r="AN33" i="13"/>
  <c r="AM33" i="13"/>
  <c r="AN32" i="13"/>
  <c r="AM32" i="13"/>
  <c r="AN31" i="13"/>
  <c r="AM31" i="13"/>
  <c r="C33" i="13"/>
  <c r="AN30" i="13"/>
  <c r="AM30" i="13"/>
  <c r="AN29" i="13"/>
  <c r="AM29" i="13"/>
  <c r="C31" i="13"/>
  <c r="AN28" i="13"/>
  <c r="AM28" i="13"/>
  <c r="AN27" i="13"/>
  <c r="AM27" i="13"/>
  <c r="AN26" i="13"/>
  <c r="AM26" i="13"/>
  <c r="AN25" i="13"/>
  <c r="AM25" i="13"/>
  <c r="G26" i="13"/>
  <c r="AN24" i="13"/>
  <c r="AM24" i="13"/>
  <c r="G25" i="13"/>
  <c r="AN23" i="13"/>
  <c r="AM23" i="13"/>
  <c r="AN22" i="13"/>
  <c r="AM22" i="13"/>
  <c r="AN21" i="13"/>
  <c r="AM21" i="13"/>
  <c r="K21" i="13"/>
  <c r="AN20" i="13"/>
  <c r="AM20" i="13"/>
  <c r="O19" i="13"/>
  <c r="G16" i="13" s="1"/>
  <c r="G17" i="13" s="1"/>
  <c r="K20" i="13"/>
  <c r="AN19" i="13"/>
  <c r="AM19" i="13"/>
  <c r="AN18" i="13"/>
  <c r="AM18" i="13"/>
  <c r="AN17" i="13"/>
  <c r="AM17" i="13"/>
  <c r="AN16" i="13"/>
  <c r="AM16" i="13"/>
  <c r="AN15" i="13"/>
  <c r="AM15" i="13"/>
  <c r="AN14" i="13"/>
  <c r="AM14" i="13"/>
  <c r="AN13" i="13"/>
  <c r="AM13" i="13"/>
  <c r="AN12" i="13"/>
  <c r="AM12" i="13"/>
  <c r="C13" i="13"/>
  <c r="AN11" i="13"/>
  <c r="AM11" i="13"/>
  <c r="AN10" i="13"/>
  <c r="AM10" i="13"/>
  <c r="AN9" i="13"/>
  <c r="AM9" i="13"/>
  <c r="C10" i="13"/>
  <c r="C20" i="13" s="1"/>
  <c r="AN8" i="13"/>
  <c r="AM8" i="13"/>
  <c r="AN7" i="13"/>
  <c r="AM7" i="13"/>
  <c r="AN6" i="13"/>
  <c r="AM6" i="13"/>
  <c r="AO5" i="13"/>
  <c r="AN5" i="13"/>
  <c r="AM5" i="13"/>
  <c r="AK5" i="13"/>
  <c r="G5" i="13"/>
  <c r="G6" i="13" s="1"/>
  <c r="AD4" i="13"/>
  <c r="Z4" i="13"/>
  <c r="G4" i="13"/>
  <c r="AI7" i="23" l="1"/>
  <c r="AI7" i="24"/>
  <c r="AK7" i="24" s="1"/>
  <c r="AI8" i="24" s="1"/>
  <c r="AK7" i="25"/>
  <c r="AI8" i="25" s="1"/>
  <c r="O18" i="19"/>
  <c r="O21" i="19" s="1"/>
  <c r="G21" i="19" s="1"/>
  <c r="K34" i="25"/>
  <c r="AG8" i="25"/>
  <c r="AO7" i="25"/>
  <c r="O18" i="22"/>
  <c r="O21" i="22" s="1"/>
  <c r="G21" i="22" s="1"/>
  <c r="AI9" i="25"/>
  <c r="O14" i="25"/>
  <c r="O17" i="25" s="1"/>
  <c r="O20" i="25" s="1"/>
  <c r="O18" i="25"/>
  <c r="AK7" i="23"/>
  <c r="AI8" i="23" s="1"/>
  <c r="O23" i="24"/>
  <c r="O21" i="24"/>
  <c r="G21" i="24" s="1"/>
  <c r="G18" i="24"/>
  <c r="K14" i="24"/>
  <c r="AO7" i="24"/>
  <c r="K42" i="24"/>
  <c r="K34" i="23"/>
  <c r="AO7" i="23"/>
  <c r="O18" i="23"/>
  <c r="O14" i="23"/>
  <c r="O17" i="23" s="1"/>
  <c r="O20" i="23" s="1"/>
  <c r="O23" i="22"/>
  <c r="K34" i="22"/>
  <c r="AO7" i="22"/>
  <c r="AK7" i="22"/>
  <c r="AI8" i="22" s="1"/>
  <c r="O18" i="20"/>
  <c r="O21" i="20" s="1"/>
  <c r="K42" i="21"/>
  <c r="O18" i="21"/>
  <c r="O14" i="21"/>
  <c r="O17" i="21" s="1"/>
  <c r="O20" i="21" s="1"/>
  <c r="AK6" i="21"/>
  <c r="AI7" i="21" s="1"/>
  <c r="AO7" i="21" s="1"/>
  <c r="K34" i="19"/>
  <c r="AI7" i="19"/>
  <c r="AK7" i="19" s="1"/>
  <c r="AK6" i="20"/>
  <c r="O23" i="19"/>
  <c r="AG6" i="13"/>
  <c r="AI6" i="13"/>
  <c r="G27" i="13"/>
  <c r="G15" i="13"/>
  <c r="K9" i="13" s="1"/>
  <c r="K31" i="13"/>
  <c r="AK8" i="25" l="1"/>
  <c r="AG9" i="25" s="1"/>
  <c r="AO8" i="25"/>
  <c r="AG8" i="22"/>
  <c r="K14" i="19"/>
  <c r="K15" i="19" s="1"/>
  <c r="G18" i="19"/>
  <c r="AG8" i="24"/>
  <c r="AG8" i="23"/>
  <c r="AK8" i="23" s="1"/>
  <c r="AI9" i="23" s="1"/>
  <c r="AO8" i="24"/>
  <c r="O26" i="22"/>
  <c r="O28" i="22" s="1"/>
  <c r="K14" i="22"/>
  <c r="K15" i="22" s="1"/>
  <c r="G18" i="22"/>
  <c r="K14" i="25"/>
  <c r="O21" i="25"/>
  <c r="G21" i="25" s="1"/>
  <c r="G18" i="25"/>
  <c r="AO9" i="25"/>
  <c r="O23" i="25"/>
  <c r="AK9" i="25"/>
  <c r="AI10" i="25" s="1"/>
  <c r="W4" i="24"/>
  <c r="O26" i="24"/>
  <c r="O28" i="24" s="1"/>
  <c r="K15" i="24"/>
  <c r="AA4" i="24"/>
  <c r="Y4" i="24"/>
  <c r="AK8" i="24"/>
  <c r="AI9" i="24" s="1"/>
  <c r="AG9" i="24"/>
  <c r="AA4" i="22"/>
  <c r="W4" i="22"/>
  <c r="O23" i="23"/>
  <c r="O21" i="23"/>
  <c r="G21" i="23" s="1"/>
  <c r="K14" i="23"/>
  <c r="G18" i="23"/>
  <c r="O26" i="20"/>
  <c r="O28" i="20" s="1"/>
  <c r="K14" i="20"/>
  <c r="K15" i="20" s="1"/>
  <c r="G18" i="20"/>
  <c r="AK8" i="22"/>
  <c r="AI9" i="22" s="1"/>
  <c r="Y4" i="22"/>
  <c r="AK7" i="21"/>
  <c r="O23" i="21"/>
  <c r="O21" i="21"/>
  <c r="G21" i="21" s="1"/>
  <c r="G18" i="21"/>
  <c r="K14" i="21"/>
  <c r="AI8" i="19"/>
  <c r="AG8" i="19"/>
  <c r="AO7" i="19"/>
  <c r="AG7" i="20"/>
  <c r="AI7" i="20"/>
  <c r="W4" i="19"/>
  <c r="Y4" i="19"/>
  <c r="G21" i="20"/>
  <c r="W4" i="20"/>
  <c r="Y4" i="20"/>
  <c r="AA4" i="20"/>
  <c r="O26" i="19"/>
  <c r="O28" i="19" s="1"/>
  <c r="AA4" i="19"/>
  <c r="AO6" i="13"/>
  <c r="AK6" i="13"/>
  <c r="AG7" i="13" s="1"/>
  <c r="AI7" i="13"/>
  <c r="AO8" i="23" l="1"/>
  <c r="AG9" i="23"/>
  <c r="AO9" i="23" s="1"/>
  <c r="AC4" i="22"/>
  <c r="X5" i="22" s="1"/>
  <c r="Y5" i="22" s="1"/>
  <c r="AG9" i="22"/>
  <c r="AO9" i="22" s="1"/>
  <c r="AB4" i="22"/>
  <c r="V5" i="22" s="1"/>
  <c r="W5" i="22" s="1"/>
  <c r="AO8" i="22"/>
  <c r="AG10" i="25"/>
  <c r="AO10" i="25" s="1"/>
  <c r="Y4" i="25"/>
  <c r="W4" i="25"/>
  <c r="AA4" i="25"/>
  <c r="AB4" i="24"/>
  <c r="V5" i="24" s="1"/>
  <c r="W5" i="24" s="1"/>
  <c r="AK10" i="25"/>
  <c r="AG11" i="25" s="1"/>
  <c r="O26" i="25"/>
  <c r="O28" i="25" s="1"/>
  <c r="K15" i="25"/>
  <c r="AK9" i="24"/>
  <c r="AI10" i="24" s="1"/>
  <c r="AO9" i="24"/>
  <c r="AC4" i="24"/>
  <c r="X5" i="24" s="1"/>
  <c r="K15" i="23"/>
  <c r="AA4" i="23"/>
  <c r="W4" i="23"/>
  <c r="Y4" i="23"/>
  <c r="AK9" i="23"/>
  <c r="AI10" i="23" s="1"/>
  <c r="O26" i="23"/>
  <c r="O28" i="23" s="1"/>
  <c r="AK8" i="19"/>
  <c r="AI9" i="19" s="1"/>
  <c r="AI8" i="21"/>
  <c r="AG8" i="21"/>
  <c r="W4" i="21"/>
  <c r="Y4" i="21"/>
  <c r="AK7" i="20"/>
  <c r="AI8" i="20" s="1"/>
  <c r="AO8" i="19"/>
  <c r="O26" i="21"/>
  <c r="O28" i="21" s="1"/>
  <c r="AA4" i="21"/>
  <c r="K15" i="21"/>
  <c r="AB4" i="19"/>
  <c r="V5" i="19" s="1"/>
  <c r="W5" i="19" s="1"/>
  <c r="AO7" i="20"/>
  <c r="AG9" i="19"/>
  <c r="AC4" i="20"/>
  <c r="X5" i="20" s="1"/>
  <c r="AB4" i="20"/>
  <c r="V5" i="20" s="1"/>
  <c r="AC4" i="19"/>
  <c r="X5" i="19" s="1"/>
  <c r="AK7" i="13"/>
  <c r="AI8" i="13" s="1"/>
  <c r="AO7" i="13"/>
  <c r="AG10" i="23" l="1"/>
  <c r="AG8" i="20"/>
  <c r="AK8" i="20" s="1"/>
  <c r="AK9" i="22"/>
  <c r="Z5" i="22"/>
  <c r="AA5" i="22" s="1"/>
  <c r="AC5" i="22" s="1"/>
  <c r="X6" i="22" s="1"/>
  <c r="AI11" i="25"/>
  <c r="AK11" i="25" s="1"/>
  <c r="AI12" i="25" s="1"/>
  <c r="AI10" i="22"/>
  <c r="AG10" i="22"/>
  <c r="AD5" i="22"/>
  <c r="AC4" i="23"/>
  <c r="X5" i="23" s="1"/>
  <c r="Y5" i="23" s="1"/>
  <c r="AG10" i="24"/>
  <c r="AO10" i="24" s="1"/>
  <c r="AB4" i="25"/>
  <c r="V5" i="25" s="1"/>
  <c r="AC4" i="25"/>
  <c r="X5" i="25" s="1"/>
  <c r="AD5" i="24"/>
  <c r="Y5" i="24"/>
  <c r="Z5" i="24"/>
  <c r="AA5" i="24" s="1"/>
  <c r="AB5" i="24" s="1"/>
  <c r="V6" i="24" s="1"/>
  <c r="AK9" i="19"/>
  <c r="AI10" i="19" s="1"/>
  <c r="AK10" i="23"/>
  <c r="AI11" i="23" s="1"/>
  <c r="AG11" i="23"/>
  <c r="AB4" i="23"/>
  <c r="V5" i="23" s="1"/>
  <c r="AO10" i="23"/>
  <c r="AK8" i="21"/>
  <c r="AG9" i="21" s="1"/>
  <c r="AO8" i="21"/>
  <c r="AC4" i="21"/>
  <c r="X5" i="21" s="1"/>
  <c r="Y5" i="21" s="1"/>
  <c r="AO9" i="19"/>
  <c r="AB4" i="21"/>
  <c r="V5" i="21" s="1"/>
  <c r="AD5" i="20"/>
  <c r="Y5" i="20"/>
  <c r="Z5" i="20"/>
  <c r="AA5" i="20" s="1"/>
  <c r="W5" i="20"/>
  <c r="AD5" i="19"/>
  <c r="Y5" i="19"/>
  <c r="Z5" i="19"/>
  <c r="AA5" i="19" s="1"/>
  <c r="AB5" i="19" s="1"/>
  <c r="V6" i="19" s="1"/>
  <c r="AG8" i="13"/>
  <c r="AK8" i="13" s="1"/>
  <c r="AI9" i="13" s="1"/>
  <c r="AK11" i="23" l="1"/>
  <c r="AG12" i="23" s="1"/>
  <c r="AO11" i="25"/>
  <c r="AK10" i="22"/>
  <c r="AG11" i="22" s="1"/>
  <c r="AI9" i="20"/>
  <c r="AG9" i="20"/>
  <c r="AO9" i="20" s="1"/>
  <c r="AO8" i="20"/>
  <c r="AB5" i="22"/>
  <c r="V6" i="22" s="1"/>
  <c r="W6" i="22" s="1"/>
  <c r="AD5" i="23"/>
  <c r="AG12" i="25"/>
  <c r="AK12" i="25" s="1"/>
  <c r="AI13" i="25" s="1"/>
  <c r="AO10" i="22"/>
  <c r="AK10" i="24"/>
  <c r="AI11" i="22"/>
  <c r="AI9" i="21"/>
  <c r="AK9" i="21" s="1"/>
  <c r="AG10" i="21" s="1"/>
  <c r="AG10" i="19"/>
  <c r="AK10" i="19" s="1"/>
  <c r="AI11" i="19" s="1"/>
  <c r="Y5" i="25"/>
  <c r="AD5" i="25"/>
  <c r="Z5" i="25"/>
  <c r="AA5" i="25" s="1"/>
  <c r="W5" i="25"/>
  <c r="W6" i="24"/>
  <c r="AC5" i="24"/>
  <c r="X6" i="24" s="1"/>
  <c r="AO11" i="23"/>
  <c r="AI12" i="23"/>
  <c r="AO12" i="23" s="1"/>
  <c r="Z5" i="23"/>
  <c r="AA5" i="23" s="1"/>
  <c r="AC5" i="23" s="1"/>
  <c r="X6" i="23" s="1"/>
  <c r="W5" i="23"/>
  <c r="Y6" i="22"/>
  <c r="Z5" i="21"/>
  <c r="AA5" i="21" s="1"/>
  <c r="AC5" i="21" s="1"/>
  <c r="X6" i="21" s="1"/>
  <c r="W5" i="21"/>
  <c r="AD5" i="21"/>
  <c r="AB5" i="20"/>
  <c r="V6" i="20" s="1"/>
  <c r="W6" i="20" s="1"/>
  <c r="AO8" i="13"/>
  <c r="AC5" i="20"/>
  <c r="X6" i="20" s="1"/>
  <c r="W6" i="19"/>
  <c r="AC5" i="19"/>
  <c r="X6" i="19" s="1"/>
  <c r="AG9" i="13"/>
  <c r="AK9" i="13" s="1"/>
  <c r="AK12" i="23" l="1"/>
  <c r="AI13" i="23" s="1"/>
  <c r="AG13" i="23"/>
  <c r="AK13" i="23" s="1"/>
  <c r="AG14" i="23" s="1"/>
  <c r="Z6" i="22"/>
  <c r="AA6" i="22" s="1"/>
  <c r="AB6" i="22" s="1"/>
  <c r="V7" i="22" s="1"/>
  <c r="W7" i="22" s="1"/>
  <c r="AD6" i="22"/>
  <c r="AO9" i="21"/>
  <c r="AK9" i="20"/>
  <c r="AI10" i="20" s="1"/>
  <c r="AO12" i="25"/>
  <c r="AG13" i="25"/>
  <c r="AO13" i="25" s="1"/>
  <c r="AK11" i="22"/>
  <c r="AG12" i="22" s="1"/>
  <c r="AI10" i="21"/>
  <c r="AK10" i="21" s="1"/>
  <c r="AO11" i="22"/>
  <c r="AI11" i="24"/>
  <c r="AG11" i="24"/>
  <c r="AO10" i="19"/>
  <c r="AG11" i="19"/>
  <c r="AO11" i="19" s="1"/>
  <c r="AB5" i="25"/>
  <c r="V6" i="25" s="1"/>
  <c r="W6" i="25" s="1"/>
  <c r="AB5" i="23"/>
  <c r="V6" i="23" s="1"/>
  <c r="AD6" i="23" s="1"/>
  <c r="AC5" i="25"/>
  <c r="X6" i="25" s="1"/>
  <c r="AD6" i="24"/>
  <c r="Y6" i="24"/>
  <c r="Z6" i="24"/>
  <c r="AA6" i="24" s="1"/>
  <c r="AB6" i="24" s="1"/>
  <c r="V7" i="24" s="1"/>
  <c r="AG10" i="20"/>
  <c r="Y6" i="23"/>
  <c r="AO13" i="23"/>
  <c r="AB5" i="21"/>
  <c r="V6" i="21" s="1"/>
  <c r="AD6" i="21" s="1"/>
  <c r="Y6" i="21"/>
  <c r="AD6" i="20"/>
  <c r="Y6" i="20"/>
  <c r="Z6" i="20"/>
  <c r="AA6" i="20" s="1"/>
  <c r="AB6" i="20" s="1"/>
  <c r="V7" i="20" s="1"/>
  <c r="AD6" i="19"/>
  <c r="Y6" i="19"/>
  <c r="Z6" i="19"/>
  <c r="AA6" i="19" s="1"/>
  <c r="AB6" i="19" s="1"/>
  <c r="V7" i="19" s="1"/>
  <c r="AO9" i="13"/>
  <c r="AG10" i="13"/>
  <c r="AI10" i="13"/>
  <c r="AO10" i="20" l="1"/>
  <c r="AK11" i="24"/>
  <c r="AC6" i="22"/>
  <c r="X7" i="22" s="1"/>
  <c r="Z7" i="22" s="1"/>
  <c r="AA7" i="22" s="1"/>
  <c r="AB7" i="22" s="1"/>
  <c r="V8" i="22" s="1"/>
  <c r="AO10" i="21"/>
  <c r="AK13" i="25"/>
  <c r="AI14" i="25" s="1"/>
  <c r="AI12" i="22"/>
  <c r="AO12" i="22" s="1"/>
  <c r="W6" i="23"/>
  <c r="AK11" i="19"/>
  <c r="AG14" i="25"/>
  <c r="AK14" i="25" s="1"/>
  <c r="AI15" i="25" s="1"/>
  <c r="AK12" i="22"/>
  <c r="AI13" i="22" s="1"/>
  <c r="AG12" i="24"/>
  <c r="AI12" i="24"/>
  <c r="AO11" i="24"/>
  <c r="Z6" i="23"/>
  <c r="AA6" i="23" s="1"/>
  <c r="AC6" i="23" s="1"/>
  <c r="X7" i="23" s="1"/>
  <c r="AI14" i="23"/>
  <c r="AO14" i="23" s="1"/>
  <c r="Y6" i="25"/>
  <c r="AD6" i="25"/>
  <c r="Z6" i="25"/>
  <c r="AA6" i="25" s="1"/>
  <c r="AB6" i="25" s="1"/>
  <c r="V7" i="25" s="1"/>
  <c r="W7" i="25" s="1"/>
  <c r="AK10" i="20"/>
  <c r="AI11" i="20" s="1"/>
  <c r="W7" i="24"/>
  <c r="AC6" i="24"/>
  <c r="X7" i="24" s="1"/>
  <c r="W6" i="21"/>
  <c r="Z6" i="21"/>
  <c r="AA6" i="21" s="1"/>
  <c r="AC6" i="21" s="1"/>
  <c r="X7" i="21" s="1"/>
  <c r="AG11" i="21"/>
  <c r="AI11" i="21"/>
  <c r="W7" i="20"/>
  <c r="AC6" i="20"/>
  <c r="X7" i="20" s="1"/>
  <c r="W7" i="19"/>
  <c r="AC6" i="19"/>
  <c r="X7" i="19" s="1"/>
  <c r="AO10" i="13"/>
  <c r="AK10" i="13"/>
  <c r="AG11" i="13" s="1"/>
  <c r="AD7" i="22" l="1"/>
  <c r="Y7" i="22"/>
  <c r="AC7" i="22" s="1"/>
  <c r="X8" i="22" s="1"/>
  <c r="AG13" i="22"/>
  <c r="AO13" i="22" s="1"/>
  <c r="AG12" i="19"/>
  <c r="AI12" i="19"/>
  <c r="AO12" i="19" s="1"/>
  <c r="AO12" i="24"/>
  <c r="AK14" i="23"/>
  <c r="AO14" i="25"/>
  <c r="AB6" i="23"/>
  <c r="V7" i="23" s="1"/>
  <c r="AD7" i="23" s="1"/>
  <c r="AK13" i="22"/>
  <c r="AG14" i="22" s="1"/>
  <c r="AB6" i="21"/>
  <c r="V7" i="21" s="1"/>
  <c r="W7" i="21" s="1"/>
  <c r="AG15" i="25"/>
  <c r="AK15" i="25" s="1"/>
  <c r="AG16" i="25" s="1"/>
  <c r="AK12" i="24"/>
  <c r="AG11" i="20"/>
  <c r="AO11" i="20" s="1"/>
  <c r="AC6" i="25"/>
  <c r="X7" i="25" s="1"/>
  <c r="AO11" i="21"/>
  <c r="AD7" i="24"/>
  <c r="Y7" i="24"/>
  <c r="Z7" i="24"/>
  <c r="AA7" i="24" s="1"/>
  <c r="AB7" i="24" s="1"/>
  <c r="V8" i="24" s="1"/>
  <c r="Y7" i="23"/>
  <c r="W8" i="22"/>
  <c r="AK11" i="21"/>
  <c r="AI12" i="21" s="1"/>
  <c r="Y7" i="21"/>
  <c r="AD7" i="20"/>
  <c r="Y7" i="20"/>
  <c r="Z7" i="20"/>
  <c r="AA7" i="20" s="1"/>
  <c r="AB7" i="20" s="1"/>
  <c r="V8" i="20" s="1"/>
  <c r="AD7" i="19"/>
  <c r="Y7" i="19"/>
  <c r="Z7" i="19"/>
  <c r="AA7" i="19" s="1"/>
  <c r="AB7" i="19" s="1"/>
  <c r="V8" i="19" s="1"/>
  <c r="AI11" i="13"/>
  <c r="AK11" i="13" s="1"/>
  <c r="W7" i="23" l="1"/>
  <c r="AI14" i="22"/>
  <c r="AK14" i="22" s="1"/>
  <c r="AG15" i="22" s="1"/>
  <c r="Z7" i="23"/>
  <c r="AA7" i="23" s="1"/>
  <c r="AK12" i="19"/>
  <c r="AO15" i="25"/>
  <c r="AI15" i="23"/>
  <c r="AG15" i="23"/>
  <c r="AO14" i="22"/>
  <c r="Z7" i="21"/>
  <c r="AA7" i="21" s="1"/>
  <c r="AB7" i="21" s="1"/>
  <c r="V8" i="21" s="1"/>
  <c r="W8" i="21" s="1"/>
  <c r="AD7" i="21"/>
  <c r="AK11" i="20"/>
  <c r="AI12" i="20" s="1"/>
  <c r="AI13" i="24"/>
  <c r="AG13" i="24"/>
  <c r="AI16" i="25"/>
  <c r="AO16" i="25" s="1"/>
  <c r="AD7" i="25"/>
  <c r="Z7" i="25"/>
  <c r="AA7" i="25" s="1"/>
  <c r="AB7" i="25" s="1"/>
  <c r="V8" i="25" s="1"/>
  <c r="W8" i="25" s="1"/>
  <c r="Y7" i="25"/>
  <c r="W8" i="24"/>
  <c r="AC7" i="24"/>
  <c r="X8" i="24" s="1"/>
  <c r="AB7" i="23"/>
  <c r="V8" i="23" s="1"/>
  <c r="W8" i="23" s="1"/>
  <c r="AC7" i="23"/>
  <c r="X8" i="23" s="1"/>
  <c r="AD8" i="22"/>
  <c r="Y8" i="22"/>
  <c r="Z8" i="22"/>
  <c r="AA8" i="22" s="1"/>
  <c r="AB8" i="22" s="1"/>
  <c r="V9" i="22" s="1"/>
  <c r="AG12" i="21"/>
  <c r="AO12" i="21" s="1"/>
  <c r="W8" i="20"/>
  <c r="AC7" i="20"/>
  <c r="X8" i="20" s="1"/>
  <c r="W8" i="19"/>
  <c r="AC7" i="19"/>
  <c r="X8" i="19" s="1"/>
  <c r="AO11" i="13"/>
  <c r="AG12" i="13"/>
  <c r="AI12" i="13"/>
  <c r="AK15" i="23" l="1"/>
  <c r="AI15" i="22"/>
  <c r="AG12" i="20"/>
  <c r="AO12" i="20" s="1"/>
  <c r="AI13" i="19"/>
  <c r="AG13" i="19"/>
  <c r="AK15" i="22"/>
  <c r="AG16" i="22" s="1"/>
  <c r="AC7" i="21"/>
  <c r="X8" i="21" s="1"/>
  <c r="AD8" i="21" s="1"/>
  <c r="AK16" i="25"/>
  <c r="AG16" i="23"/>
  <c r="AI16" i="23"/>
  <c r="AO15" i="23"/>
  <c r="AO15" i="22"/>
  <c r="AC7" i="25"/>
  <c r="X8" i="25" s="1"/>
  <c r="Y8" i="25" s="1"/>
  <c r="AO13" i="24"/>
  <c r="AK13" i="24"/>
  <c r="AK12" i="21"/>
  <c r="AI13" i="21" s="1"/>
  <c r="AK12" i="20"/>
  <c r="AI13" i="20" s="1"/>
  <c r="AD8" i="24"/>
  <c r="Y8" i="24"/>
  <c r="Z8" i="24"/>
  <c r="AA8" i="24" s="1"/>
  <c r="AB8" i="24" s="1"/>
  <c r="V9" i="24" s="1"/>
  <c r="AD8" i="23"/>
  <c r="Y8" i="23"/>
  <c r="Z8" i="23"/>
  <c r="AA8" i="23" s="1"/>
  <c r="AB8" i="23" s="1"/>
  <c r="V9" i="23" s="1"/>
  <c r="W9" i="22"/>
  <c r="AC8" i="22"/>
  <c r="X9" i="22" s="1"/>
  <c r="AD8" i="20"/>
  <c r="Y8" i="20"/>
  <c r="Z8" i="20"/>
  <c r="AA8" i="20" s="1"/>
  <c r="AB8" i="20" s="1"/>
  <c r="V9" i="20" s="1"/>
  <c r="AD8" i="19"/>
  <c r="Y8" i="19"/>
  <c r="Z8" i="19"/>
  <c r="AA8" i="19" s="1"/>
  <c r="AB8" i="19" s="1"/>
  <c r="V9" i="19" s="1"/>
  <c r="AO12" i="13"/>
  <c r="AK12" i="13"/>
  <c r="AI13" i="13" s="1"/>
  <c r="AO16" i="23" l="1"/>
  <c r="AG13" i="20"/>
  <c r="AK13" i="20" s="1"/>
  <c r="AK13" i="19"/>
  <c r="AO13" i="19"/>
  <c r="AI16" i="22"/>
  <c r="AO16" i="22" s="1"/>
  <c r="AD8" i="25"/>
  <c r="Z8" i="21"/>
  <c r="AA8" i="21" s="1"/>
  <c r="AB8" i="21" s="1"/>
  <c r="V9" i="21" s="1"/>
  <c r="W9" i="21" s="1"/>
  <c r="Y8" i="21"/>
  <c r="AI17" i="25"/>
  <c r="AG17" i="25"/>
  <c r="Z8" i="25"/>
  <c r="AA8" i="25" s="1"/>
  <c r="AB8" i="25" s="1"/>
  <c r="V9" i="25" s="1"/>
  <c r="W9" i="25" s="1"/>
  <c r="AK16" i="23"/>
  <c r="AG14" i="24"/>
  <c r="AI14" i="24"/>
  <c r="AG13" i="21"/>
  <c r="AK13" i="21" s="1"/>
  <c r="W9" i="24"/>
  <c r="AC8" i="24"/>
  <c r="X9" i="24" s="1"/>
  <c r="W9" i="23"/>
  <c r="AC8" i="23"/>
  <c r="X9" i="23" s="1"/>
  <c r="AD9" i="22"/>
  <c r="Y9" i="22"/>
  <c r="Z9" i="22"/>
  <c r="AA9" i="22" s="1"/>
  <c r="AB9" i="22" s="1"/>
  <c r="V10" i="22" s="1"/>
  <c r="W9" i="20"/>
  <c r="AC8" i="20"/>
  <c r="X9" i="20" s="1"/>
  <c r="W9" i="19"/>
  <c r="AC8" i="19"/>
  <c r="X9" i="19" s="1"/>
  <c r="AG13" i="13"/>
  <c r="AK13" i="13" s="1"/>
  <c r="AI14" i="13" s="1"/>
  <c r="AO13" i="20" l="1"/>
  <c r="AK16" i="22"/>
  <c r="AG17" i="22" s="1"/>
  <c r="AK17" i="25"/>
  <c r="AC8" i="21"/>
  <c r="X9" i="21" s="1"/>
  <c r="AD9" i="21" s="1"/>
  <c r="AI17" i="22"/>
  <c r="AO17" i="22" s="1"/>
  <c r="AG14" i="20"/>
  <c r="AI14" i="20"/>
  <c r="AO14" i="20" s="1"/>
  <c r="AG14" i="19"/>
  <c r="AI14" i="19"/>
  <c r="AO13" i="21"/>
  <c r="AG18" i="25"/>
  <c r="AI18" i="25"/>
  <c r="AC8" i="25"/>
  <c r="X9" i="25" s="1"/>
  <c r="Z9" i="25" s="1"/>
  <c r="AA9" i="25" s="1"/>
  <c r="AB9" i="25" s="1"/>
  <c r="V10" i="25" s="1"/>
  <c r="W10" i="25" s="1"/>
  <c r="AO17" i="25"/>
  <c r="AG17" i="23"/>
  <c r="AI17" i="23"/>
  <c r="AO14" i="24"/>
  <c r="AG14" i="21"/>
  <c r="AI14" i="21"/>
  <c r="AK14" i="24"/>
  <c r="AD9" i="24"/>
  <c r="Y9" i="24"/>
  <c r="Z9" i="24"/>
  <c r="AA9" i="24" s="1"/>
  <c r="AB9" i="24" s="1"/>
  <c r="V10" i="24" s="1"/>
  <c r="AD9" i="23"/>
  <c r="Y9" i="23"/>
  <c r="Z9" i="23"/>
  <c r="AA9" i="23" s="1"/>
  <c r="AB9" i="23" s="1"/>
  <c r="V10" i="23" s="1"/>
  <c r="W10" i="22"/>
  <c r="AC9" i="22"/>
  <c r="X10" i="22" s="1"/>
  <c r="Y9" i="21"/>
  <c r="Z9" i="21"/>
  <c r="AA9" i="21" s="1"/>
  <c r="AB9" i="21" s="1"/>
  <c r="V10" i="21" s="1"/>
  <c r="AD9" i="20"/>
  <c r="Y9" i="20"/>
  <c r="Z9" i="20"/>
  <c r="AA9" i="20" s="1"/>
  <c r="AB9" i="20" s="1"/>
  <c r="V10" i="20" s="1"/>
  <c r="AD9" i="19"/>
  <c r="Y9" i="19"/>
  <c r="Z9" i="19"/>
  <c r="AA9" i="19" s="1"/>
  <c r="AB9" i="19" s="1"/>
  <c r="V10" i="19" s="1"/>
  <c r="AO13" i="13"/>
  <c r="AG14" i="13"/>
  <c r="AO14" i="13" s="1"/>
  <c r="AK14" i="20" l="1"/>
  <c r="AG15" i="20" s="1"/>
  <c r="AK17" i="22"/>
  <c r="AG18" i="22" s="1"/>
  <c r="AO18" i="25"/>
  <c r="AO14" i="21"/>
  <c r="AO14" i="19"/>
  <c r="AO17" i="23"/>
  <c r="AI15" i="20"/>
  <c r="AK15" i="20" s="1"/>
  <c r="AK14" i="19"/>
  <c r="AI18" i="22"/>
  <c r="Y9" i="25"/>
  <c r="AC9" i="25" s="1"/>
  <c r="X10" i="25" s="1"/>
  <c r="Z10" i="25" s="1"/>
  <c r="AA10" i="25" s="1"/>
  <c r="AB10" i="25" s="1"/>
  <c r="V11" i="25" s="1"/>
  <c r="AD9" i="25"/>
  <c r="AK18" i="25"/>
  <c r="AK17" i="23"/>
  <c r="AK14" i="21"/>
  <c r="AG15" i="21" s="1"/>
  <c r="AI15" i="24"/>
  <c r="AG15" i="24"/>
  <c r="W10" i="24"/>
  <c r="AC9" i="24"/>
  <c r="X10" i="24" s="1"/>
  <c r="W10" i="23"/>
  <c r="AC9" i="23"/>
  <c r="X10" i="23" s="1"/>
  <c r="AD10" i="22"/>
  <c r="Y10" i="22"/>
  <c r="Z10" i="22"/>
  <c r="AA10" i="22" s="1"/>
  <c r="AB10" i="22" s="1"/>
  <c r="V11" i="22" s="1"/>
  <c r="W10" i="21"/>
  <c r="AC9" i="21"/>
  <c r="X10" i="21" s="1"/>
  <c r="W10" i="20"/>
  <c r="AC9" i="20"/>
  <c r="X10" i="20" s="1"/>
  <c r="W10" i="19"/>
  <c r="AC9" i="19"/>
  <c r="X10" i="19" s="1"/>
  <c r="AK14" i="13"/>
  <c r="AG15" i="13" s="1"/>
  <c r="AD10" i="25" l="1"/>
  <c r="AI15" i="21"/>
  <c r="AK15" i="21" s="1"/>
  <c r="AI16" i="21" s="1"/>
  <c r="AO15" i="20"/>
  <c r="AI16" i="20"/>
  <c r="AG16" i="20"/>
  <c r="AK16" i="20" s="1"/>
  <c r="Y10" i="25"/>
  <c r="AC10" i="25" s="1"/>
  <c r="X11" i="25" s="1"/>
  <c r="AI15" i="19"/>
  <c r="AG15" i="19"/>
  <c r="AK15" i="19" s="1"/>
  <c r="AK15" i="24"/>
  <c r="AG16" i="24" s="1"/>
  <c r="AK18" i="22"/>
  <c r="AO18" i="22"/>
  <c r="AO15" i="21"/>
  <c r="AI19" i="25"/>
  <c r="AG19" i="25"/>
  <c r="AG18" i="23"/>
  <c r="AI18" i="23"/>
  <c r="AO18" i="23" s="1"/>
  <c r="AO15" i="24"/>
  <c r="W11" i="25"/>
  <c r="AD10" i="24"/>
  <c r="Y10" i="24"/>
  <c r="Z10" i="24"/>
  <c r="AA10" i="24" s="1"/>
  <c r="AB10" i="24" s="1"/>
  <c r="V11" i="24" s="1"/>
  <c r="AD10" i="23"/>
  <c r="Y10" i="23"/>
  <c r="Z10" i="23"/>
  <c r="AA10" i="23" s="1"/>
  <c r="AB10" i="23" s="1"/>
  <c r="V11" i="23" s="1"/>
  <c r="W11" i="22"/>
  <c r="AC10" i="22"/>
  <c r="X11" i="22" s="1"/>
  <c r="AD10" i="21"/>
  <c r="Y10" i="21"/>
  <c r="Z10" i="21"/>
  <c r="AA10" i="21" s="1"/>
  <c r="AB10" i="21" s="1"/>
  <c r="V11" i="21" s="1"/>
  <c r="AD10" i="20"/>
  <c r="Y10" i="20"/>
  <c r="Z10" i="20"/>
  <c r="AA10" i="20" s="1"/>
  <c r="AB10" i="20" s="1"/>
  <c r="V11" i="20" s="1"/>
  <c r="AD10" i="19"/>
  <c r="Y10" i="19"/>
  <c r="Z10" i="19"/>
  <c r="AA10" i="19" s="1"/>
  <c r="AB10" i="19" s="1"/>
  <c r="V11" i="19" s="1"/>
  <c r="AI15" i="13"/>
  <c r="AK15" i="13" s="1"/>
  <c r="AG17" i="20" l="1"/>
  <c r="AI17" i="20"/>
  <c r="AO16" i="20"/>
  <c r="AK19" i="25"/>
  <c r="AI20" i="25" s="1"/>
  <c r="AI16" i="24"/>
  <c r="AK16" i="24" s="1"/>
  <c r="AI16" i="19"/>
  <c r="AG16" i="19"/>
  <c r="AK16" i="19" s="1"/>
  <c r="AO15" i="19"/>
  <c r="AG19" i="22"/>
  <c r="AI19" i="22"/>
  <c r="AG20" i="25"/>
  <c r="AO19" i="25"/>
  <c r="AK18" i="23"/>
  <c r="AD11" i="25"/>
  <c r="Y11" i="25"/>
  <c r="Z11" i="25"/>
  <c r="AA11" i="25" s="1"/>
  <c r="AB11" i="25" s="1"/>
  <c r="V12" i="25" s="1"/>
  <c r="AO17" i="20"/>
  <c r="W11" i="24"/>
  <c r="AC10" i="24"/>
  <c r="X11" i="24" s="1"/>
  <c r="W11" i="23"/>
  <c r="AC10" i="23"/>
  <c r="X11" i="23" s="1"/>
  <c r="AD11" i="22"/>
  <c r="Y11" i="22"/>
  <c r="Z11" i="22"/>
  <c r="AA11" i="22" s="1"/>
  <c r="AB11" i="22" s="1"/>
  <c r="V12" i="22" s="1"/>
  <c r="AG16" i="21"/>
  <c r="AO16" i="21" s="1"/>
  <c r="W11" i="21"/>
  <c r="AC10" i="21"/>
  <c r="X11" i="21" s="1"/>
  <c r="W11" i="20"/>
  <c r="AC10" i="20"/>
  <c r="X11" i="20" s="1"/>
  <c r="W11" i="19"/>
  <c r="AC10" i="19"/>
  <c r="X11" i="19" s="1"/>
  <c r="AO15" i="13"/>
  <c r="AG16" i="13"/>
  <c r="AI16" i="13"/>
  <c r="AK17" i="20" l="1"/>
  <c r="AG18" i="20" s="1"/>
  <c r="AO16" i="24"/>
  <c r="AI18" i="20"/>
  <c r="AO18" i="20" s="1"/>
  <c r="AO20" i="25"/>
  <c r="AI17" i="19"/>
  <c r="AG17" i="19"/>
  <c r="AK17" i="19" s="1"/>
  <c r="AO16" i="19"/>
  <c r="AK19" i="22"/>
  <c r="AO19" i="22"/>
  <c r="AK20" i="25"/>
  <c r="AG19" i="23"/>
  <c r="AI19" i="23"/>
  <c r="AG17" i="24"/>
  <c r="AI17" i="24"/>
  <c r="W12" i="25"/>
  <c r="AC11" i="25"/>
  <c r="X12" i="25" s="1"/>
  <c r="AD11" i="24"/>
  <c r="Y11" i="24"/>
  <c r="Z11" i="24"/>
  <c r="AA11" i="24" s="1"/>
  <c r="AB11" i="24" s="1"/>
  <c r="V12" i="24" s="1"/>
  <c r="AD11" i="23"/>
  <c r="Y11" i="23"/>
  <c r="Z11" i="23"/>
  <c r="AA11" i="23" s="1"/>
  <c r="AB11" i="23" s="1"/>
  <c r="V12" i="23" s="1"/>
  <c r="AK16" i="21"/>
  <c r="AI17" i="21" s="1"/>
  <c r="W12" i="22"/>
  <c r="AC11" i="22"/>
  <c r="X12" i="22" s="1"/>
  <c r="AD11" i="21"/>
  <c r="Y11" i="21"/>
  <c r="Z11" i="21"/>
  <c r="AA11" i="21" s="1"/>
  <c r="AB11" i="21" s="1"/>
  <c r="V12" i="21" s="1"/>
  <c r="AD11" i="20"/>
  <c r="Y11" i="20"/>
  <c r="Z11" i="20"/>
  <c r="AA11" i="20" s="1"/>
  <c r="AB11" i="20" s="1"/>
  <c r="V12" i="20" s="1"/>
  <c r="AD11" i="19"/>
  <c r="Y11" i="19"/>
  <c r="Z11" i="19"/>
  <c r="AA11" i="19" s="1"/>
  <c r="AB11" i="19" s="1"/>
  <c r="V12" i="19" s="1"/>
  <c r="AO16" i="13"/>
  <c r="AK16" i="13"/>
  <c r="AG17" i="21" l="1"/>
  <c r="AK18" i="20"/>
  <c r="AG19" i="20" s="1"/>
  <c r="AI18" i="19"/>
  <c r="AG18" i="19"/>
  <c r="AK18" i="19" s="1"/>
  <c r="AO17" i="19"/>
  <c r="AO17" i="24"/>
  <c r="AI20" i="22"/>
  <c r="AG20" i="22"/>
  <c r="AI21" i="25"/>
  <c r="AG21" i="25"/>
  <c r="AK19" i="23"/>
  <c r="AO19" i="23"/>
  <c r="AK17" i="24"/>
  <c r="AD12" i="25"/>
  <c r="Y12" i="25"/>
  <c r="Z12" i="25"/>
  <c r="AA12" i="25" s="1"/>
  <c r="AB12" i="25" s="1"/>
  <c r="V13" i="25" s="1"/>
  <c r="W12" i="24"/>
  <c r="AC11" i="24"/>
  <c r="X12" i="24" s="1"/>
  <c r="W12" i="23"/>
  <c r="AC11" i="23"/>
  <c r="X12" i="23" s="1"/>
  <c r="AD12" i="22"/>
  <c r="Y12" i="22"/>
  <c r="Z12" i="22"/>
  <c r="AA12" i="22" s="1"/>
  <c r="AB12" i="22" s="1"/>
  <c r="V13" i="22" s="1"/>
  <c r="AK17" i="21"/>
  <c r="AO17" i="21"/>
  <c r="W12" i="21"/>
  <c r="AC11" i="21"/>
  <c r="X12" i="21" s="1"/>
  <c r="W12" i="20"/>
  <c r="AC11" i="20"/>
  <c r="X12" i="20" s="1"/>
  <c r="W12" i="19"/>
  <c r="AC11" i="19"/>
  <c r="X12" i="19" s="1"/>
  <c r="AG17" i="13"/>
  <c r="AI17" i="13"/>
  <c r="AI19" i="20" l="1"/>
  <c r="AK20" i="22"/>
  <c r="AK21" i="25"/>
  <c r="AG19" i="19"/>
  <c r="AI19" i="19"/>
  <c r="AO18" i="19"/>
  <c r="AG21" i="22"/>
  <c r="AI21" i="22"/>
  <c r="AO20" i="22"/>
  <c r="AG22" i="25"/>
  <c r="AI22" i="25"/>
  <c r="AO21" i="25"/>
  <c r="AG20" i="23"/>
  <c r="AI20" i="23"/>
  <c r="AG18" i="24"/>
  <c r="AI18" i="24"/>
  <c r="W13" i="25"/>
  <c r="AC12" i="25"/>
  <c r="X13" i="25" s="1"/>
  <c r="AD12" i="24"/>
  <c r="Y12" i="24"/>
  <c r="Z12" i="24"/>
  <c r="AA12" i="24" s="1"/>
  <c r="AB12" i="24" s="1"/>
  <c r="V13" i="24" s="1"/>
  <c r="AD12" i="23"/>
  <c r="Y12" i="23"/>
  <c r="Z12" i="23"/>
  <c r="AA12" i="23" s="1"/>
  <c r="AB12" i="23" s="1"/>
  <c r="V13" i="23" s="1"/>
  <c r="W13" i="22"/>
  <c r="AC12" i="22"/>
  <c r="X13" i="22" s="1"/>
  <c r="AG18" i="21"/>
  <c r="AI18" i="21"/>
  <c r="AD12" i="21"/>
  <c r="Y12" i="21"/>
  <c r="Z12" i="21"/>
  <c r="AA12" i="21" s="1"/>
  <c r="AB12" i="21" s="1"/>
  <c r="V13" i="21" s="1"/>
  <c r="AD12" i="20"/>
  <c r="Y12" i="20"/>
  <c r="Z12" i="20"/>
  <c r="AA12" i="20" s="1"/>
  <c r="AB12" i="20" s="1"/>
  <c r="V13" i="20" s="1"/>
  <c r="AD12" i="19"/>
  <c r="Y12" i="19"/>
  <c r="Z12" i="19"/>
  <c r="AA12" i="19" s="1"/>
  <c r="AB12" i="19" s="1"/>
  <c r="V13" i="19" s="1"/>
  <c r="AK17" i="13"/>
  <c r="AO17" i="13"/>
  <c r="AK19" i="20" l="1"/>
  <c r="AO19" i="20"/>
  <c r="AO21" i="22"/>
  <c r="AO19" i="19"/>
  <c r="AO22" i="25"/>
  <c r="AO20" i="23"/>
  <c r="AK19" i="19"/>
  <c r="AO18" i="24"/>
  <c r="AK21" i="22"/>
  <c r="AK22" i="25"/>
  <c r="AK20" i="23"/>
  <c r="AK18" i="24"/>
  <c r="AO18" i="21"/>
  <c r="AD13" i="25"/>
  <c r="Y13" i="25"/>
  <c r="Z13" i="25"/>
  <c r="AA13" i="25" s="1"/>
  <c r="AB13" i="25" s="1"/>
  <c r="V14" i="25" s="1"/>
  <c r="W13" i="24"/>
  <c r="AC12" i="24"/>
  <c r="X13" i="24" s="1"/>
  <c r="W13" i="23"/>
  <c r="AC12" i="23"/>
  <c r="X13" i="23" s="1"/>
  <c r="AD13" i="22"/>
  <c r="Y13" i="22"/>
  <c r="Z13" i="22"/>
  <c r="AA13" i="22" s="1"/>
  <c r="AB13" i="22" s="1"/>
  <c r="V14" i="22" s="1"/>
  <c r="AK18" i="21"/>
  <c r="W13" i="21"/>
  <c r="AC12" i="21"/>
  <c r="X13" i="21" s="1"/>
  <c r="W13" i="20"/>
  <c r="AC12" i="20"/>
  <c r="X13" i="20" s="1"/>
  <c r="W13" i="19"/>
  <c r="AC12" i="19"/>
  <c r="X13" i="19" s="1"/>
  <c r="AI18" i="13"/>
  <c r="AG18" i="13"/>
  <c r="AI20" i="20" l="1"/>
  <c r="AG20" i="20"/>
  <c r="AK20" i="20" s="1"/>
  <c r="AG20" i="19"/>
  <c r="AI20" i="19"/>
  <c r="AI22" i="22"/>
  <c r="AG22" i="22"/>
  <c r="AG23" i="25"/>
  <c r="AI23" i="25"/>
  <c r="AG21" i="23"/>
  <c r="AI21" i="23"/>
  <c r="AG19" i="24"/>
  <c r="AI19" i="24"/>
  <c r="W14" i="25"/>
  <c r="AC13" i="25"/>
  <c r="X14" i="25" s="1"/>
  <c r="AD13" i="24"/>
  <c r="Y13" i="24"/>
  <c r="Z13" i="24"/>
  <c r="AA13" i="24" s="1"/>
  <c r="AB13" i="24" s="1"/>
  <c r="V14" i="24" s="1"/>
  <c r="AD13" i="23"/>
  <c r="Y13" i="23"/>
  <c r="Z13" i="23"/>
  <c r="AA13" i="23" s="1"/>
  <c r="AB13" i="23" s="1"/>
  <c r="V14" i="23" s="1"/>
  <c r="W14" i="22"/>
  <c r="AC13" i="22"/>
  <c r="X14" i="22" s="1"/>
  <c r="AG19" i="21"/>
  <c r="AI19" i="21"/>
  <c r="AD13" i="21"/>
  <c r="Y13" i="21"/>
  <c r="Z13" i="21"/>
  <c r="AA13" i="21" s="1"/>
  <c r="AB13" i="21" s="1"/>
  <c r="V14" i="21" s="1"/>
  <c r="AD13" i="20"/>
  <c r="Y13" i="20"/>
  <c r="Z13" i="20"/>
  <c r="AA13" i="20" s="1"/>
  <c r="AB13" i="20" s="1"/>
  <c r="V14" i="20" s="1"/>
  <c r="AD13" i="19"/>
  <c r="Y13" i="19"/>
  <c r="Z13" i="19"/>
  <c r="AA13" i="19" s="1"/>
  <c r="AB13" i="19" s="1"/>
  <c r="V14" i="19" s="1"/>
  <c r="AK18" i="13"/>
  <c r="AG19" i="13" s="1"/>
  <c r="AO18" i="13"/>
  <c r="AK22" i="22" l="1"/>
  <c r="AI21" i="20"/>
  <c r="AG21" i="20"/>
  <c r="AO20" i="20"/>
  <c r="AO21" i="23"/>
  <c r="AO20" i="19"/>
  <c r="AO19" i="24"/>
  <c r="AO23" i="25"/>
  <c r="AK20" i="19"/>
  <c r="AG23" i="22"/>
  <c r="AI23" i="22"/>
  <c r="AO22" i="22"/>
  <c r="AK23" i="25"/>
  <c r="AK21" i="23"/>
  <c r="AK19" i="24"/>
  <c r="AD14" i="25"/>
  <c r="Y14" i="25"/>
  <c r="Z14" i="25"/>
  <c r="AA14" i="25" s="1"/>
  <c r="AB14" i="25" s="1"/>
  <c r="V15" i="25" s="1"/>
  <c r="W14" i="24"/>
  <c r="AC13" i="24"/>
  <c r="X14" i="24" s="1"/>
  <c r="AO19" i="21"/>
  <c r="W14" i="23"/>
  <c r="AC13" i="23"/>
  <c r="X14" i="23" s="1"/>
  <c r="AD14" i="22"/>
  <c r="Y14" i="22"/>
  <c r="Z14" i="22"/>
  <c r="AA14" i="22" s="1"/>
  <c r="AB14" i="22" s="1"/>
  <c r="V15" i="22" s="1"/>
  <c r="AK19" i="21"/>
  <c r="AI20" i="21" s="1"/>
  <c r="W14" i="21"/>
  <c r="AC13" i="21"/>
  <c r="X14" i="21" s="1"/>
  <c r="W14" i="20"/>
  <c r="AC13" i="20"/>
  <c r="X14" i="20" s="1"/>
  <c r="W14" i="19"/>
  <c r="AC13" i="19"/>
  <c r="X14" i="19" s="1"/>
  <c r="AI19" i="13"/>
  <c r="AO19" i="13" s="1"/>
  <c r="AK21" i="20" l="1"/>
  <c r="AO23" i="22"/>
  <c r="AG22" i="20"/>
  <c r="AI22" i="20"/>
  <c r="AO21" i="20"/>
  <c r="AI21" i="19"/>
  <c r="AG21" i="19"/>
  <c r="AK21" i="19" s="1"/>
  <c r="AK23" i="22"/>
  <c r="AG24" i="25"/>
  <c r="AI24" i="25"/>
  <c r="AI22" i="23"/>
  <c r="AG22" i="23"/>
  <c r="AG20" i="24"/>
  <c r="AI20" i="24"/>
  <c r="W15" i="25"/>
  <c r="AC14" i="25"/>
  <c r="X15" i="25" s="1"/>
  <c r="AD14" i="24"/>
  <c r="Y14" i="24"/>
  <c r="Z14" i="24"/>
  <c r="AA14" i="24" s="1"/>
  <c r="AB14" i="24" s="1"/>
  <c r="V15" i="24" s="1"/>
  <c r="AD14" i="23"/>
  <c r="Y14" i="23"/>
  <c r="Z14" i="23"/>
  <c r="AA14" i="23" s="1"/>
  <c r="AB14" i="23" s="1"/>
  <c r="V15" i="23" s="1"/>
  <c r="W15" i="22"/>
  <c r="AC14" i="22"/>
  <c r="X15" i="22" s="1"/>
  <c r="AG20" i="21"/>
  <c r="AO20" i="21" s="1"/>
  <c r="AD14" i="21"/>
  <c r="Y14" i="21"/>
  <c r="Z14" i="21"/>
  <c r="AA14" i="21" s="1"/>
  <c r="AB14" i="21" s="1"/>
  <c r="V15" i="21" s="1"/>
  <c r="AD14" i="20"/>
  <c r="Y14" i="20"/>
  <c r="Z14" i="20"/>
  <c r="AA14" i="20" s="1"/>
  <c r="AB14" i="20" s="1"/>
  <c r="V15" i="20" s="1"/>
  <c r="AD14" i="19"/>
  <c r="Y14" i="19"/>
  <c r="Z14" i="19"/>
  <c r="AA14" i="19" s="1"/>
  <c r="AB14" i="19" s="1"/>
  <c r="V15" i="19" s="1"/>
  <c r="AK19" i="13"/>
  <c r="AG20" i="13" s="1"/>
  <c r="AO24" i="25" l="1"/>
  <c r="AO22" i="20"/>
  <c r="AK22" i="20"/>
  <c r="AG23" i="20" s="1"/>
  <c r="AO20" i="24"/>
  <c r="AI22" i="19"/>
  <c r="AG22" i="19"/>
  <c r="AK22" i="19" s="1"/>
  <c r="AO21" i="19"/>
  <c r="AK22" i="23"/>
  <c r="AI23" i="23" s="1"/>
  <c r="AG24" i="22"/>
  <c r="AI24" i="22"/>
  <c r="AK24" i="25"/>
  <c r="AG23" i="23"/>
  <c r="AO22" i="23"/>
  <c r="AK20" i="24"/>
  <c r="AD15" i="25"/>
  <c r="Y15" i="25"/>
  <c r="Z15" i="25"/>
  <c r="AA15" i="25" s="1"/>
  <c r="AB15" i="25" s="1"/>
  <c r="V16" i="25" s="1"/>
  <c r="W15" i="24"/>
  <c r="AC14" i="24"/>
  <c r="X15" i="24" s="1"/>
  <c r="W15" i="23"/>
  <c r="AC14" i="23"/>
  <c r="X15" i="23" s="1"/>
  <c r="AD15" i="22"/>
  <c r="Y15" i="22"/>
  <c r="Z15" i="22"/>
  <c r="AA15" i="22" s="1"/>
  <c r="AB15" i="22" s="1"/>
  <c r="V16" i="22" s="1"/>
  <c r="AK20" i="21"/>
  <c r="AI21" i="21" s="1"/>
  <c r="W15" i="21"/>
  <c r="AC14" i="21"/>
  <c r="X15" i="21" s="1"/>
  <c r="W15" i="20"/>
  <c r="AC14" i="20"/>
  <c r="X15" i="20" s="1"/>
  <c r="W15" i="19"/>
  <c r="AC14" i="19"/>
  <c r="X15" i="19" s="1"/>
  <c r="AI20" i="13"/>
  <c r="AO20" i="13" s="1"/>
  <c r="AI23" i="20" l="1"/>
  <c r="AK23" i="20" s="1"/>
  <c r="AO24" i="22"/>
  <c r="AG21" i="21"/>
  <c r="AK21" i="21" s="1"/>
  <c r="AG22" i="21" s="1"/>
  <c r="AG23" i="19"/>
  <c r="AI23" i="19"/>
  <c r="AO23" i="19" s="1"/>
  <c r="AO22" i="19"/>
  <c r="AO23" i="23"/>
  <c r="AK24" i="22"/>
  <c r="AG25" i="25"/>
  <c r="AI25" i="25"/>
  <c r="AK23" i="23"/>
  <c r="AG21" i="24"/>
  <c r="AI21" i="24"/>
  <c r="W16" i="25"/>
  <c r="AC15" i="25"/>
  <c r="X16" i="25" s="1"/>
  <c r="AD15" i="24"/>
  <c r="Y15" i="24"/>
  <c r="Z15" i="24"/>
  <c r="AA15" i="24" s="1"/>
  <c r="AB15" i="24" s="1"/>
  <c r="V16" i="24" s="1"/>
  <c r="AD15" i="23"/>
  <c r="Y15" i="23"/>
  <c r="Z15" i="23"/>
  <c r="AA15" i="23" s="1"/>
  <c r="AB15" i="23" s="1"/>
  <c r="V16" i="23" s="1"/>
  <c r="W16" i="22"/>
  <c r="AC15" i="22"/>
  <c r="X16" i="22" s="1"/>
  <c r="AD15" i="21"/>
  <c r="Y15" i="21"/>
  <c r="Z15" i="21"/>
  <c r="AA15" i="21" s="1"/>
  <c r="AB15" i="21" s="1"/>
  <c r="V16" i="21" s="1"/>
  <c r="AD15" i="20"/>
  <c r="Y15" i="20"/>
  <c r="Z15" i="20"/>
  <c r="AA15" i="20" s="1"/>
  <c r="AB15" i="20" s="1"/>
  <c r="V16" i="20" s="1"/>
  <c r="AD15" i="19"/>
  <c r="Y15" i="19"/>
  <c r="Z15" i="19"/>
  <c r="AA15" i="19" s="1"/>
  <c r="AB15" i="19" s="1"/>
  <c r="V16" i="19" s="1"/>
  <c r="AK20" i="13"/>
  <c r="AG21" i="13" s="1"/>
  <c r="AI24" i="20" l="1"/>
  <c r="AG24" i="20"/>
  <c r="AK24" i="20" s="1"/>
  <c r="AO25" i="25"/>
  <c r="AO23" i="20"/>
  <c r="AO21" i="21"/>
  <c r="AO21" i="24"/>
  <c r="AK23" i="19"/>
  <c r="AG25" i="22"/>
  <c r="AI25" i="22"/>
  <c r="AK25" i="25"/>
  <c r="AI24" i="23"/>
  <c r="AG24" i="23"/>
  <c r="AI22" i="21"/>
  <c r="AO22" i="21" s="1"/>
  <c r="AK21" i="24"/>
  <c r="AD16" i="25"/>
  <c r="Y16" i="25"/>
  <c r="Z16" i="25"/>
  <c r="AA16" i="25" s="1"/>
  <c r="AB16" i="25" s="1"/>
  <c r="V17" i="25" s="1"/>
  <c r="W16" i="24"/>
  <c r="AC15" i="24"/>
  <c r="X16" i="24" s="1"/>
  <c r="W16" i="23"/>
  <c r="AC15" i="23"/>
  <c r="X16" i="23" s="1"/>
  <c r="AD16" i="22"/>
  <c r="Y16" i="22"/>
  <c r="Z16" i="22"/>
  <c r="AA16" i="22" s="1"/>
  <c r="AB16" i="22" s="1"/>
  <c r="V17" i="22" s="1"/>
  <c r="W16" i="21"/>
  <c r="AC15" i="21"/>
  <c r="X16" i="21" s="1"/>
  <c r="W16" i="20"/>
  <c r="AC15" i="20"/>
  <c r="X16" i="20" s="1"/>
  <c r="W16" i="19"/>
  <c r="AC15" i="19"/>
  <c r="X16" i="19" s="1"/>
  <c r="AI21" i="13"/>
  <c r="AO21" i="13" s="1"/>
  <c r="AO24" i="20" l="1"/>
  <c r="AO25" i="22"/>
  <c r="AG25" i="20"/>
  <c r="AI25" i="20"/>
  <c r="AK24" i="23"/>
  <c r="AI25" i="23" s="1"/>
  <c r="AI24" i="19"/>
  <c r="AG24" i="19"/>
  <c r="AK24" i="19" s="1"/>
  <c r="AG25" i="19" s="1"/>
  <c r="AK25" i="22"/>
  <c r="AK22" i="21"/>
  <c r="AI23" i="21" s="1"/>
  <c r="AG26" i="25"/>
  <c r="AI26" i="25"/>
  <c r="AG25" i="23"/>
  <c r="AO24" i="23"/>
  <c r="AI22" i="24"/>
  <c r="AG22" i="24"/>
  <c r="W17" i="25"/>
  <c r="AC16" i="25"/>
  <c r="X17" i="25" s="1"/>
  <c r="AD16" i="24"/>
  <c r="Y16" i="24"/>
  <c r="Z16" i="24"/>
  <c r="AA16" i="24" s="1"/>
  <c r="AB16" i="24" s="1"/>
  <c r="V17" i="24" s="1"/>
  <c r="AD16" i="23"/>
  <c r="Y16" i="23"/>
  <c r="Z16" i="23"/>
  <c r="AA16" i="23" s="1"/>
  <c r="AB16" i="23" s="1"/>
  <c r="V17" i="23" s="1"/>
  <c r="W17" i="22"/>
  <c r="AC16" i="22"/>
  <c r="X17" i="22" s="1"/>
  <c r="AD16" i="21"/>
  <c r="Y16" i="21"/>
  <c r="Z16" i="21"/>
  <c r="AA16" i="21" s="1"/>
  <c r="AB16" i="21" s="1"/>
  <c r="V17" i="21" s="1"/>
  <c r="AD16" i="20"/>
  <c r="Y16" i="20"/>
  <c r="Z16" i="20"/>
  <c r="AA16" i="20" s="1"/>
  <c r="AB16" i="20" s="1"/>
  <c r="V17" i="20" s="1"/>
  <c r="AD16" i="19"/>
  <c r="Y16" i="19"/>
  <c r="Z16" i="19"/>
  <c r="AA16" i="19" s="1"/>
  <c r="AB16" i="19" s="1"/>
  <c r="V17" i="19" s="1"/>
  <c r="AK21" i="13"/>
  <c r="AG22" i="13" s="1"/>
  <c r="AK25" i="20" l="1"/>
  <c r="AG26" i="20" s="1"/>
  <c r="AO25" i="23"/>
  <c r="AO25" i="20"/>
  <c r="AO26" i="25"/>
  <c r="AI25" i="19"/>
  <c r="AK25" i="19" s="1"/>
  <c r="AG26" i="19" s="1"/>
  <c r="AO25" i="19"/>
  <c r="AI26" i="20"/>
  <c r="AK26" i="20" s="1"/>
  <c r="AO24" i="19"/>
  <c r="AK22" i="24"/>
  <c r="AI23" i="24" s="1"/>
  <c r="AI26" i="22"/>
  <c r="AG26" i="22"/>
  <c r="AG23" i="21"/>
  <c r="AK23" i="21" s="1"/>
  <c r="AI24" i="21" s="1"/>
  <c r="AK26" i="25"/>
  <c r="AK25" i="23"/>
  <c r="AO22" i="24"/>
  <c r="AD17" i="25"/>
  <c r="Y17" i="25"/>
  <c r="Z17" i="25"/>
  <c r="AA17" i="25" s="1"/>
  <c r="AB17" i="25" s="1"/>
  <c r="V18" i="25" s="1"/>
  <c r="W17" i="24"/>
  <c r="AC16" i="24"/>
  <c r="X17" i="24" s="1"/>
  <c r="W17" i="23"/>
  <c r="AC16" i="23"/>
  <c r="X17" i="23" s="1"/>
  <c r="AD17" i="22"/>
  <c r="Y17" i="22"/>
  <c r="Z17" i="22"/>
  <c r="AA17" i="22" s="1"/>
  <c r="AB17" i="22" s="1"/>
  <c r="V18" i="22" s="1"/>
  <c r="W17" i="21"/>
  <c r="AC16" i="21"/>
  <c r="X17" i="21" s="1"/>
  <c r="W17" i="20"/>
  <c r="AC16" i="20"/>
  <c r="X17" i="20" s="1"/>
  <c r="W17" i="19"/>
  <c r="AC16" i="19"/>
  <c r="X17" i="19" s="1"/>
  <c r="AI22" i="13"/>
  <c r="AO22" i="13" s="1"/>
  <c r="AG23" i="24" l="1"/>
  <c r="AO26" i="20"/>
  <c r="AG27" i="20"/>
  <c r="AI27" i="20"/>
  <c r="AK27" i="20" s="1"/>
  <c r="AO23" i="24"/>
  <c r="AO23" i="21"/>
  <c r="AG24" i="21"/>
  <c r="AO24" i="21" s="1"/>
  <c r="AO26" i="22"/>
  <c r="AK26" i="22"/>
  <c r="AI27" i="25"/>
  <c r="AG27" i="25"/>
  <c r="AG26" i="23"/>
  <c r="AI26" i="23"/>
  <c r="AK23" i="24"/>
  <c r="AI26" i="19"/>
  <c r="AO26" i="19" s="1"/>
  <c r="W18" i="25"/>
  <c r="AC17" i="25"/>
  <c r="X18" i="25" s="1"/>
  <c r="AD17" i="24"/>
  <c r="Y17" i="24"/>
  <c r="Z17" i="24"/>
  <c r="AA17" i="24" s="1"/>
  <c r="AB17" i="24" s="1"/>
  <c r="V18" i="24" s="1"/>
  <c r="AD17" i="23"/>
  <c r="Y17" i="23"/>
  <c r="Z17" i="23"/>
  <c r="AA17" i="23" s="1"/>
  <c r="AB17" i="23" s="1"/>
  <c r="V18" i="23" s="1"/>
  <c r="W18" i="22"/>
  <c r="AC17" i="22"/>
  <c r="X18" i="22" s="1"/>
  <c r="AD17" i="21"/>
  <c r="Y17" i="21"/>
  <c r="Z17" i="21"/>
  <c r="AA17" i="21" s="1"/>
  <c r="AB17" i="21" s="1"/>
  <c r="V18" i="21" s="1"/>
  <c r="AD17" i="20"/>
  <c r="Y17" i="20"/>
  <c r="AO27" i="20"/>
  <c r="Z17" i="20"/>
  <c r="AA17" i="20" s="1"/>
  <c r="AB17" i="20" s="1"/>
  <c r="V18" i="20" s="1"/>
  <c r="AD17" i="19"/>
  <c r="Y17" i="19"/>
  <c r="Z17" i="19"/>
  <c r="AA17" i="19" s="1"/>
  <c r="AB17" i="19" s="1"/>
  <c r="V18" i="19" s="1"/>
  <c r="AK22" i="13"/>
  <c r="AG23" i="13" s="1"/>
  <c r="AG28" i="20" l="1"/>
  <c r="AI28" i="20"/>
  <c r="AK24" i="21"/>
  <c r="AI25" i="21" s="1"/>
  <c r="AO26" i="23"/>
  <c r="AK27" i="25"/>
  <c r="AG25" i="21"/>
  <c r="AK25" i="21" s="1"/>
  <c r="AI26" i="21" s="1"/>
  <c r="AI27" i="22"/>
  <c r="AG27" i="22"/>
  <c r="AK27" i="22" s="1"/>
  <c r="AO25" i="21"/>
  <c r="AG28" i="25"/>
  <c r="AI28" i="25"/>
  <c r="AO27" i="25"/>
  <c r="AK26" i="23"/>
  <c r="AI24" i="24"/>
  <c r="AG24" i="24"/>
  <c r="AK26" i="19"/>
  <c r="AD18" i="25"/>
  <c r="Y18" i="25"/>
  <c r="Z18" i="25"/>
  <c r="AA18" i="25" s="1"/>
  <c r="AB18" i="25" s="1"/>
  <c r="V19" i="25" s="1"/>
  <c r="W18" i="24"/>
  <c r="AC17" i="24"/>
  <c r="X18" i="24" s="1"/>
  <c r="W18" i="23"/>
  <c r="AC17" i="23"/>
  <c r="X18" i="23" s="1"/>
  <c r="AD18" i="22"/>
  <c r="Y18" i="22"/>
  <c r="Z18" i="22"/>
  <c r="AA18" i="22" s="1"/>
  <c r="AB18" i="22" s="1"/>
  <c r="V19" i="22" s="1"/>
  <c r="W18" i="21"/>
  <c r="AC17" i="21"/>
  <c r="X18" i="21" s="1"/>
  <c r="AK28" i="20"/>
  <c r="AI29" i="20" s="1"/>
  <c r="W18" i="20"/>
  <c r="AG29" i="20"/>
  <c r="AO28" i="20"/>
  <c r="AC17" i="20"/>
  <c r="X18" i="20" s="1"/>
  <c r="W18" i="19"/>
  <c r="AC17" i="19"/>
  <c r="X18" i="19" s="1"/>
  <c r="AI23" i="13"/>
  <c r="AO23" i="13" s="1"/>
  <c r="AG26" i="21" l="1"/>
  <c r="AK26" i="21" s="1"/>
  <c r="AG27" i="21" s="1"/>
  <c r="AO28" i="25"/>
  <c r="AO26" i="21"/>
  <c r="AI28" i="22"/>
  <c r="AG28" i="22"/>
  <c r="AO27" i="22"/>
  <c r="AK24" i="24"/>
  <c r="AI25" i="24" s="1"/>
  <c r="AK28" i="25"/>
  <c r="AI27" i="23"/>
  <c r="AG27" i="23"/>
  <c r="AK27" i="23" s="1"/>
  <c r="AO24" i="24"/>
  <c r="AG27" i="19"/>
  <c r="AI27" i="19"/>
  <c r="W19" i="25"/>
  <c r="AC18" i="25"/>
  <c r="X19" i="25" s="1"/>
  <c r="AD18" i="24"/>
  <c r="Y18" i="24"/>
  <c r="Z18" i="24"/>
  <c r="AA18" i="24" s="1"/>
  <c r="AB18" i="24" s="1"/>
  <c r="V19" i="24" s="1"/>
  <c r="AD18" i="23"/>
  <c r="Y18" i="23"/>
  <c r="Z18" i="23"/>
  <c r="AA18" i="23" s="1"/>
  <c r="AB18" i="23" s="1"/>
  <c r="V19" i="23" s="1"/>
  <c r="W19" i="22"/>
  <c r="AC18" i="22"/>
  <c r="X19" i="22" s="1"/>
  <c r="AD18" i="21"/>
  <c r="Y18" i="21"/>
  <c r="Z18" i="21"/>
  <c r="AA18" i="21" s="1"/>
  <c r="AB18" i="21" s="1"/>
  <c r="V19" i="21" s="1"/>
  <c r="AK29" i="20"/>
  <c r="AI30" i="20" s="1"/>
  <c r="AD18" i="20"/>
  <c r="Y18" i="20"/>
  <c r="AG30" i="20"/>
  <c r="AO29" i="20"/>
  <c r="Z18" i="20"/>
  <c r="AA18" i="20" s="1"/>
  <c r="AB18" i="20" s="1"/>
  <c r="V19" i="20" s="1"/>
  <c r="AD18" i="19"/>
  <c r="Y18" i="19"/>
  <c r="Z18" i="19"/>
  <c r="AA18" i="19" s="1"/>
  <c r="AB18" i="19" s="1"/>
  <c r="V19" i="19" s="1"/>
  <c r="AK23" i="13"/>
  <c r="AG24" i="13" s="1"/>
  <c r="AI27" i="21" l="1"/>
  <c r="AK28" i="22"/>
  <c r="AG25" i="24"/>
  <c r="AO25" i="24" s="1"/>
  <c r="AI29" i="22"/>
  <c r="AG29" i="22"/>
  <c r="AO28" i="22"/>
  <c r="AO27" i="19"/>
  <c r="AG29" i="25"/>
  <c r="AI29" i="25"/>
  <c r="AI28" i="23"/>
  <c r="AG28" i="23"/>
  <c r="AO27" i="23"/>
  <c r="AK27" i="19"/>
  <c r="AD19" i="25"/>
  <c r="Y19" i="25"/>
  <c r="Z19" i="25"/>
  <c r="AA19" i="25" s="1"/>
  <c r="AB19" i="25" s="1"/>
  <c r="V20" i="25" s="1"/>
  <c r="W19" i="24"/>
  <c r="AC18" i="24"/>
  <c r="X19" i="24" s="1"/>
  <c r="W19" i="23"/>
  <c r="AC18" i="23"/>
  <c r="X19" i="23" s="1"/>
  <c r="AD19" i="22"/>
  <c r="Y19" i="22"/>
  <c r="Z19" i="22"/>
  <c r="AA19" i="22" s="1"/>
  <c r="AB19" i="22" s="1"/>
  <c r="V20" i="22" s="1"/>
  <c r="W19" i="21"/>
  <c r="AC18" i="21"/>
  <c r="X19" i="21" s="1"/>
  <c r="AK30" i="20"/>
  <c r="AG31" i="20" s="1"/>
  <c r="W19" i="20"/>
  <c r="AI31" i="20"/>
  <c r="AO30" i="20"/>
  <c r="AC18" i="20"/>
  <c r="X19" i="20" s="1"/>
  <c r="W19" i="19"/>
  <c r="AC18" i="19"/>
  <c r="X19" i="19" s="1"/>
  <c r="AI24" i="13"/>
  <c r="AO24" i="13" s="1"/>
  <c r="AO27" i="21" l="1"/>
  <c r="AK27" i="21"/>
  <c r="AK25" i="24"/>
  <c r="AI26" i="24" s="1"/>
  <c r="AK28" i="23"/>
  <c r="AK29" i="22"/>
  <c r="AO29" i="25"/>
  <c r="AI30" i="22"/>
  <c r="AG30" i="22"/>
  <c r="AO29" i="22"/>
  <c r="AK29" i="25"/>
  <c r="AI29" i="23"/>
  <c r="AG29" i="23"/>
  <c r="AK29" i="23" s="1"/>
  <c r="AO28" i="23"/>
  <c r="AI28" i="19"/>
  <c r="AG28" i="19"/>
  <c r="W20" i="25"/>
  <c r="AC19" i="25"/>
  <c r="X20" i="25" s="1"/>
  <c r="AD19" i="24"/>
  <c r="Y19" i="24"/>
  <c r="Z19" i="24"/>
  <c r="AA19" i="24" s="1"/>
  <c r="AB19" i="24" s="1"/>
  <c r="V20" i="24" s="1"/>
  <c r="AD19" i="23"/>
  <c r="Y19" i="23"/>
  <c r="Z19" i="23"/>
  <c r="AA19" i="23" s="1"/>
  <c r="AB19" i="23" s="1"/>
  <c r="V20" i="23" s="1"/>
  <c r="W20" i="22"/>
  <c r="AC19" i="22"/>
  <c r="X20" i="22" s="1"/>
  <c r="AD19" i="21"/>
  <c r="Y19" i="21"/>
  <c r="Z19" i="21"/>
  <c r="AA19" i="21" s="1"/>
  <c r="AB19" i="21" s="1"/>
  <c r="V20" i="21" s="1"/>
  <c r="AO31" i="20"/>
  <c r="AD19" i="20"/>
  <c r="Y19" i="20"/>
  <c r="AK31" i="20"/>
  <c r="Z19" i="20"/>
  <c r="AA19" i="20" s="1"/>
  <c r="AB19" i="20" s="1"/>
  <c r="V20" i="20" s="1"/>
  <c r="AD19" i="19"/>
  <c r="Y19" i="19"/>
  <c r="Z19" i="19"/>
  <c r="AA19" i="19" s="1"/>
  <c r="AB19" i="19" s="1"/>
  <c r="V20" i="19" s="1"/>
  <c r="AK24" i="13"/>
  <c r="AI25" i="13" s="1"/>
  <c r="AG26" i="24" l="1"/>
  <c r="AO26" i="24" s="1"/>
  <c r="AI28" i="21"/>
  <c r="AG28" i="21"/>
  <c r="AK30" i="22"/>
  <c r="AG31" i="22" s="1"/>
  <c r="AK28" i="19"/>
  <c r="AG29" i="19" s="1"/>
  <c r="AI31" i="22"/>
  <c r="AO30" i="22"/>
  <c r="AI29" i="19"/>
  <c r="AO29" i="19" s="1"/>
  <c r="AG30" i="25"/>
  <c r="AI30" i="25"/>
  <c r="AI30" i="23"/>
  <c r="AG30" i="23"/>
  <c r="AO29" i="23"/>
  <c r="AO28" i="19"/>
  <c r="AD20" i="25"/>
  <c r="Y20" i="25"/>
  <c r="Z20" i="25"/>
  <c r="AA20" i="25" s="1"/>
  <c r="AB20" i="25" s="1"/>
  <c r="V21" i="25" s="1"/>
  <c r="W20" i="24"/>
  <c r="AC19" i="24"/>
  <c r="X20" i="24" s="1"/>
  <c r="W20" i="23"/>
  <c r="AC19" i="23"/>
  <c r="X20" i="23" s="1"/>
  <c r="AD20" i="22"/>
  <c r="Y20" i="22"/>
  <c r="Z20" i="22"/>
  <c r="AA20" i="22" s="1"/>
  <c r="AB20" i="22" s="1"/>
  <c r="V21" i="22" s="1"/>
  <c r="W20" i="21"/>
  <c r="AC19" i="21"/>
  <c r="X20" i="21" s="1"/>
  <c r="W20" i="20"/>
  <c r="AG32" i="20"/>
  <c r="AI32" i="20"/>
  <c r="AC19" i="20"/>
  <c r="X20" i="20" s="1"/>
  <c r="W20" i="19"/>
  <c r="AC19" i="19"/>
  <c r="X20" i="19" s="1"/>
  <c r="AG25" i="13"/>
  <c r="AK25" i="13" s="1"/>
  <c r="AK26" i="24" l="1"/>
  <c r="AI27" i="24" s="1"/>
  <c r="AG27" i="24"/>
  <c r="AK27" i="24" s="1"/>
  <c r="AO28" i="21"/>
  <c r="AK28" i="21"/>
  <c r="AK30" i="23"/>
  <c r="AO31" i="22"/>
  <c r="AK29" i="19"/>
  <c r="AO30" i="25"/>
  <c r="AK31" i="22"/>
  <c r="AK30" i="25"/>
  <c r="AG31" i="23"/>
  <c r="AI31" i="23"/>
  <c r="AO30" i="23"/>
  <c r="W21" i="25"/>
  <c r="AC20" i="25"/>
  <c r="X21" i="25" s="1"/>
  <c r="AD20" i="24"/>
  <c r="Y20" i="24"/>
  <c r="Z20" i="24"/>
  <c r="AA20" i="24" s="1"/>
  <c r="AB20" i="24" s="1"/>
  <c r="V21" i="24" s="1"/>
  <c r="AD20" i="23"/>
  <c r="Y20" i="23"/>
  <c r="Z20" i="23"/>
  <c r="AA20" i="23" s="1"/>
  <c r="AB20" i="23" s="1"/>
  <c r="V21" i="23" s="1"/>
  <c r="W21" i="22"/>
  <c r="AC20" i="22"/>
  <c r="X21" i="22" s="1"/>
  <c r="AD20" i="21"/>
  <c r="Y20" i="21"/>
  <c r="Z20" i="21"/>
  <c r="AA20" i="21" s="1"/>
  <c r="AB20" i="21" s="1"/>
  <c r="V21" i="21" s="1"/>
  <c r="AO32" i="20"/>
  <c r="AD20" i="20"/>
  <c r="Y20" i="20"/>
  <c r="AK32" i="20"/>
  <c r="Z20" i="20"/>
  <c r="AA20" i="20" s="1"/>
  <c r="AB20" i="20" s="1"/>
  <c r="V21" i="20" s="1"/>
  <c r="AG30" i="19"/>
  <c r="AI30" i="19"/>
  <c r="AD20" i="19"/>
  <c r="Y20" i="19"/>
  <c r="Z20" i="19"/>
  <c r="AA20" i="19" s="1"/>
  <c r="AB20" i="19" s="1"/>
  <c r="V21" i="19" s="1"/>
  <c r="AI26" i="13"/>
  <c r="AG26" i="13"/>
  <c r="AO25" i="13"/>
  <c r="AO27" i="24" l="1"/>
  <c r="AO31" i="23"/>
  <c r="AG29" i="21"/>
  <c r="AI29" i="21"/>
  <c r="AG32" i="22"/>
  <c r="AI32" i="22"/>
  <c r="AG31" i="25"/>
  <c r="AI31" i="25"/>
  <c r="AK31" i="23"/>
  <c r="AI28" i="24"/>
  <c r="AG28" i="24"/>
  <c r="AD21" i="25"/>
  <c r="Y21" i="25"/>
  <c r="Z21" i="25"/>
  <c r="AA21" i="25" s="1"/>
  <c r="AB21" i="25" s="1"/>
  <c r="V22" i="25" s="1"/>
  <c r="W21" i="24"/>
  <c r="AC20" i="24"/>
  <c r="X21" i="24" s="1"/>
  <c r="W21" i="23"/>
  <c r="AC20" i="23"/>
  <c r="X21" i="23" s="1"/>
  <c r="AD21" i="22"/>
  <c r="Y21" i="22"/>
  <c r="Z21" i="22"/>
  <c r="AA21" i="22" s="1"/>
  <c r="AB21" i="22" s="1"/>
  <c r="V22" i="22" s="1"/>
  <c r="AO30" i="19"/>
  <c r="W21" i="21"/>
  <c r="AC20" i="21"/>
  <c r="X21" i="21" s="1"/>
  <c r="W21" i="20"/>
  <c r="AG33" i="20"/>
  <c r="AI33" i="20"/>
  <c r="AC20" i="20"/>
  <c r="X21" i="20" s="1"/>
  <c r="W21" i="19"/>
  <c r="AC20" i="19"/>
  <c r="X21" i="19" s="1"/>
  <c r="AK30" i="19"/>
  <c r="AO26" i="13"/>
  <c r="AK26" i="13"/>
  <c r="AG27" i="13" s="1"/>
  <c r="AK29" i="21" l="1"/>
  <c r="AO29" i="21"/>
  <c r="AO31" i="25"/>
  <c r="AK28" i="24"/>
  <c r="AK32" i="22"/>
  <c r="AO32" i="22"/>
  <c r="AK31" i="25"/>
  <c r="AG32" i="23"/>
  <c r="AI32" i="23"/>
  <c r="AO32" i="23" s="1"/>
  <c r="AI29" i="24"/>
  <c r="AG29" i="24"/>
  <c r="AO28" i="24"/>
  <c r="W22" i="25"/>
  <c r="AC21" i="25"/>
  <c r="X22" i="25" s="1"/>
  <c r="AD21" i="24"/>
  <c r="Y21" i="24"/>
  <c r="Z21" i="24"/>
  <c r="AA21" i="24" s="1"/>
  <c r="AB21" i="24" s="1"/>
  <c r="V22" i="24" s="1"/>
  <c r="AI27" i="13"/>
  <c r="AO27" i="13" s="1"/>
  <c r="AD21" i="23"/>
  <c r="Y21" i="23"/>
  <c r="Z21" i="23"/>
  <c r="AA21" i="23" s="1"/>
  <c r="AB21" i="23" s="1"/>
  <c r="V22" i="23" s="1"/>
  <c r="W22" i="22"/>
  <c r="AC21" i="22"/>
  <c r="X22" i="22" s="1"/>
  <c r="AD21" i="21"/>
  <c r="Y21" i="21"/>
  <c r="Z21" i="21"/>
  <c r="AA21" i="21" s="1"/>
  <c r="AB21" i="21" s="1"/>
  <c r="V22" i="21" s="1"/>
  <c r="AO33" i="20"/>
  <c r="AD21" i="20"/>
  <c r="Y21" i="20"/>
  <c r="AK33" i="20"/>
  <c r="Z21" i="20"/>
  <c r="AA21" i="20" s="1"/>
  <c r="AB21" i="20" s="1"/>
  <c r="V22" i="20" s="1"/>
  <c r="AI31" i="19"/>
  <c r="AG31" i="19"/>
  <c r="AD21" i="19"/>
  <c r="Y21" i="19"/>
  <c r="Z21" i="19"/>
  <c r="AA21" i="19" s="1"/>
  <c r="AB21" i="19" s="1"/>
  <c r="V22" i="19" s="1"/>
  <c r="AI30" i="21" l="1"/>
  <c r="AG30" i="21"/>
  <c r="AK30" i="21" s="1"/>
  <c r="AK31" i="19"/>
  <c r="AK29" i="24"/>
  <c r="AG33" i="22"/>
  <c r="AI33" i="22"/>
  <c r="AO33" i="22" s="1"/>
  <c r="AG32" i="25"/>
  <c r="AI32" i="25"/>
  <c r="AK32" i="23"/>
  <c r="AI30" i="24"/>
  <c r="AG30" i="24"/>
  <c r="AO29" i="24"/>
  <c r="AK27" i="13"/>
  <c r="AI28" i="13" s="1"/>
  <c r="AD22" i="25"/>
  <c r="Y22" i="25"/>
  <c r="Z22" i="25"/>
  <c r="AA22" i="25" s="1"/>
  <c r="AB22" i="25" s="1"/>
  <c r="V23" i="25" s="1"/>
  <c r="W22" i="24"/>
  <c r="AC21" i="24"/>
  <c r="X22" i="24" s="1"/>
  <c r="W22" i="23"/>
  <c r="AC21" i="23"/>
  <c r="X22" i="23" s="1"/>
  <c r="AD22" i="22"/>
  <c r="Y22" i="22"/>
  <c r="Z22" i="22"/>
  <c r="AA22" i="22" s="1"/>
  <c r="AB22" i="22" s="1"/>
  <c r="V23" i="22" s="1"/>
  <c r="W22" i="21"/>
  <c r="AC21" i="21"/>
  <c r="X22" i="21" s="1"/>
  <c r="W22" i="20"/>
  <c r="AI34" i="20"/>
  <c r="AG34" i="20"/>
  <c r="AC21" i="20"/>
  <c r="X22" i="20" s="1"/>
  <c r="W22" i="19"/>
  <c r="AC21" i="19"/>
  <c r="X22" i="19" s="1"/>
  <c r="AG32" i="19"/>
  <c r="AI32" i="19"/>
  <c r="AO31" i="19"/>
  <c r="AI31" i="21" l="1"/>
  <c r="AG31" i="21"/>
  <c r="AO30" i="21"/>
  <c r="AO32" i="25"/>
  <c r="AG28" i="13"/>
  <c r="AO28" i="13" s="1"/>
  <c r="AK30" i="24"/>
  <c r="AI31" i="24" s="1"/>
  <c r="AK33" i="22"/>
  <c r="AK32" i="25"/>
  <c r="AG33" i="23"/>
  <c r="AI33" i="23"/>
  <c r="AG31" i="24"/>
  <c r="AO30" i="24"/>
  <c r="W23" i="25"/>
  <c r="AC22" i="25"/>
  <c r="X23" i="25" s="1"/>
  <c r="AD22" i="24"/>
  <c r="Y22" i="24"/>
  <c r="Z22" i="24"/>
  <c r="AA22" i="24" s="1"/>
  <c r="AB22" i="24" s="1"/>
  <c r="V23" i="24" s="1"/>
  <c r="AD22" i="23"/>
  <c r="Y22" i="23"/>
  <c r="Z22" i="23"/>
  <c r="AA22" i="23" s="1"/>
  <c r="AB22" i="23" s="1"/>
  <c r="V23" i="23" s="1"/>
  <c r="W23" i="22"/>
  <c r="AC22" i="22"/>
  <c r="X23" i="22" s="1"/>
  <c r="AD22" i="21"/>
  <c r="Y22" i="21"/>
  <c r="Z22" i="21"/>
  <c r="AA22" i="21" s="1"/>
  <c r="AB22" i="21" s="1"/>
  <c r="V23" i="21" s="1"/>
  <c r="AK34" i="20"/>
  <c r="AI35" i="20" s="1"/>
  <c r="AD22" i="20"/>
  <c r="Y22" i="20"/>
  <c r="AO34" i="20"/>
  <c r="AG35" i="20"/>
  <c r="Z22" i="20"/>
  <c r="AA22" i="20" s="1"/>
  <c r="AB22" i="20" s="1"/>
  <c r="V23" i="20" s="1"/>
  <c r="AO32" i="19"/>
  <c r="AK32" i="19"/>
  <c r="AD22" i="19"/>
  <c r="Y22" i="19"/>
  <c r="Z22" i="19"/>
  <c r="AA22" i="19" s="1"/>
  <c r="AB22" i="19" s="1"/>
  <c r="V23" i="19" s="1"/>
  <c r="AK31" i="21" l="1"/>
  <c r="AI32" i="21"/>
  <c r="AG32" i="21"/>
  <c r="AK32" i="21" s="1"/>
  <c r="AO31" i="21"/>
  <c r="AO33" i="23"/>
  <c r="AK28" i="13"/>
  <c r="AG29" i="13" s="1"/>
  <c r="AO31" i="24"/>
  <c r="AG34" i="22"/>
  <c r="AI34" i="22"/>
  <c r="AO34" i="22" s="1"/>
  <c r="AI33" i="25"/>
  <c r="AG33" i="25"/>
  <c r="AK33" i="23"/>
  <c r="AK31" i="24"/>
  <c r="AD23" i="25"/>
  <c r="Y23" i="25"/>
  <c r="Z23" i="25"/>
  <c r="AA23" i="25" s="1"/>
  <c r="AB23" i="25" s="1"/>
  <c r="V24" i="25" s="1"/>
  <c r="W23" i="24"/>
  <c r="AC22" i="24"/>
  <c r="X23" i="24" s="1"/>
  <c r="W23" i="23"/>
  <c r="AC22" i="23"/>
  <c r="X23" i="23" s="1"/>
  <c r="AD23" i="22"/>
  <c r="Y23" i="22"/>
  <c r="Z23" i="22"/>
  <c r="AA23" i="22" s="1"/>
  <c r="AB23" i="22" s="1"/>
  <c r="V24" i="22" s="1"/>
  <c r="W23" i="21"/>
  <c r="AC22" i="21"/>
  <c r="X23" i="21" s="1"/>
  <c r="AK35" i="20"/>
  <c r="AG36" i="20" s="1"/>
  <c r="W23" i="20"/>
  <c r="AO35" i="20"/>
  <c r="AC22" i="20"/>
  <c r="X23" i="20" s="1"/>
  <c r="W23" i="19"/>
  <c r="AC22" i="19"/>
  <c r="X23" i="19" s="1"/>
  <c r="AG33" i="19"/>
  <c r="AI33" i="19"/>
  <c r="AI29" i="13"/>
  <c r="AK29" i="13" s="1"/>
  <c r="AK33" i="25" l="1"/>
  <c r="AG33" i="21"/>
  <c r="AI33" i="21"/>
  <c r="AO33" i="21" s="1"/>
  <c r="AO32" i="21"/>
  <c r="AI36" i="20"/>
  <c r="AK36" i="20" s="1"/>
  <c r="AK34" i="22"/>
  <c r="AI34" i="25"/>
  <c r="AG34" i="25"/>
  <c r="AO33" i="25"/>
  <c r="AI34" i="23"/>
  <c r="AG34" i="23"/>
  <c r="AK34" i="23" s="1"/>
  <c r="AG32" i="24"/>
  <c r="AI32" i="24"/>
  <c r="W24" i="25"/>
  <c r="AC23" i="25"/>
  <c r="X24" i="25" s="1"/>
  <c r="AD23" i="24"/>
  <c r="Y23" i="24"/>
  <c r="Z23" i="24"/>
  <c r="AA23" i="24" s="1"/>
  <c r="AB23" i="24" s="1"/>
  <c r="V24" i="24" s="1"/>
  <c r="AD23" i="23"/>
  <c r="Y23" i="23"/>
  <c r="Z23" i="23"/>
  <c r="AA23" i="23" s="1"/>
  <c r="AB23" i="23" s="1"/>
  <c r="V24" i="23" s="1"/>
  <c r="W24" i="22"/>
  <c r="AC23" i="22"/>
  <c r="X24" i="22" s="1"/>
  <c r="AD23" i="21"/>
  <c r="Y23" i="21"/>
  <c r="Z23" i="21"/>
  <c r="AA23" i="21" s="1"/>
  <c r="AB23" i="21" s="1"/>
  <c r="V24" i="21" s="1"/>
  <c r="AO33" i="19"/>
  <c r="AD23" i="20"/>
  <c r="Y23" i="20"/>
  <c r="AO36" i="20"/>
  <c r="Z23" i="20"/>
  <c r="AA23" i="20" s="1"/>
  <c r="AB23" i="20" s="1"/>
  <c r="V24" i="20" s="1"/>
  <c r="AK33" i="19"/>
  <c r="AD23" i="19"/>
  <c r="Y23" i="19"/>
  <c r="Z23" i="19"/>
  <c r="AA23" i="19" s="1"/>
  <c r="AB23" i="19" s="1"/>
  <c r="V24" i="19" s="1"/>
  <c r="AO29" i="13"/>
  <c r="AG30" i="13"/>
  <c r="AI30" i="13"/>
  <c r="AK34" i="25" l="1"/>
  <c r="AK33" i="21"/>
  <c r="AG37" i="20"/>
  <c r="AI37" i="20"/>
  <c r="AK37" i="20" s="1"/>
  <c r="AG35" i="22"/>
  <c r="AI35" i="22"/>
  <c r="AO35" i="22" s="1"/>
  <c r="AG35" i="25"/>
  <c r="AI35" i="25"/>
  <c r="AO34" i="25"/>
  <c r="AG35" i="23"/>
  <c r="AI35" i="23"/>
  <c r="AO35" i="23" s="1"/>
  <c r="AO34" i="23"/>
  <c r="AO32" i="24"/>
  <c r="AK32" i="24"/>
  <c r="AD24" i="25"/>
  <c r="Y24" i="25"/>
  <c r="Z24" i="25"/>
  <c r="AA24" i="25" s="1"/>
  <c r="AB24" i="25" s="1"/>
  <c r="V25" i="25" s="1"/>
  <c r="W24" i="24"/>
  <c r="AC23" i="24"/>
  <c r="X24" i="24" s="1"/>
  <c r="W24" i="23"/>
  <c r="AC23" i="23"/>
  <c r="X24" i="23" s="1"/>
  <c r="AD24" i="22"/>
  <c r="Y24" i="22"/>
  <c r="Z24" i="22"/>
  <c r="AA24" i="22" s="1"/>
  <c r="AB24" i="22" s="1"/>
  <c r="V25" i="22" s="1"/>
  <c r="W24" i="21"/>
  <c r="AC23" i="21"/>
  <c r="X24" i="21" s="1"/>
  <c r="W24" i="20"/>
  <c r="AC23" i="20"/>
  <c r="X24" i="20" s="1"/>
  <c r="W24" i="19"/>
  <c r="AC23" i="19"/>
  <c r="X24" i="19" s="1"/>
  <c r="AI34" i="19"/>
  <c r="AG34" i="19"/>
  <c r="AK30" i="13"/>
  <c r="AO30" i="13"/>
  <c r="AO37" i="20" l="1"/>
  <c r="AG34" i="21"/>
  <c r="AI34" i="21"/>
  <c r="AO34" i="21" s="1"/>
  <c r="AI38" i="20"/>
  <c r="AG38" i="20"/>
  <c r="AO35" i="25"/>
  <c r="AK35" i="22"/>
  <c r="AK35" i="25"/>
  <c r="AK35" i="23"/>
  <c r="AG33" i="24"/>
  <c r="AI33" i="24"/>
  <c r="W25" i="25"/>
  <c r="AC24" i="25"/>
  <c r="X25" i="25" s="1"/>
  <c r="AD24" i="24"/>
  <c r="Y24" i="24"/>
  <c r="Z24" i="24"/>
  <c r="AA24" i="24" s="1"/>
  <c r="AB24" i="24" s="1"/>
  <c r="V25" i="24" s="1"/>
  <c r="AD24" i="23"/>
  <c r="Y24" i="23"/>
  <c r="Z24" i="23"/>
  <c r="AA24" i="23" s="1"/>
  <c r="AB24" i="23" s="1"/>
  <c r="V25" i="23" s="1"/>
  <c r="W25" i="22"/>
  <c r="AC24" i="22"/>
  <c r="X25" i="22" s="1"/>
  <c r="AD24" i="21"/>
  <c r="Y24" i="21"/>
  <c r="Z24" i="21"/>
  <c r="AA24" i="21" s="1"/>
  <c r="AB24" i="21" s="1"/>
  <c r="V25" i="21" s="1"/>
  <c r="AD24" i="20"/>
  <c r="Y24" i="20"/>
  <c r="Z24" i="20"/>
  <c r="AA24" i="20" s="1"/>
  <c r="AB24" i="20" s="1"/>
  <c r="V25" i="20" s="1"/>
  <c r="AO34" i="19"/>
  <c r="AK34" i="19"/>
  <c r="AG35" i="19" s="1"/>
  <c r="AD24" i="19"/>
  <c r="Y24" i="19"/>
  <c r="Z24" i="19"/>
  <c r="AA24" i="19" s="1"/>
  <c r="AB24" i="19" s="1"/>
  <c r="V25" i="19" s="1"/>
  <c r="AG31" i="13"/>
  <c r="AI31" i="13"/>
  <c r="AO33" i="24" l="1"/>
  <c r="AO38" i="20"/>
  <c r="AK34" i="21"/>
  <c r="AK38" i="20"/>
  <c r="AI39" i="20" s="1"/>
  <c r="AG36" i="22"/>
  <c r="AI36" i="22"/>
  <c r="AI36" i="25"/>
  <c r="AG36" i="25"/>
  <c r="AI36" i="23"/>
  <c r="AG36" i="23"/>
  <c r="AK33" i="24"/>
  <c r="AD25" i="25"/>
  <c r="Y25" i="25"/>
  <c r="Z25" i="25"/>
  <c r="AA25" i="25" s="1"/>
  <c r="AB25" i="25" s="1"/>
  <c r="V26" i="25" s="1"/>
  <c r="W25" i="24"/>
  <c r="AC24" i="24"/>
  <c r="X25" i="24" s="1"/>
  <c r="W25" i="23"/>
  <c r="AC24" i="23"/>
  <c r="X25" i="23" s="1"/>
  <c r="AD25" i="22"/>
  <c r="Y25" i="22"/>
  <c r="Z25" i="22"/>
  <c r="AA25" i="22" s="1"/>
  <c r="AB25" i="22" s="1"/>
  <c r="V26" i="22" s="1"/>
  <c r="AI35" i="19"/>
  <c r="AO35" i="19" s="1"/>
  <c r="W25" i="21"/>
  <c r="AC24" i="21"/>
  <c r="X25" i="21" s="1"/>
  <c r="W25" i="20"/>
  <c r="AC24" i="20"/>
  <c r="X25" i="20" s="1"/>
  <c r="W25" i="19"/>
  <c r="AC24" i="19"/>
  <c r="X25" i="19" s="1"/>
  <c r="AK31" i="13"/>
  <c r="AO31" i="13"/>
  <c r="AK36" i="25" l="1"/>
  <c r="AG39" i="20"/>
  <c r="AG35" i="21"/>
  <c r="AI35" i="21"/>
  <c r="AK36" i="23"/>
  <c r="AO36" i="22"/>
  <c r="AK36" i="22"/>
  <c r="AG37" i="25"/>
  <c r="AI37" i="25"/>
  <c r="AO37" i="25" s="1"/>
  <c r="AO36" i="25"/>
  <c r="AG37" i="23"/>
  <c r="AI37" i="23"/>
  <c r="AO37" i="23" s="1"/>
  <c r="AO36" i="23"/>
  <c r="AG34" i="24"/>
  <c r="AI34" i="24"/>
  <c r="W26" i="25"/>
  <c r="AC25" i="25"/>
  <c r="X26" i="25" s="1"/>
  <c r="AD25" i="24"/>
  <c r="Y25" i="24"/>
  <c r="Z25" i="24"/>
  <c r="AA25" i="24" s="1"/>
  <c r="AB25" i="24" s="1"/>
  <c r="V26" i="24" s="1"/>
  <c r="AD25" i="23"/>
  <c r="Y25" i="23"/>
  <c r="Z25" i="23"/>
  <c r="AA25" i="23" s="1"/>
  <c r="AB25" i="23" s="1"/>
  <c r="V26" i="23" s="1"/>
  <c r="AK35" i="19"/>
  <c r="AG36" i="19" s="1"/>
  <c r="W26" i="22"/>
  <c r="AC25" i="22"/>
  <c r="X26" i="22" s="1"/>
  <c r="AD25" i="21"/>
  <c r="Y25" i="21"/>
  <c r="Z25" i="21"/>
  <c r="AA25" i="21" s="1"/>
  <c r="AB25" i="21" s="1"/>
  <c r="V26" i="21" s="1"/>
  <c r="AK39" i="20"/>
  <c r="AG40" i="20" s="1"/>
  <c r="AD25" i="20"/>
  <c r="Y25" i="20"/>
  <c r="AO39" i="20"/>
  <c r="Z25" i="20"/>
  <c r="AA25" i="20" s="1"/>
  <c r="AB25" i="20" s="1"/>
  <c r="V26" i="20" s="1"/>
  <c r="AD25" i="19"/>
  <c r="Y25" i="19"/>
  <c r="Z25" i="19"/>
  <c r="AA25" i="19" s="1"/>
  <c r="AB25" i="19" s="1"/>
  <c r="V26" i="19" s="1"/>
  <c r="AG32" i="13"/>
  <c r="AI32" i="13"/>
  <c r="AK35" i="21" l="1"/>
  <c r="AO35" i="21"/>
  <c r="AO34" i="24"/>
  <c r="AG37" i="22"/>
  <c r="AI37" i="22"/>
  <c r="AO37" i="22" s="1"/>
  <c r="AK37" i="25"/>
  <c r="AK37" i="23"/>
  <c r="AK34" i="24"/>
  <c r="AI36" i="19"/>
  <c r="AK36" i="19" s="1"/>
  <c r="AD26" i="25"/>
  <c r="Y26" i="25"/>
  <c r="Z26" i="25"/>
  <c r="AA26" i="25" s="1"/>
  <c r="AB26" i="25" s="1"/>
  <c r="V27" i="25" s="1"/>
  <c r="W26" i="24"/>
  <c r="AC25" i="24"/>
  <c r="X26" i="24" s="1"/>
  <c r="AI40" i="20"/>
  <c r="AO40" i="20" s="1"/>
  <c r="W26" i="23"/>
  <c r="AC25" i="23"/>
  <c r="X26" i="23" s="1"/>
  <c r="AD26" i="22"/>
  <c r="Y26" i="22"/>
  <c r="Z26" i="22"/>
  <c r="AA26" i="22" s="1"/>
  <c r="AB26" i="22" s="1"/>
  <c r="V27" i="22" s="1"/>
  <c r="W26" i="21"/>
  <c r="AC25" i="21"/>
  <c r="X26" i="21" s="1"/>
  <c r="W26" i="20"/>
  <c r="AC25" i="20"/>
  <c r="X26" i="20" s="1"/>
  <c r="W26" i="19"/>
  <c r="AC25" i="19"/>
  <c r="X26" i="19" s="1"/>
  <c r="AO32" i="13"/>
  <c r="AK32" i="13"/>
  <c r="AG36" i="21" l="1"/>
  <c r="AI36" i="21"/>
  <c r="AO36" i="21" s="1"/>
  <c r="AO36" i="19"/>
  <c r="AK37" i="22"/>
  <c r="AG38" i="25"/>
  <c r="AI38" i="25"/>
  <c r="AO38" i="25" s="1"/>
  <c r="AG38" i="23"/>
  <c r="AI38" i="23"/>
  <c r="AO38" i="23" s="1"/>
  <c r="AG35" i="24"/>
  <c r="AI35" i="24"/>
  <c r="AK40" i="20"/>
  <c r="AG41" i="20" s="1"/>
  <c r="W27" i="25"/>
  <c r="AC26" i="25"/>
  <c r="X27" i="25" s="1"/>
  <c r="AD26" i="24"/>
  <c r="Y26" i="24"/>
  <c r="Z26" i="24"/>
  <c r="AA26" i="24" s="1"/>
  <c r="AB26" i="24" s="1"/>
  <c r="V27" i="24" s="1"/>
  <c r="AD26" i="23"/>
  <c r="Y26" i="23"/>
  <c r="Z26" i="23"/>
  <c r="AA26" i="23" s="1"/>
  <c r="AB26" i="23" s="1"/>
  <c r="V27" i="23" s="1"/>
  <c r="W27" i="22"/>
  <c r="AC26" i="22"/>
  <c r="X27" i="22" s="1"/>
  <c r="AD26" i="21"/>
  <c r="Y26" i="21"/>
  <c r="Z26" i="21"/>
  <c r="AA26" i="21" s="1"/>
  <c r="AB26" i="21" s="1"/>
  <c r="V27" i="21" s="1"/>
  <c r="AD26" i="20"/>
  <c r="Y26" i="20"/>
  <c r="Z26" i="20"/>
  <c r="AA26" i="20" s="1"/>
  <c r="AB26" i="20" s="1"/>
  <c r="V27" i="20" s="1"/>
  <c r="AD26" i="19"/>
  <c r="Y26" i="19"/>
  <c r="AI37" i="19"/>
  <c r="AG37" i="19"/>
  <c r="Z26" i="19"/>
  <c r="AA26" i="19" s="1"/>
  <c r="AB26" i="19" s="1"/>
  <c r="V27" i="19" s="1"/>
  <c r="AG33" i="13"/>
  <c r="AI33" i="13"/>
  <c r="AK36" i="21" l="1"/>
  <c r="AI41" i="20"/>
  <c r="AO41" i="20" s="1"/>
  <c r="AO35" i="24"/>
  <c r="AG38" i="22"/>
  <c r="AI38" i="22"/>
  <c r="AO38" i="22" s="1"/>
  <c r="AK38" i="25"/>
  <c r="AK38" i="23"/>
  <c r="AK41" i="20"/>
  <c r="AI42" i="20" s="1"/>
  <c r="AK35" i="24"/>
  <c r="AD27" i="25"/>
  <c r="Y27" i="25"/>
  <c r="Z27" i="25"/>
  <c r="AA27" i="25" s="1"/>
  <c r="AB27" i="25" s="1"/>
  <c r="V28" i="25" s="1"/>
  <c r="W27" i="24"/>
  <c r="AC26" i="24"/>
  <c r="X27" i="24" s="1"/>
  <c r="W27" i="23"/>
  <c r="AC26" i="23"/>
  <c r="X27" i="23" s="1"/>
  <c r="AD27" i="22"/>
  <c r="Y27" i="22"/>
  <c r="Z27" i="22"/>
  <c r="AA27" i="22" s="1"/>
  <c r="AB27" i="22" s="1"/>
  <c r="V28" i="22" s="1"/>
  <c r="W27" i="21"/>
  <c r="AC26" i="21"/>
  <c r="X27" i="21" s="1"/>
  <c r="AK37" i="19"/>
  <c r="AG38" i="19" s="1"/>
  <c r="W27" i="20"/>
  <c r="AC26" i="20"/>
  <c r="X27" i="20" s="1"/>
  <c r="W27" i="19"/>
  <c r="AO37" i="19"/>
  <c r="AC26" i="19"/>
  <c r="X27" i="19" s="1"/>
  <c r="AK33" i="13"/>
  <c r="AO33" i="13"/>
  <c r="AI37" i="21" l="1"/>
  <c r="AG37" i="21"/>
  <c r="AK37" i="21" s="1"/>
  <c r="AG42" i="20"/>
  <c r="AO42" i="20" s="1"/>
  <c r="AK38" i="22"/>
  <c r="AI39" i="25"/>
  <c r="AG39" i="25"/>
  <c r="AK39" i="25" s="1"/>
  <c r="AG39" i="23"/>
  <c r="AI39" i="23"/>
  <c r="AI36" i="24"/>
  <c r="AG36" i="24"/>
  <c r="W28" i="25"/>
  <c r="AC27" i="25"/>
  <c r="X28" i="25" s="1"/>
  <c r="AD27" i="24"/>
  <c r="Y27" i="24"/>
  <c r="Z27" i="24"/>
  <c r="AA27" i="24" s="1"/>
  <c r="AB27" i="24" s="1"/>
  <c r="V28" i="24" s="1"/>
  <c r="AD27" i="23"/>
  <c r="Y27" i="23"/>
  <c r="Z27" i="23"/>
  <c r="AA27" i="23" s="1"/>
  <c r="AB27" i="23" s="1"/>
  <c r="V28" i="23" s="1"/>
  <c r="AI38" i="19"/>
  <c r="AO38" i="19" s="1"/>
  <c r="W28" i="22"/>
  <c r="AC27" i="22"/>
  <c r="X28" i="22" s="1"/>
  <c r="AD27" i="21"/>
  <c r="Y27" i="21"/>
  <c r="Z27" i="21"/>
  <c r="AA27" i="21" s="1"/>
  <c r="AB27" i="21" s="1"/>
  <c r="V28" i="21" s="1"/>
  <c r="AD27" i="20"/>
  <c r="Y27" i="20"/>
  <c r="Z27" i="20"/>
  <c r="AA27" i="20" s="1"/>
  <c r="AB27" i="20" s="1"/>
  <c r="V28" i="20" s="1"/>
  <c r="AD27" i="19"/>
  <c r="Y27" i="19"/>
  <c r="Z27" i="19"/>
  <c r="AA27" i="19" s="1"/>
  <c r="AB27" i="19" s="1"/>
  <c r="V28" i="19" s="1"/>
  <c r="AG34" i="13"/>
  <c r="AI34" i="13"/>
  <c r="AI38" i="21" l="1"/>
  <c r="AG38" i="21"/>
  <c r="AK38" i="21" s="1"/>
  <c r="AO37" i="21"/>
  <c r="AK36" i="24"/>
  <c r="AG37" i="24" s="1"/>
  <c r="AK42" i="20"/>
  <c r="AI43" i="20" s="1"/>
  <c r="AO39" i="23"/>
  <c r="AG39" i="22"/>
  <c r="AI39" i="22"/>
  <c r="AI40" i="25"/>
  <c r="AG40" i="25"/>
  <c r="AO39" i="25"/>
  <c r="AK39" i="23"/>
  <c r="AO36" i="24"/>
  <c r="AK38" i="19"/>
  <c r="AG39" i="19" s="1"/>
  <c r="AD28" i="25"/>
  <c r="Y28" i="25"/>
  <c r="Z28" i="25"/>
  <c r="AA28" i="25" s="1"/>
  <c r="AB28" i="25" s="1"/>
  <c r="V29" i="25" s="1"/>
  <c r="W28" i="24"/>
  <c r="AC27" i="24"/>
  <c r="X28" i="24" s="1"/>
  <c r="W28" i="23"/>
  <c r="AC27" i="23"/>
  <c r="X28" i="23" s="1"/>
  <c r="AD28" i="22"/>
  <c r="Y28" i="22"/>
  <c r="Z28" i="22"/>
  <c r="AA28" i="22" s="1"/>
  <c r="AB28" i="22" s="1"/>
  <c r="V29" i="22" s="1"/>
  <c r="W28" i="21"/>
  <c r="AC27" i="21"/>
  <c r="X28" i="21" s="1"/>
  <c r="W28" i="20"/>
  <c r="AC27" i="20"/>
  <c r="X28" i="20" s="1"/>
  <c r="W28" i="19"/>
  <c r="AC27" i="19"/>
  <c r="X28" i="19" s="1"/>
  <c r="AO34" i="13"/>
  <c r="AK34" i="13"/>
  <c r="AG43" i="20" l="1"/>
  <c r="AI37" i="24"/>
  <c r="AG39" i="21"/>
  <c r="AI39" i="21"/>
  <c r="AO39" i="21" s="1"/>
  <c r="AO38" i="21"/>
  <c r="AK40" i="25"/>
  <c r="AK39" i="22"/>
  <c r="AO39" i="22"/>
  <c r="AG41" i="25"/>
  <c r="AI41" i="25"/>
  <c r="AO41" i="25" s="1"/>
  <c r="AO40" i="25"/>
  <c r="AG40" i="23"/>
  <c r="AI40" i="23"/>
  <c r="AI39" i="19"/>
  <c r="AK39" i="19" s="1"/>
  <c r="AG40" i="19" s="1"/>
  <c r="AK37" i="24"/>
  <c r="AO37" i="24"/>
  <c r="W29" i="25"/>
  <c r="AC28" i="25"/>
  <c r="X29" i="25" s="1"/>
  <c r="AD28" i="24"/>
  <c r="Y28" i="24"/>
  <c r="Z28" i="24"/>
  <c r="AA28" i="24" s="1"/>
  <c r="AB28" i="24" s="1"/>
  <c r="V29" i="24" s="1"/>
  <c r="AD28" i="23"/>
  <c r="Y28" i="23"/>
  <c r="Z28" i="23"/>
  <c r="AA28" i="23" s="1"/>
  <c r="AB28" i="23" s="1"/>
  <c r="V29" i="23" s="1"/>
  <c r="W29" i="22"/>
  <c r="AC28" i="22"/>
  <c r="X29" i="22" s="1"/>
  <c r="AD28" i="21"/>
  <c r="Y28" i="21"/>
  <c r="Z28" i="21"/>
  <c r="AA28" i="21" s="1"/>
  <c r="AB28" i="21" s="1"/>
  <c r="V29" i="21" s="1"/>
  <c r="AK43" i="20"/>
  <c r="AI44" i="20" s="1"/>
  <c r="AD28" i="20"/>
  <c r="Y28" i="20"/>
  <c r="AO43" i="20"/>
  <c r="Z28" i="20"/>
  <c r="AA28" i="20" s="1"/>
  <c r="AB28" i="20" s="1"/>
  <c r="V29" i="20" s="1"/>
  <c r="AD28" i="19"/>
  <c r="Y28" i="19"/>
  <c r="Z28" i="19"/>
  <c r="AA28" i="19" s="1"/>
  <c r="AB28" i="19" s="1"/>
  <c r="V29" i="19" s="1"/>
  <c r="AG35" i="13"/>
  <c r="AI35" i="13"/>
  <c r="AK39" i="21" l="1"/>
  <c r="AO40" i="23"/>
  <c r="AO39" i="19"/>
  <c r="AI40" i="22"/>
  <c r="AG40" i="22"/>
  <c r="AK41" i="25"/>
  <c r="AK40" i="23"/>
  <c r="AG38" i="24"/>
  <c r="AI38" i="24"/>
  <c r="AI40" i="19"/>
  <c r="AK40" i="19" s="1"/>
  <c r="AD29" i="25"/>
  <c r="Y29" i="25"/>
  <c r="Z29" i="25"/>
  <c r="AA29" i="25" s="1"/>
  <c r="AB29" i="25" s="1"/>
  <c r="V30" i="25" s="1"/>
  <c r="W29" i="24"/>
  <c r="AC28" i="24"/>
  <c r="X29" i="24" s="1"/>
  <c r="AG44" i="20"/>
  <c r="AK44" i="20" s="1"/>
  <c r="W29" i="23"/>
  <c r="AC28" i="23"/>
  <c r="X29" i="23" s="1"/>
  <c r="AD29" i="22"/>
  <c r="Y29" i="22"/>
  <c r="Z29" i="22"/>
  <c r="AA29" i="22" s="1"/>
  <c r="AB29" i="22" s="1"/>
  <c r="V30" i="22" s="1"/>
  <c r="W29" i="21"/>
  <c r="AC28" i="21"/>
  <c r="X29" i="21" s="1"/>
  <c r="W29" i="20"/>
  <c r="AC28" i="20"/>
  <c r="X29" i="20" s="1"/>
  <c r="W29" i="19"/>
  <c r="AC28" i="19"/>
  <c r="X29" i="19" s="1"/>
  <c r="AO35" i="13"/>
  <c r="AK35" i="13"/>
  <c r="AG40" i="21" l="1"/>
  <c r="AI40" i="21"/>
  <c r="AO40" i="19"/>
  <c r="AK40" i="22"/>
  <c r="AG41" i="22"/>
  <c r="AI41" i="22"/>
  <c r="AO41" i="22" s="1"/>
  <c r="AO40" i="22"/>
  <c r="AG42" i="25"/>
  <c r="AI42" i="25"/>
  <c r="AG41" i="23"/>
  <c r="AI41" i="23"/>
  <c r="AK38" i="24"/>
  <c r="AO38" i="24"/>
  <c r="AO44" i="20"/>
  <c r="W30" i="25"/>
  <c r="AC29" i="25"/>
  <c r="X30" i="25" s="1"/>
  <c r="AD29" i="24"/>
  <c r="Y29" i="24"/>
  <c r="Z29" i="24"/>
  <c r="AA29" i="24" s="1"/>
  <c r="AB29" i="24" s="1"/>
  <c r="V30" i="24" s="1"/>
  <c r="AD29" i="23"/>
  <c r="Y29" i="23"/>
  <c r="Z29" i="23"/>
  <c r="AA29" i="23" s="1"/>
  <c r="AB29" i="23" s="1"/>
  <c r="V30" i="23" s="1"/>
  <c r="W30" i="22"/>
  <c r="AC29" i="22"/>
  <c r="X30" i="22" s="1"/>
  <c r="AD29" i="21"/>
  <c r="Y29" i="21"/>
  <c r="Z29" i="21"/>
  <c r="AA29" i="21" s="1"/>
  <c r="AB29" i="21" s="1"/>
  <c r="V30" i="21" s="1"/>
  <c r="AD29" i="20"/>
  <c r="Y29" i="20"/>
  <c r="Z29" i="20"/>
  <c r="AA29" i="20" s="1"/>
  <c r="AB29" i="20" s="1"/>
  <c r="V30" i="20" s="1"/>
  <c r="AD29" i="19"/>
  <c r="Y29" i="19"/>
  <c r="AI41" i="19"/>
  <c r="AG41" i="19"/>
  <c r="Z29" i="19"/>
  <c r="AA29" i="19" s="1"/>
  <c r="AB29" i="19" s="1"/>
  <c r="V30" i="19" s="1"/>
  <c r="AG36" i="13"/>
  <c r="AI36" i="13"/>
  <c r="AO40" i="21" l="1"/>
  <c r="AK40" i="21"/>
  <c r="AO42" i="25"/>
  <c r="AO41" i="23"/>
  <c r="AK41" i="22"/>
  <c r="AK42" i="25"/>
  <c r="AK41" i="23"/>
  <c r="AG39" i="24"/>
  <c r="AI39" i="24"/>
  <c r="AD30" i="25"/>
  <c r="Y30" i="25"/>
  <c r="Z30" i="25"/>
  <c r="AA30" i="25" s="1"/>
  <c r="AB30" i="25" s="1"/>
  <c r="V31" i="25" s="1"/>
  <c r="W30" i="24"/>
  <c r="AC29" i="24"/>
  <c r="X30" i="24" s="1"/>
  <c r="W30" i="23"/>
  <c r="AC29" i="23"/>
  <c r="X30" i="23" s="1"/>
  <c r="AD30" i="22"/>
  <c r="Y30" i="22"/>
  <c r="Z30" i="22"/>
  <c r="AA30" i="22" s="1"/>
  <c r="AB30" i="22" s="1"/>
  <c r="V31" i="22" s="1"/>
  <c r="W30" i="21"/>
  <c r="AC29" i="21"/>
  <c r="X30" i="21" s="1"/>
  <c r="AK41" i="19"/>
  <c r="AI42" i="19" s="1"/>
  <c r="W30" i="20"/>
  <c r="AC29" i="20"/>
  <c r="X30" i="20" s="1"/>
  <c r="W30" i="19"/>
  <c r="AO41" i="19"/>
  <c r="AC29" i="19"/>
  <c r="X30" i="19" s="1"/>
  <c r="AO36" i="13"/>
  <c r="AK36" i="13"/>
  <c r="AI41" i="21" l="1"/>
  <c r="AG41" i="21"/>
  <c r="AK41" i="21" s="1"/>
  <c r="AO39" i="24"/>
  <c r="AG42" i="22"/>
  <c r="AI42" i="22"/>
  <c r="AI43" i="25"/>
  <c r="AG43" i="25"/>
  <c r="AK43" i="25" s="1"/>
  <c r="AG42" i="23"/>
  <c r="AI42" i="23"/>
  <c r="AO42" i="23" s="1"/>
  <c r="AK39" i="24"/>
  <c r="W31" i="25"/>
  <c r="AC30" i="25"/>
  <c r="X31" i="25" s="1"/>
  <c r="AD30" i="24"/>
  <c r="Y30" i="24"/>
  <c r="Z30" i="24"/>
  <c r="AA30" i="24" s="1"/>
  <c r="AB30" i="24" s="1"/>
  <c r="V31" i="24" s="1"/>
  <c r="AG42" i="19"/>
  <c r="AO42" i="19" s="1"/>
  <c r="AD30" i="23"/>
  <c r="Y30" i="23"/>
  <c r="Z30" i="23"/>
  <c r="AA30" i="23" s="1"/>
  <c r="AB30" i="23" s="1"/>
  <c r="V31" i="23" s="1"/>
  <c r="W31" i="22"/>
  <c r="AC30" i="22"/>
  <c r="X31" i="22" s="1"/>
  <c r="AD30" i="21"/>
  <c r="Y30" i="21"/>
  <c r="Z30" i="21"/>
  <c r="AA30" i="21" s="1"/>
  <c r="AB30" i="21" s="1"/>
  <c r="V31" i="21" s="1"/>
  <c r="AD30" i="20"/>
  <c r="Y30" i="20"/>
  <c r="Z30" i="20"/>
  <c r="AA30" i="20" s="1"/>
  <c r="AB30" i="20" s="1"/>
  <c r="V31" i="20" s="1"/>
  <c r="AD30" i="19"/>
  <c r="Y30" i="19"/>
  <c r="Z30" i="19"/>
  <c r="AA30" i="19" s="1"/>
  <c r="AB30" i="19" s="1"/>
  <c r="V31" i="19" s="1"/>
  <c r="AG37" i="13"/>
  <c r="AI37" i="13"/>
  <c r="AG42" i="21" l="1"/>
  <c r="AI42" i="21"/>
  <c r="AO42" i="21" s="1"/>
  <c r="AO41" i="21"/>
  <c r="AK42" i="22"/>
  <c r="AO42" i="22"/>
  <c r="AG44" i="25"/>
  <c r="AI44" i="25"/>
  <c r="AO43" i="25"/>
  <c r="AK42" i="23"/>
  <c r="AK42" i="19"/>
  <c r="AI43" i="19" s="1"/>
  <c r="AI40" i="24"/>
  <c r="AG40" i="24"/>
  <c r="AD31" i="25"/>
  <c r="Y31" i="25"/>
  <c r="Z31" i="25"/>
  <c r="AA31" i="25" s="1"/>
  <c r="AB31" i="25" s="1"/>
  <c r="V32" i="25" s="1"/>
  <c r="W31" i="24"/>
  <c r="AC30" i="24"/>
  <c r="X31" i="24" s="1"/>
  <c r="W31" i="23"/>
  <c r="AC30" i="23"/>
  <c r="X31" i="23" s="1"/>
  <c r="AD31" i="22"/>
  <c r="Y31" i="22"/>
  <c r="Z31" i="22"/>
  <c r="AA31" i="22" s="1"/>
  <c r="AB31" i="22" s="1"/>
  <c r="V32" i="22" s="1"/>
  <c r="W31" i="21"/>
  <c r="AC30" i="21"/>
  <c r="X31" i="21" s="1"/>
  <c r="W31" i="20"/>
  <c r="AC30" i="20"/>
  <c r="X31" i="20" s="1"/>
  <c r="W31" i="19"/>
  <c r="AC30" i="19"/>
  <c r="X31" i="19" s="1"/>
  <c r="AO37" i="13"/>
  <c r="AK37" i="13"/>
  <c r="AK42" i="21" l="1"/>
  <c r="AO44" i="25"/>
  <c r="AK40" i="24"/>
  <c r="AI43" i="22"/>
  <c r="AG43" i="22"/>
  <c r="AK43" i="22" s="1"/>
  <c r="AG43" i="19"/>
  <c r="AK43" i="19" s="1"/>
  <c r="AG44" i="19" s="1"/>
  <c r="AK44" i="25"/>
  <c r="AG43" i="23"/>
  <c r="AI43" i="23"/>
  <c r="AO43" i="23" s="1"/>
  <c r="AG41" i="24"/>
  <c r="AI41" i="24"/>
  <c r="AO40" i="24"/>
  <c r="W32" i="25"/>
  <c r="AC31" i="25"/>
  <c r="X32" i="25" s="1"/>
  <c r="AD31" i="24"/>
  <c r="Y31" i="24"/>
  <c r="Z31" i="24"/>
  <c r="AA31" i="24" s="1"/>
  <c r="AB31" i="24" s="1"/>
  <c r="V32" i="24" s="1"/>
  <c r="AD31" i="23"/>
  <c r="Y31" i="23"/>
  <c r="Z31" i="23"/>
  <c r="AA31" i="23" s="1"/>
  <c r="AB31" i="23" s="1"/>
  <c r="V32" i="23" s="1"/>
  <c r="W32" i="22"/>
  <c r="AC31" i="22"/>
  <c r="X32" i="22" s="1"/>
  <c r="AD31" i="21"/>
  <c r="Y31" i="21"/>
  <c r="Z31" i="21"/>
  <c r="AA31" i="21" s="1"/>
  <c r="AB31" i="21" s="1"/>
  <c r="V32" i="21" s="1"/>
  <c r="AD31" i="20"/>
  <c r="Y31" i="20"/>
  <c r="Z31" i="20"/>
  <c r="AA31" i="20" s="1"/>
  <c r="AB31" i="20" s="1"/>
  <c r="V32" i="20" s="1"/>
  <c r="AD31" i="19"/>
  <c r="Y31" i="19"/>
  <c r="AO43" i="19"/>
  <c r="Z31" i="19"/>
  <c r="AA31" i="19" s="1"/>
  <c r="AB31" i="19" s="1"/>
  <c r="V32" i="19" s="1"/>
  <c r="AI38" i="13"/>
  <c r="AG38" i="13"/>
  <c r="AI43" i="21" l="1"/>
  <c r="AG43" i="21"/>
  <c r="AK43" i="21" s="1"/>
  <c r="AG44" i="22"/>
  <c r="AI44" i="22"/>
  <c r="AO43" i="22"/>
  <c r="AK43" i="23"/>
  <c r="AK41" i="24"/>
  <c r="AO41" i="24"/>
  <c r="AD32" i="25"/>
  <c r="Y32" i="25"/>
  <c r="Z32" i="25"/>
  <c r="AA32" i="25" s="1"/>
  <c r="AB32" i="25" s="1"/>
  <c r="V33" i="25" s="1"/>
  <c r="W32" i="24"/>
  <c r="AC31" i="24"/>
  <c r="X32" i="24" s="1"/>
  <c r="AI44" i="19"/>
  <c r="AO44" i="19" s="1"/>
  <c r="W32" i="23"/>
  <c r="AC31" i="23"/>
  <c r="X32" i="23" s="1"/>
  <c r="AD32" i="22"/>
  <c r="Y32" i="22"/>
  <c r="Z32" i="22"/>
  <c r="AA32" i="22" s="1"/>
  <c r="AB32" i="22" s="1"/>
  <c r="V33" i="22" s="1"/>
  <c r="W32" i="21"/>
  <c r="AC31" i="21"/>
  <c r="X32" i="21" s="1"/>
  <c r="W32" i="20"/>
  <c r="AC31" i="20"/>
  <c r="X32" i="20" s="1"/>
  <c r="W32" i="19"/>
  <c r="AC31" i="19"/>
  <c r="X32" i="19" s="1"/>
  <c r="AK38" i="13"/>
  <c r="AI39" i="13" s="1"/>
  <c r="AO38" i="13"/>
  <c r="AI44" i="21" l="1"/>
  <c r="AG44" i="21"/>
  <c r="AK44" i="21" s="1"/>
  <c r="AO43" i="21"/>
  <c r="AO44" i="22"/>
  <c r="AK44" i="22"/>
  <c r="AI44" i="23"/>
  <c r="AG44" i="23"/>
  <c r="AG42" i="24"/>
  <c r="AI42" i="24"/>
  <c r="AK44" i="19"/>
  <c r="W33" i="25"/>
  <c r="AC32" i="25"/>
  <c r="X33" i="25" s="1"/>
  <c r="AD32" i="24"/>
  <c r="Y32" i="24"/>
  <c r="Z32" i="24"/>
  <c r="AA32" i="24" s="1"/>
  <c r="AB32" i="24" s="1"/>
  <c r="V33" i="24" s="1"/>
  <c r="AD32" i="23"/>
  <c r="Y32" i="23"/>
  <c r="Z32" i="23"/>
  <c r="AA32" i="23" s="1"/>
  <c r="AB32" i="23" s="1"/>
  <c r="V33" i="23" s="1"/>
  <c r="W33" i="22"/>
  <c r="AC32" i="22"/>
  <c r="X33" i="22" s="1"/>
  <c r="AD32" i="21"/>
  <c r="Y32" i="21"/>
  <c r="Z32" i="21"/>
  <c r="AA32" i="21" s="1"/>
  <c r="AB32" i="21" s="1"/>
  <c r="V33" i="21" s="1"/>
  <c r="AD32" i="20"/>
  <c r="Y32" i="20"/>
  <c r="Z32" i="20"/>
  <c r="AA32" i="20" s="1"/>
  <c r="AB32" i="20" s="1"/>
  <c r="V33" i="20" s="1"/>
  <c r="AD32" i="19"/>
  <c r="Y32" i="19"/>
  <c r="Z32" i="19"/>
  <c r="AA32" i="19" s="1"/>
  <c r="AB32" i="19" s="1"/>
  <c r="V33" i="19" s="1"/>
  <c r="AG39" i="13"/>
  <c r="AO39" i="13" s="1"/>
  <c r="AO42" i="24" l="1"/>
  <c r="AO44" i="21"/>
  <c r="AK44" i="23"/>
  <c r="AO44" i="23"/>
  <c r="AK42" i="24"/>
  <c r="AD33" i="25"/>
  <c r="Y33" i="25"/>
  <c r="Z33" i="25"/>
  <c r="AA33" i="25" s="1"/>
  <c r="AB33" i="25" s="1"/>
  <c r="V34" i="25" s="1"/>
  <c r="W33" i="24"/>
  <c r="AC32" i="24"/>
  <c r="X33" i="24" s="1"/>
  <c r="W33" i="23"/>
  <c r="AC32" i="23"/>
  <c r="X33" i="23" s="1"/>
  <c r="AD33" i="22"/>
  <c r="Y33" i="22"/>
  <c r="Z33" i="22"/>
  <c r="AA33" i="22" s="1"/>
  <c r="AB33" i="22" s="1"/>
  <c r="V34" i="22" s="1"/>
  <c r="W33" i="21"/>
  <c r="AC32" i="21"/>
  <c r="X33" i="21" s="1"/>
  <c r="W33" i="20"/>
  <c r="AC32" i="20"/>
  <c r="X33" i="20" s="1"/>
  <c r="W33" i="19"/>
  <c r="AC32" i="19"/>
  <c r="X33" i="19" s="1"/>
  <c r="AK39" i="13"/>
  <c r="AG40" i="13" s="1"/>
  <c r="AG43" i="24" l="1"/>
  <c r="AI43" i="24"/>
  <c r="W34" i="25"/>
  <c r="AC33" i="25"/>
  <c r="X34" i="25" s="1"/>
  <c r="AD33" i="24"/>
  <c r="Y33" i="24"/>
  <c r="Z33" i="24"/>
  <c r="AA33" i="24" s="1"/>
  <c r="AB33" i="24" s="1"/>
  <c r="V34" i="24" s="1"/>
  <c r="AI40" i="13"/>
  <c r="AK40" i="13" s="1"/>
  <c r="AD33" i="23"/>
  <c r="Y33" i="23"/>
  <c r="Z33" i="23"/>
  <c r="AA33" i="23" s="1"/>
  <c r="AB33" i="23" s="1"/>
  <c r="V34" i="23" s="1"/>
  <c r="W34" i="22"/>
  <c r="AC33" i="22"/>
  <c r="X34" i="22" s="1"/>
  <c r="AD33" i="21"/>
  <c r="Y33" i="21"/>
  <c r="Z33" i="21"/>
  <c r="AA33" i="21" s="1"/>
  <c r="AB33" i="21" s="1"/>
  <c r="V34" i="21" s="1"/>
  <c r="AD33" i="20"/>
  <c r="Y33" i="20"/>
  <c r="Z33" i="20"/>
  <c r="AA33" i="20" s="1"/>
  <c r="AB33" i="20" s="1"/>
  <c r="V34" i="20" s="1"/>
  <c r="AD33" i="19"/>
  <c r="Y33" i="19"/>
  <c r="Z33" i="19"/>
  <c r="AA33" i="19" s="1"/>
  <c r="AB33" i="19" s="1"/>
  <c r="V34" i="19" s="1"/>
  <c r="AO40" i="13" l="1"/>
  <c r="AO43" i="24"/>
  <c r="AK43" i="24"/>
  <c r="AD34" i="25"/>
  <c r="Y34" i="25"/>
  <c r="Z34" i="25"/>
  <c r="W34" i="24"/>
  <c r="AC33" i="24"/>
  <c r="X34" i="24" s="1"/>
  <c r="W34" i="23"/>
  <c r="AC33" i="23"/>
  <c r="X34" i="23" s="1"/>
  <c r="AD34" i="22"/>
  <c r="Y34" i="22"/>
  <c r="Z34" i="22"/>
  <c r="W34" i="21"/>
  <c r="AC33" i="21"/>
  <c r="X34" i="21" s="1"/>
  <c r="W34" i="20"/>
  <c r="AC33" i="20"/>
  <c r="X34" i="20" s="1"/>
  <c r="W34" i="19"/>
  <c r="AC33" i="19"/>
  <c r="X34" i="19" s="1"/>
  <c r="AI41" i="13"/>
  <c r="AG41" i="13"/>
  <c r="AG44" i="24" l="1"/>
  <c r="AI44" i="24"/>
  <c r="AO44" i="24" s="1"/>
  <c r="O24" i="25"/>
  <c r="O25" i="25" s="1"/>
  <c r="G19" i="25" s="1"/>
  <c r="AA34" i="25"/>
  <c r="AB34" i="25" s="1"/>
  <c r="AD34" i="24"/>
  <c r="Y34" i="24"/>
  <c r="Z34" i="24"/>
  <c r="AD34" i="23"/>
  <c r="Y34" i="23"/>
  <c r="Z34" i="23"/>
  <c r="O24" i="22"/>
  <c r="O25" i="22" s="1"/>
  <c r="G19" i="22" s="1"/>
  <c r="AA34" i="22"/>
  <c r="AB34" i="22" s="1"/>
  <c r="AD34" i="21"/>
  <c r="Y34" i="21"/>
  <c r="Z34" i="21"/>
  <c r="AD34" i="20"/>
  <c r="Y34" i="20"/>
  <c r="Z34" i="20"/>
  <c r="AD34" i="19"/>
  <c r="Y34" i="19"/>
  <c r="Z34" i="19"/>
  <c r="AK41" i="13"/>
  <c r="AI42" i="13" s="1"/>
  <c r="AO41" i="13"/>
  <c r="AK44" i="24" l="1"/>
  <c r="AC34" i="25"/>
  <c r="G22" i="25"/>
  <c r="G20" i="25"/>
  <c r="O24" i="24"/>
  <c r="O25" i="24" s="1"/>
  <c r="G19" i="24" s="1"/>
  <c r="AA34" i="24"/>
  <c r="AB34" i="24" s="1"/>
  <c r="O24" i="23"/>
  <c r="O25" i="23" s="1"/>
  <c r="G19" i="23" s="1"/>
  <c r="AA34" i="23"/>
  <c r="AB34" i="23" s="1"/>
  <c r="AC34" i="22"/>
  <c r="G22" i="22"/>
  <c r="G20" i="22"/>
  <c r="O24" i="21"/>
  <c r="O25" i="21" s="1"/>
  <c r="G19" i="21" s="1"/>
  <c r="AA34" i="21"/>
  <c r="AB34" i="21" s="1"/>
  <c r="O24" i="20"/>
  <c r="O25" i="20" s="1"/>
  <c r="G19" i="20" s="1"/>
  <c r="AA34" i="20"/>
  <c r="AB34" i="20" s="1"/>
  <c r="O24" i="19"/>
  <c r="O25" i="19" s="1"/>
  <c r="G19" i="19" s="1"/>
  <c r="AA34" i="19"/>
  <c r="AB34" i="19" s="1"/>
  <c r="AG42" i="13"/>
  <c r="AO42" i="13" s="1"/>
  <c r="G35" i="25" l="1"/>
  <c r="K4" i="25" s="1"/>
  <c r="G22" i="24"/>
  <c r="G20" i="24"/>
  <c r="AC34" i="24"/>
  <c r="G22" i="23"/>
  <c r="G20" i="23"/>
  <c r="AC34" i="23"/>
  <c r="G35" i="22"/>
  <c r="K8" i="22"/>
  <c r="K4" i="22"/>
  <c r="AC34" i="21"/>
  <c r="G22" i="21"/>
  <c r="G20" i="21"/>
  <c r="AC34" i="20"/>
  <c r="G22" i="20"/>
  <c r="G20" i="20"/>
  <c r="AC34" i="19"/>
  <c r="G22" i="19"/>
  <c r="G20" i="19"/>
  <c r="AK42" i="13"/>
  <c r="AG43" i="13" s="1"/>
  <c r="K13" i="22" l="1"/>
  <c r="E7" i="26"/>
  <c r="K8" i="25"/>
  <c r="K16" i="25"/>
  <c r="K17" i="25"/>
  <c r="K5" i="25"/>
  <c r="G35" i="24"/>
  <c r="K4" i="24"/>
  <c r="K8" i="24"/>
  <c r="G35" i="23"/>
  <c r="K4" i="23" s="1"/>
  <c r="K8" i="23"/>
  <c r="K17" i="22"/>
  <c r="K16" i="22"/>
  <c r="K5" i="22"/>
  <c r="K40" i="22"/>
  <c r="K48" i="22"/>
  <c r="K32" i="22"/>
  <c r="G35" i="21"/>
  <c r="K8" i="21" s="1"/>
  <c r="K4" i="21"/>
  <c r="G35" i="20"/>
  <c r="K8" i="20" s="1"/>
  <c r="K4" i="20"/>
  <c r="G35" i="19"/>
  <c r="K8" i="19" s="1"/>
  <c r="AI43" i="13"/>
  <c r="AK43" i="13" s="1"/>
  <c r="AG44" i="13" s="1"/>
  <c r="K13" i="21" l="1"/>
  <c r="E15" i="26"/>
  <c r="K13" i="20"/>
  <c r="E14" i="26"/>
  <c r="K13" i="19"/>
  <c r="K48" i="19" s="1"/>
  <c r="E13" i="26"/>
  <c r="K13" i="25"/>
  <c r="K32" i="25" s="1"/>
  <c r="E10" i="26"/>
  <c r="K13" i="24"/>
  <c r="K40" i="24" s="1"/>
  <c r="E9" i="26"/>
  <c r="K13" i="23"/>
  <c r="K40" i="23" s="1"/>
  <c r="E8" i="26"/>
  <c r="E4" i="26" s="1"/>
  <c r="K27" i="22"/>
  <c r="AJ4" i="22" s="1"/>
  <c r="K4" i="19"/>
  <c r="K17" i="19" s="1"/>
  <c r="K49" i="25"/>
  <c r="K41" i="25"/>
  <c r="K33" i="25"/>
  <c r="K17" i="24"/>
  <c r="K16" i="24"/>
  <c r="K5" i="24"/>
  <c r="K5" i="23"/>
  <c r="K16" i="23"/>
  <c r="K17" i="23"/>
  <c r="K49" i="22"/>
  <c r="K50" i="22" s="1"/>
  <c r="K33" i="22"/>
  <c r="K36" i="22" s="1"/>
  <c r="K41" i="22"/>
  <c r="K44" i="22" s="1"/>
  <c r="K48" i="21"/>
  <c r="K32" i="21"/>
  <c r="K40" i="21"/>
  <c r="K17" i="21"/>
  <c r="K16" i="21"/>
  <c r="K5" i="21"/>
  <c r="K48" i="20"/>
  <c r="K32" i="20"/>
  <c r="K40" i="20"/>
  <c r="K5" i="20"/>
  <c r="K17" i="20"/>
  <c r="K16" i="20"/>
  <c r="AI44" i="13"/>
  <c r="AK44" i="13" s="1"/>
  <c r="AO43" i="13"/>
  <c r="K32" i="19" l="1"/>
  <c r="K40" i="19"/>
  <c r="K27" i="25"/>
  <c r="K40" i="25"/>
  <c r="K44" i="25" s="1"/>
  <c r="K32" i="24"/>
  <c r="K48" i="24"/>
  <c r="K48" i="25"/>
  <c r="K36" i="25"/>
  <c r="K50" i="25"/>
  <c r="K48" i="23"/>
  <c r="K27" i="23"/>
  <c r="K28" i="23" s="1"/>
  <c r="K32" i="23"/>
  <c r="AL4" i="22"/>
  <c r="AH4" i="22"/>
  <c r="K28" i="22"/>
  <c r="K5" i="19"/>
  <c r="K16" i="19"/>
  <c r="K27" i="19" s="1"/>
  <c r="K28" i="19" s="1"/>
  <c r="K27" i="24"/>
  <c r="AH4" i="24" s="1"/>
  <c r="K28" i="25"/>
  <c r="AH4" i="25"/>
  <c r="AJ4" i="25"/>
  <c r="AL4" i="25"/>
  <c r="K49" i="24"/>
  <c r="K50" i="24" s="1"/>
  <c r="K41" i="24"/>
  <c r="K44" i="24" s="1"/>
  <c r="K33" i="24"/>
  <c r="K49" i="23"/>
  <c r="K33" i="23"/>
  <c r="K41" i="23"/>
  <c r="K44" i="23" s="1"/>
  <c r="K49" i="21"/>
  <c r="K50" i="21" s="1"/>
  <c r="K41" i="21"/>
  <c r="K44" i="21" s="1"/>
  <c r="K33" i="21"/>
  <c r="K36" i="21" s="1"/>
  <c r="K27" i="21"/>
  <c r="K41" i="20"/>
  <c r="K44" i="20" s="1"/>
  <c r="K33" i="20"/>
  <c r="K36" i="20" s="1"/>
  <c r="K49" i="20"/>
  <c r="K50" i="20" s="1"/>
  <c r="K27" i="20"/>
  <c r="AO44" i="13"/>
  <c r="K25" i="13"/>
  <c r="G12" i="13"/>
  <c r="G9" i="13"/>
  <c r="K19" i="13"/>
  <c r="K47" i="13"/>
  <c r="O7" i="13"/>
  <c r="O10" i="13" s="1"/>
  <c r="G28" i="13"/>
  <c r="K18" i="13"/>
  <c r="G31" i="13"/>
  <c r="G29" i="13" s="1"/>
  <c r="K39" i="13"/>
  <c r="K24" i="13"/>
  <c r="K12" i="13"/>
  <c r="K23" i="13"/>
  <c r="K26" i="13"/>
  <c r="K36" i="24" l="1"/>
  <c r="AH4" i="23"/>
  <c r="AJ4" i="23"/>
  <c r="AL4" i="23"/>
  <c r="K50" i="23"/>
  <c r="K36" i="23"/>
  <c r="K41" i="19"/>
  <c r="K44" i="19" s="1"/>
  <c r="AL4" i="24"/>
  <c r="AJ4" i="24"/>
  <c r="K33" i="19"/>
  <c r="K36" i="19" s="1"/>
  <c r="K49" i="19"/>
  <c r="K50" i="19" s="1"/>
  <c r="K28" i="24"/>
  <c r="AJ4" i="19"/>
  <c r="AL4" i="19"/>
  <c r="AH4" i="19"/>
  <c r="K28" i="21"/>
  <c r="AH4" i="21"/>
  <c r="AJ4" i="21"/>
  <c r="AL4" i="21"/>
  <c r="K28" i="20"/>
  <c r="AH4" i="20"/>
  <c r="AJ4" i="20"/>
  <c r="AL4" i="20"/>
  <c r="O8" i="13"/>
  <c r="O9" i="13" s="1"/>
  <c r="G10" i="13"/>
  <c r="G11" i="13" s="1"/>
  <c r="O46" i="13"/>
  <c r="O47" i="13" s="1"/>
  <c r="G30" i="13"/>
  <c r="K22" i="13"/>
  <c r="K42" i="13" s="1"/>
  <c r="K35" i="13"/>
  <c r="K43" i="13"/>
  <c r="K34" i="13" l="1"/>
  <c r="O13" i="13" l="1"/>
  <c r="O18" i="13" s="1"/>
  <c r="O14" i="13" l="1"/>
  <c r="O17" i="13" s="1"/>
  <c r="O20" i="13" s="1"/>
  <c r="O23" i="13" s="1"/>
  <c r="O26" i="13" s="1"/>
  <c r="O28" i="13" s="1"/>
  <c r="O21" i="13"/>
  <c r="G21" i="13" s="1"/>
  <c r="G18" i="13"/>
  <c r="K14" i="13"/>
  <c r="K15" i="13" s="1"/>
  <c r="Y4" i="13" l="1"/>
  <c r="W4" i="13"/>
  <c r="AA4" i="13"/>
  <c r="AC4" i="13" l="1"/>
  <c r="X5" i="13" s="1"/>
  <c r="Y5" i="13" s="1"/>
  <c r="AB4" i="13"/>
  <c r="V5" i="13" s="1"/>
  <c r="AD5" i="13" l="1"/>
  <c r="W5" i="13"/>
  <c r="Z5" i="13"/>
  <c r="AA5" i="13" s="1"/>
  <c r="AC5" i="13" s="1"/>
  <c r="X6" i="13" s="1"/>
  <c r="Y6" i="13" s="1"/>
  <c r="AB5" i="13" l="1"/>
  <c r="V6" i="13" s="1"/>
  <c r="Z6" i="13" l="1"/>
  <c r="AA6" i="13" s="1"/>
  <c r="AC6" i="13" s="1"/>
  <c r="X7" i="13" s="1"/>
  <c r="W6" i="13"/>
  <c r="AD6" i="13"/>
  <c r="AB6" i="13" l="1"/>
  <c r="V7" i="13" s="1"/>
  <c r="Z7" i="13" s="1"/>
  <c r="AA7" i="13" s="1"/>
  <c r="Y7" i="13"/>
  <c r="AD7" i="13" l="1"/>
  <c r="W7" i="13"/>
  <c r="AB7" i="13" s="1"/>
  <c r="V8" i="13" s="1"/>
  <c r="W8" i="13" s="1"/>
  <c r="AC7" i="13"/>
  <c r="X8" i="13" s="1"/>
  <c r="Y8" i="13" l="1"/>
  <c r="AD8" i="13"/>
  <c r="Z8" i="13"/>
  <c r="AA8" i="13" s="1"/>
  <c r="AC8" i="13" l="1"/>
  <c r="X9" i="13" s="1"/>
  <c r="Y9" i="13" s="1"/>
  <c r="AB8" i="13"/>
  <c r="V9" i="13" s="1"/>
  <c r="Z9" i="13" l="1"/>
  <c r="AA9" i="13" s="1"/>
  <c r="AC9" i="13" s="1"/>
  <c r="X10" i="13" s="1"/>
  <c r="W9" i="13"/>
  <c r="AD9" i="13"/>
  <c r="AB9" i="13" l="1"/>
  <c r="V10" i="13" s="1"/>
  <c r="Z10" i="13" s="1"/>
  <c r="AA10" i="13" s="1"/>
  <c r="Y10" i="13"/>
  <c r="AD10" i="13" l="1"/>
  <c r="W10" i="13"/>
  <c r="AB10" i="13" s="1"/>
  <c r="V11" i="13" s="1"/>
  <c r="W11" i="13" s="1"/>
  <c r="AC10" i="13"/>
  <c r="X11" i="13" s="1"/>
  <c r="Z11" i="13" l="1"/>
  <c r="AA11" i="13" s="1"/>
  <c r="AB11" i="13" s="1"/>
  <c r="V12" i="13" s="1"/>
  <c r="W12" i="13" s="1"/>
  <c r="Y11" i="13"/>
  <c r="AD11" i="13"/>
  <c r="AC11" i="13" l="1"/>
  <c r="X12" i="13" s="1"/>
  <c r="AD12" i="13" s="1"/>
  <c r="Y12" i="13" l="1"/>
  <c r="Z12" i="13"/>
  <c r="AA12" i="13" s="1"/>
  <c r="AB12" i="13" s="1"/>
  <c r="V13" i="13" s="1"/>
  <c r="W13" i="13" s="1"/>
  <c r="AC12" i="13" l="1"/>
  <c r="X13" i="13" s="1"/>
  <c r="Y13" i="13" s="1"/>
  <c r="AD13" i="13" l="1"/>
  <c r="Z13" i="13"/>
  <c r="AA13" i="13" s="1"/>
  <c r="AB13" i="13" s="1"/>
  <c r="V14" i="13" s="1"/>
  <c r="W14" i="13" s="1"/>
  <c r="AC13" i="13" l="1"/>
  <c r="X14" i="13" s="1"/>
  <c r="Z14" i="13" l="1"/>
  <c r="AA14" i="13" s="1"/>
  <c r="AB14" i="13" s="1"/>
  <c r="V15" i="13" s="1"/>
  <c r="W15" i="13" s="1"/>
  <c r="AD14" i="13"/>
  <c r="Y14" i="13"/>
  <c r="AC14" i="13" l="1"/>
  <c r="X15" i="13" s="1"/>
  <c r="Y15" i="13" s="1"/>
  <c r="AD15" i="13" l="1"/>
  <c r="Z15" i="13"/>
  <c r="AA15" i="13" s="1"/>
  <c r="AB15" i="13" s="1"/>
  <c r="V16" i="13" s="1"/>
  <c r="W16" i="13" s="1"/>
  <c r="AC15" i="13" l="1"/>
  <c r="X16" i="13" s="1"/>
  <c r="Z16" i="13" s="1"/>
  <c r="AA16" i="13" s="1"/>
  <c r="AB16" i="13" s="1"/>
  <c r="V17" i="13" s="1"/>
  <c r="W17" i="13" s="1"/>
  <c r="AD16" i="13" l="1"/>
  <c r="Y16" i="13"/>
  <c r="AC16" i="13" s="1"/>
  <c r="X17" i="13" s="1"/>
  <c r="Z17" i="13" s="1"/>
  <c r="AA17" i="13" s="1"/>
  <c r="AB17" i="13" s="1"/>
  <c r="V18" i="13" s="1"/>
  <c r="W18" i="13" s="1"/>
  <c r="AD17" i="13" l="1"/>
  <c r="Y17" i="13"/>
  <c r="AC17" i="13" s="1"/>
  <c r="X18" i="13" s="1"/>
  <c r="Z18" i="13" s="1"/>
  <c r="AA18" i="13" s="1"/>
  <c r="AB18" i="13" s="1"/>
  <c r="V19" i="13" s="1"/>
  <c r="W19" i="13" s="1"/>
  <c r="Y18" i="13" l="1"/>
  <c r="AC18" i="13" s="1"/>
  <c r="X19" i="13" s="1"/>
  <c r="Y19" i="13" s="1"/>
  <c r="AD18" i="13"/>
  <c r="Z19" i="13" l="1"/>
  <c r="AA19" i="13" s="1"/>
  <c r="AB19" i="13" s="1"/>
  <c r="V20" i="13" s="1"/>
  <c r="W20" i="13" s="1"/>
  <c r="AD19" i="13"/>
  <c r="AC19" i="13" l="1"/>
  <c r="X20" i="13" s="1"/>
  <c r="Z20" i="13" s="1"/>
  <c r="AA20" i="13" s="1"/>
  <c r="AB20" i="13" s="1"/>
  <c r="V21" i="13" s="1"/>
  <c r="W21" i="13" s="1"/>
  <c r="Y20" i="13" l="1"/>
  <c r="AC20" i="13" s="1"/>
  <c r="X21" i="13" s="1"/>
  <c r="Z21" i="13" s="1"/>
  <c r="AA21" i="13" s="1"/>
  <c r="AB21" i="13" s="1"/>
  <c r="V22" i="13" s="1"/>
  <c r="W22" i="13" s="1"/>
  <c r="AD20" i="13"/>
  <c r="Y21" i="13" l="1"/>
  <c r="AC21" i="13" s="1"/>
  <c r="X22" i="13" s="1"/>
  <c r="AD22" i="13" s="1"/>
  <c r="AD21" i="13"/>
  <c r="Z22" i="13" l="1"/>
  <c r="AA22" i="13" s="1"/>
  <c r="AB22" i="13" s="1"/>
  <c r="V23" i="13" s="1"/>
  <c r="W23" i="13" s="1"/>
  <c r="Y22" i="13"/>
  <c r="AC22" i="13" l="1"/>
  <c r="X23" i="13" s="1"/>
  <c r="AD23" i="13" s="1"/>
  <c r="Z23" i="13" l="1"/>
  <c r="AA23" i="13" s="1"/>
  <c r="AB23" i="13" s="1"/>
  <c r="V24" i="13" s="1"/>
  <c r="W24" i="13" s="1"/>
  <c r="Y23" i="13"/>
  <c r="AC23" i="13" l="1"/>
  <c r="X24" i="13" s="1"/>
  <c r="AD24" i="13" s="1"/>
  <c r="Z24" i="13" l="1"/>
  <c r="AA24" i="13" s="1"/>
  <c r="AB24" i="13" s="1"/>
  <c r="V25" i="13" s="1"/>
  <c r="W25" i="13" s="1"/>
  <c r="Y24" i="13"/>
  <c r="AC24" i="13" l="1"/>
  <c r="X25" i="13" s="1"/>
  <c r="AD25" i="13" s="1"/>
  <c r="Y25" i="13" l="1"/>
  <c r="Z25" i="13"/>
  <c r="AA25" i="13" s="1"/>
  <c r="AB25" i="13" s="1"/>
  <c r="V26" i="13" s="1"/>
  <c r="W26" i="13" s="1"/>
  <c r="AC25" i="13" l="1"/>
  <c r="X26" i="13" s="1"/>
  <c r="AD26" i="13" s="1"/>
  <c r="Y26" i="13" l="1"/>
  <c r="Z26" i="13"/>
  <c r="AA26" i="13" s="1"/>
  <c r="AB26" i="13" s="1"/>
  <c r="V27" i="13" s="1"/>
  <c r="W27" i="13" s="1"/>
  <c r="AC26" i="13" l="1"/>
  <c r="X27" i="13" s="1"/>
  <c r="AD27" i="13" l="1"/>
  <c r="Y27" i="13"/>
  <c r="Z27" i="13"/>
  <c r="AA27" i="13" s="1"/>
  <c r="AB27" i="13" s="1"/>
  <c r="V28" i="13" s="1"/>
  <c r="W28" i="13" s="1"/>
  <c r="AC27" i="13" l="1"/>
  <c r="X28" i="13" s="1"/>
  <c r="Z28" i="13" l="1"/>
  <c r="AA28" i="13" s="1"/>
  <c r="AB28" i="13" s="1"/>
  <c r="V29" i="13" s="1"/>
  <c r="Y28" i="13"/>
  <c r="AD28" i="13"/>
  <c r="AC28" i="13" l="1"/>
  <c r="X29" i="13" s="1"/>
  <c r="AD29" i="13" s="1"/>
  <c r="W29" i="13"/>
  <c r="Z29" i="13" l="1"/>
  <c r="AA29" i="13" s="1"/>
  <c r="AB29" i="13" s="1"/>
  <c r="V30" i="13" s="1"/>
  <c r="W30" i="13" s="1"/>
  <c r="Y29" i="13"/>
  <c r="AC29" i="13" l="1"/>
  <c r="X30" i="13" s="1"/>
  <c r="Z30" i="13" s="1"/>
  <c r="AA30" i="13" s="1"/>
  <c r="AB30" i="13" s="1"/>
  <c r="V31" i="13" s="1"/>
  <c r="AD30" i="13" l="1"/>
  <c r="Y30" i="13"/>
  <c r="AC30" i="13" s="1"/>
  <c r="X31" i="13" s="1"/>
  <c r="AD31" i="13" s="1"/>
  <c r="W31" i="13"/>
  <c r="Z31" i="13" l="1"/>
  <c r="AA31" i="13" s="1"/>
  <c r="Y31" i="13"/>
  <c r="AB31" i="13"/>
  <c r="V32" i="13" s="1"/>
  <c r="W32" i="13" s="1"/>
  <c r="AC31" i="13" l="1"/>
  <c r="X32" i="13" s="1"/>
  <c r="AD32" i="13" s="1"/>
  <c r="Y32" i="13" l="1"/>
  <c r="Z32" i="13"/>
  <c r="AA32" i="13" s="1"/>
  <c r="AB32" i="13" s="1"/>
  <c r="V33" i="13" s="1"/>
  <c r="W33" i="13" s="1"/>
  <c r="AC32" i="13" l="1"/>
  <c r="X33" i="13" s="1"/>
  <c r="Z33" i="13" s="1"/>
  <c r="AA33" i="13" s="1"/>
  <c r="AB33" i="13" s="1"/>
  <c r="V34" i="13" s="1"/>
  <c r="W34" i="13" s="1"/>
  <c r="Y33" i="13"/>
  <c r="AC33" i="13" l="1"/>
  <c r="X34" i="13" s="1"/>
  <c r="Z34" i="13" s="1"/>
  <c r="AD33" i="13"/>
  <c r="Y34" i="13"/>
  <c r="O24" i="13"/>
  <c r="O25" i="13" s="1"/>
  <c r="G19" i="13" s="1"/>
  <c r="G22" i="13" s="1"/>
  <c r="G35" i="13" s="1"/>
  <c r="K4" i="13" s="1"/>
  <c r="K5" i="13" s="1"/>
  <c r="AA34" i="13"/>
  <c r="AB34" i="13" s="1"/>
  <c r="AD34" i="13" l="1"/>
  <c r="AC34" i="13"/>
  <c r="G20" i="13"/>
  <c r="K8" i="13"/>
  <c r="K17" i="13"/>
  <c r="K16" i="13"/>
  <c r="K13" i="13" l="1"/>
  <c r="K48" i="13" s="1"/>
  <c r="E12" i="26"/>
  <c r="F4" i="26" s="1"/>
  <c r="K32" i="13"/>
  <c r="K40" i="13"/>
  <c r="K41" i="13"/>
  <c r="K49" i="13"/>
  <c r="K50" i="13" s="1"/>
  <c r="K33" i="13"/>
  <c r="K27" i="13"/>
  <c r="K36" i="13" l="1"/>
  <c r="K44" i="13"/>
  <c r="AJ4" i="13"/>
  <c r="K28" i="13"/>
  <c r="AH4" i="13"/>
  <c r="AL4" i="13"/>
</calcChain>
</file>

<file path=xl/sharedStrings.xml><?xml version="1.0" encoding="utf-8"?>
<sst xmlns="http://schemas.openxmlformats.org/spreadsheetml/2006/main" count="2159" uniqueCount="166">
  <si>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</si>
  <si>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</si>
  <si>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</si>
  <si>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</si>
  <si>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</si>
  <si>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</si>
  <si>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</si>
  <si>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</si>
  <si>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</si>
  <si>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</si>
  <si>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</si>
  <si>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</si>
  <si>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</si>
  <si>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</si>
  <si>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</si>
  <si>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</si>
  <si>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</si>
  <si>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</si>
  <si>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</si>
  <si>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</si>
  <si>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</si>
  <si>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</si>
  <si>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dyn_pressure</t>
  </si>
  <si>
    <t>N/m^2</t>
  </si>
  <si>
    <t>Rotor performance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</si>
  <si>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</si>
  <si>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</si>
  <si>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</si>
  <si>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</si>
  <si>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</si>
  <si>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</si>
  <si>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</si>
  <si>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</si>
  <si>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</si>
  <si>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</si>
  <si>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</si>
  <si>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</si>
  <si>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</si>
  <si>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</si>
  <si>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</si>
  <si>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</si>
  <si>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</si>
  <si>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</si>
  <si>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</si>
  <si>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</si>
  <si>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</si>
  <si>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</si>
  <si>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</si>
  <si>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</si>
  <si>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</si>
  <si>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</si>
  <si>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</si>
  <si>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</si>
  <si>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</si>
  <si>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</si>
  <si>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</si>
  <si>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</si>
  <si>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</si>
  <si>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</si>
  <si>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</si>
  <si>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</si>
  <si>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</si>
  <si>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</si>
  <si>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</si>
  <si>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</si>
  <si>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</si>
  <si>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</si>
  <si>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</si>
  <si>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</si>
  <si>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</si>
  <si>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</si>
  <si>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</si>
  <si>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multirotor</t>
  </si>
  <si>
    <t>Stability (trim)</t>
  </si>
  <si>
    <t>Thrust_all</t>
  </si>
  <si>
    <t>sin_beta</t>
  </si>
  <si>
    <t>Bisection method for solving W_total_takeoff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</si>
  <si>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</si>
  <si>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</si>
  <si>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</si>
  <si>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</si>
  <si>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</si>
  <si>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</si>
  <si>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</si>
  <si>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</si>
  <si>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</si>
  <si>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</si>
  <si>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</si>
  <si>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</si>
  <si>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</si>
  <si>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</si>
  <si>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</si>
  <si>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</si>
  <si>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</si>
  <si>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</si>
  <si>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</si>
  <si>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</si>
  <si>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</si>
  <si>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</si>
  <si>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</si>
  <si>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</si>
  <si>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</si>
  <si>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</si>
  <si>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</si>
  <si>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</si>
  <si>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</si>
  <si>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</si>
  <si>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</si>
  <si>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</si>
  <si>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</si>
  <si>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</si>
  <si>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</si>
  <si>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</si>
  <si>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</si>
  <si>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</si>
  <si>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</si>
  <si>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type</t>
  </si>
  <si>
    <t>f_LG</t>
  </si>
  <si>
    <t>eVTOL design parameters</t>
  </si>
  <si>
    <t>lift_rotor_solidity</t>
  </si>
  <si>
    <t>lift_rotor_hover_FM</t>
  </si>
  <si>
    <t>rotor_tip_speed</t>
  </si>
  <si>
    <t>M</t>
  </si>
  <si>
    <t>sound_speed</t>
  </si>
  <si>
    <t>rotor_tip_speed_Mach</t>
  </si>
  <si>
    <t>RPM</t>
  </si>
  <si>
    <t>W_rotors_and_hubs</t>
  </si>
  <si>
    <t>W_extra_hubs</t>
  </si>
  <si>
    <t>Nm</t>
  </si>
  <si>
    <t>Pa s</t>
  </si>
  <si>
    <t>mu_air</t>
  </si>
  <si>
    <t>c_to_r_lift_rotor</t>
  </si>
  <si>
    <t>power_cruise</t>
  </si>
  <si>
    <t>skid</t>
  </si>
  <si>
    <t>skid_length</t>
  </si>
  <si>
    <t>skid_height</t>
  </si>
  <si>
    <t>mission_repetition</t>
  </si>
  <si>
    <t>rho_softmax</t>
  </si>
  <si>
    <t>mission_time</t>
  </si>
  <si>
    <t>tf_propulsion</t>
  </si>
  <si>
    <t>tf_structure</t>
  </si>
  <si>
    <t>tf_equipments</t>
  </si>
  <si>
    <t>LiftRotor|RPM_cruise</t>
  </si>
  <si>
    <t>LiftRotor|RPM_hover</t>
  </si>
  <si>
    <t>Environment at 5500 ft</t>
  </si>
  <si>
    <t>Environment at 6500 ft</t>
  </si>
  <si>
    <t>efficiency T/P</t>
  </si>
  <si>
    <t>g/W</t>
  </si>
  <si>
    <t>CT/sigma</t>
  </si>
  <si>
    <t>W_empty</t>
  </si>
  <si>
    <t>omega_motor</t>
  </si>
  <si>
    <t>gear_ratio</t>
  </si>
  <si>
    <t>RPM_motor</t>
  </si>
  <si>
    <t>torque_motor</t>
  </si>
  <si>
    <t>motor_weight</t>
  </si>
  <si>
    <t>motor_power_margin</t>
  </si>
  <si>
    <t>Reserve cruise segment</t>
  </si>
  <si>
    <t>reserve cruise duration</t>
  </si>
  <si>
    <t>f_e_non_hubs</t>
  </si>
  <si>
    <t>f_e_total</t>
  </si>
  <si>
    <t>linear</t>
  </si>
  <si>
    <t>uniform</t>
  </si>
  <si>
    <t>uniform
coeffs</t>
  </si>
  <si>
    <t>linear
coeffs</t>
  </si>
  <si>
    <t>weighted_sum_of_energy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</si>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</sst>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/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1F2-FE4B-B9B4-0EB698CFD24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1F2-FE4B-B9B4-0EB698CFD24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1F2-FE4B-B9B4-0EB698CFD24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F2-FE4B-B9B4-0EB698CFD24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F2-FE4B-B9B4-0EB698CFD2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uniform_250!$K$39:$K$43</c:f>
              <c:numCache>
                <c:formatCode>General</c:formatCode>
                <c:ptCount val="5"/>
                <c:pt idx="0">
                  <c:v>20.149999999999999</c:v>
                </c:pt>
                <c:pt idx="1">
                  <c:v>45.13</c:v>
                </c:pt>
                <c:pt idx="2">
                  <c:v>23.17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F2-FE4B-B9B4-0EB698CFD24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EE2-E949-B52E-31FA0C9EF3A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EE2-E949-B52E-31FA0C9EF3A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EE2-E949-B52E-31FA0C9EF3A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EE2-E949-B52E-31FA0C9EF3A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EE2-E949-B52E-31FA0C9EF3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1343.64</c:v>
                </c:pt>
                <c:pt idx="2">
                  <c:v>689.73</c:v>
                </c:pt>
                <c:pt idx="3">
                  <c:v>197.45</c:v>
                </c:pt>
                <c:pt idx="4">
                  <c:v>146.18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E2-E949-B52E-31FA0C9EF3A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5B7-FE41-A57A-A42FAE1A171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5B7-FE41-A57A-A42FAE1A171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5B7-FE41-A57A-A42FAE1A171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5B7-FE41-A57A-A42FAE1A171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5B7-FE41-A57A-A42FAE1A171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uniform_400!$K$39:$K$43</c:f>
              <c:numCache>
                <c:formatCode>General</c:formatCode>
                <c:ptCount val="5"/>
                <c:pt idx="0">
                  <c:v>28.95</c:v>
                </c:pt>
                <c:pt idx="1">
                  <c:v>33.74</c:v>
                </c:pt>
                <c:pt idx="2">
                  <c:v>24.33</c:v>
                </c:pt>
                <c:pt idx="3">
                  <c:v>8.19</c:v>
                </c:pt>
                <c:pt idx="4">
                  <c:v>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5B7-FE41-A57A-A42FAE1A171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8A7-6C4E-A193-C372EB799B9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8A7-6C4E-A193-C372EB799B9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8A7-6C4E-A193-C372EB799B9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8A7-6C4E-A193-C372EB799B9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8A7-6C4E-A193-C372EB799B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699.43</c:v>
                </c:pt>
                <c:pt idx="2">
                  <c:v>504.29</c:v>
                </c:pt>
                <c:pt idx="3">
                  <c:v>169.7</c:v>
                </c:pt>
                <c:pt idx="4">
                  <c:v>99.38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A7-6C4E-A193-C372EB799B9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35-704C-A065-3390A93787A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835-704C-A065-3390A93787A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835-704C-A065-3390A93787A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835-704C-A065-3390A93787A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835-704C-A065-3390A93787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uniform_550!$K$39:$K$43</c:f>
              <c:numCache>
                <c:formatCode>General</c:formatCode>
                <c:ptCount val="5"/>
                <c:pt idx="0">
                  <c:v>33.65</c:v>
                </c:pt>
                <c:pt idx="1">
                  <c:v>26.89</c:v>
                </c:pt>
                <c:pt idx="2">
                  <c:v>25.7</c:v>
                </c:pt>
                <c:pt idx="3">
                  <c:v>9.01</c:v>
                </c:pt>
                <c:pt idx="4">
                  <c:v>4.76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835-704C-A065-3390A93787A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6DB-E945-B5C7-75DC41F0904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DB-E945-B5C7-75DC41F0904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6DB-E945-B5C7-75DC41F0904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6DB-E945-B5C7-75DC41F0904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6DB-E945-B5C7-75DC41F090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479.34</c:v>
                </c:pt>
                <c:pt idx="2">
                  <c:v>458.15</c:v>
                </c:pt>
                <c:pt idx="3">
                  <c:v>160.63</c:v>
                </c:pt>
                <c:pt idx="4">
                  <c:v>84.81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6DB-E945-B5C7-75DC41F090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B90-5C44-B2FD-9FBF7FA3CB4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B90-5C44-B2FD-9FBF7FA3CB4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B90-5C44-B2FD-9FBF7FA3CB4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B90-5C44-B2FD-9FBF7FA3CB4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B90-5C44-B2FD-9FBF7FA3CB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uniform_700!$K$39:$K$43</c:f>
              <c:numCache>
                <c:formatCode>General</c:formatCode>
                <c:ptCount val="5"/>
                <c:pt idx="0">
                  <c:v>36.770000000000003</c:v>
                </c:pt>
                <c:pt idx="1">
                  <c:v>22.37</c:v>
                </c:pt>
                <c:pt idx="2">
                  <c:v>26.57</c:v>
                </c:pt>
                <c:pt idx="3">
                  <c:v>9.5500000000000007</c:v>
                </c:pt>
                <c:pt idx="4">
                  <c:v>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B90-5C44-B2FD-9FBF7FA3CB4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92-2E47-AB32-D545C1FFC62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92-2E47-AB32-D545C1FFC62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92-2E47-AB32-D545C1FFC62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E92-2E47-AB32-D545C1FFC62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E92-2E47-AB32-D545C1FFC62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365.08</c:v>
                </c:pt>
                <c:pt idx="2">
                  <c:v>433.57</c:v>
                </c:pt>
                <c:pt idx="3">
                  <c:v>155.82</c:v>
                </c:pt>
                <c:pt idx="4">
                  <c:v>77.31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92-2E47-AB32-D545C1FFC62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5BF-2848-997A-67B83D124A9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5BF-2848-997A-67B83D124A9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BF-2848-997A-67B83D124A9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5BF-2848-997A-67B83D124A9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5BF-2848-997A-67B83D124A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linear_250!$K$39:$K$43</c:f>
              <c:numCache>
                <c:formatCode>General</c:formatCode>
                <c:ptCount val="5"/>
                <c:pt idx="0">
                  <c:v>20.149999999999999</c:v>
                </c:pt>
                <c:pt idx="1">
                  <c:v>45.13</c:v>
                </c:pt>
                <c:pt idx="2">
                  <c:v>23.17</c:v>
                </c:pt>
                <c:pt idx="3">
                  <c:v>6.63</c:v>
                </c:pt>
                <c:pt idx="4">
                  <c:v>4.91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5BF-2848-997A-67B83D124A9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281-DF45-8BD9-ED3F872106A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281-DF45-8BD9-ED3F872106A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281-DF45-8BD9-ED3F872106A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281-DF45-8BD9-ED3F872106A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281-DF45-8BD9-ED3F872106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1343.64</c:v>
                </c:pt>
                <c:pt idx="2">
                  <c:v>689.73</c:v>
                </c:pt>
                <c:pt idx="3">
                  <c:v>197.45</c:v>
                </c:pt>
                <c:pt idx="4">
                  <c:v>146.18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281-DF45-8BD9-ED3F872106A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6F8D-1947-BC91-D3160D6635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6F8D-1947-BC91-D3160D6635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6F8D-1947-BC91-D3160D6635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6F8D-1947-BC91-D3160D6635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6F8D-1947-BC91-D3160D6635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linear_400!$K$39:$K$43</c:f>
              <c:numCache>
                <c:formatCode>General</c:formatCode>
                <c:ptCount val="5"/>
                <c:pt idx="0">
                  <c:v>28.95</c:v>
                </c:pt>
                <c:pt idx="1">
                  <c:v>33.74</c:v>
                </c:pt>
                <c:pt idx="2">
                  <c:v>24.33</c:v>
                </c:pt>
                <c:pt idx="3">
                  <c:v>8.19</c:v>
                </c:pt>
                <c:pt idx="4">
                  <c:v>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8D-1947-BC91-D3160D6635F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E91-9845-A92F-09AFD405201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E91-9845-A92F-09AFD405201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E91-9845-A92F-09AFD405201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E91-9845-A92F-09AFD405201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E91-9845-A92F-09AFD4052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699.43</c:v>
                </c:pt>
                <c:pt idx="2">
                  <c:v>504.29</c:v>
                </c:pt>
                <c:pt idx="3">
                  <c:v>169.7</c:v>
                </c:pt>
                <c:pt idx="4">
                  <c:v>99.38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91-9845-A92F-09AFD405201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A2-2243-8047-ACC3306D660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A2-2243-8047-ACC3306D660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A2-2243-8047-ACC3306D660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A2-2243-8047-ACC3306D660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A2-2243-8047-ACC3306D66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linear_550!$K$39:$K$43</c:f>
              <c:numCache>
                <c:formatCode>General</c:formatCode>
                <c:ptCount val="5"/>
                <c:pt idx="0">
                  <c:v>33.65</c:v>
                </c:pt>
                <c:pt idx="1">
                  <c:v>26.89</c:v>
                </c:pt>
                <c:pt idx="2">
                  <c:v>25.7</c:v>
                </c:pt>
                <c:pt idx="3">
                  <c:v>9.01</c:v>
                </c:pt>
                <c:pt idx="4">
                  <c:v>4.76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A2-2243-8047-ACC3306D660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4F-F94B-8751-FED1E0E1CB0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4F-F94B-8751-FED1E0E1CB0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4F-F94B-8751-FED1E0E1CB0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94F-F94B-8751-FED1E0E1CB0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94F-F94B-8751-FED1E0E1CB0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linear_550!$K$31:$K$35</c:f>
              <c:numCache>
                <c:formatCode>General</c:formatCode>
                <c:ptCount val="5"/>
                <c:pt idx="0">
                  <c:v>600</c:v>
                </c:pt>
                <c:pt idx="1">
                  <c:v>479.34</c:v>
                </c:pt>
                <c:pt idx="2">
                  <c:v>458.15</c:v>
                </c:pt>
                <c:pt idx="3">
                  <c:v>160.63</c:v>
                </c:pt>
                <c:pt idx="4">
                  <c:v>84.81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94F-F94B-8751-FED1E0E1CB0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FC3F-3A4D-BBD3-2F23F159073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C3F-3A4D-BBD3-2F23F159073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C3F-3A4D-BBD3-2F23F159073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FC3F-3A4D-BBD3-2F23F159073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FC3F-3A4D-BBD3-2F23F159073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linear_700!$J$39:$J$43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linear_700!$K$39:$K$43</c:f>
              <c:numCache>
                <c:formatCode>General</c:formatCode>
                <c:ptCount val="5"/>
                <c:pt idx="0">
                  <c:v>36.770000000000003</c:v>
                </c:pt>
                <c:pt idx="1">
                  <c:v>22.37</c:v>
                </c:pt>
                <c:pt idx="2">
                  <c:v>26.57</c:v>
                </c:pt>
                <c:pt idx="3">
                  <c:v>9.5500000000000007</c:v>
                </c:pt>
                <c:pt idx="4">
                  <c:v>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3F-3A4D-BBD3-2F23F159073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CD4-494E-BD7F-F6FE7B71FF5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CD4-494E-BD7F-F6FE7B71FF5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CD4-494E-BD7F-F6FE7B71FF5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CD4-494E-BD7F-F6FE7B71FF5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CD4-494E-BD7F-F6FE7B71FF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linear_700!$J$31:$J$35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linear_700!$K$31:$K$35</c:f>
              <c:numCache>
                <c:formatCode>General</c:formatCode>
                <c:ptCount val="5"/>
                <c:pt idx="0">
                  <c:v>600</c:v>
                </c:pt>
                <c:pt idx="1">
                  <c:v>365.08</c:v>
                </c:pt>
                <c:pt idx="2">
                  <c:v>433.57</c:v>
                </c:pt>
                <c:pt idx="3">
                  <c:v>155.82</c:v>
                </c:pt>
                <c:pt idx="4">
                  <c:v>77.31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CD4-494E-BD7F-F6FE7B71FF5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61F4B7-41F9-F343-8C66-DE24ECDCF4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BE5DE6-D8D9-4940-ABC3-31A47A6C71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3AFF0-ECE8-4348-B104-D28BF959B9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36292-9C07-1D4B-BB6A-46072D7B8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7C58BF-675E-F14E-87F7-BBB63CE398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8EBF69-1962-AE44-AA63-85E96CD84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4E75F-D816-5547-BAA4-8874E30CD1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9BF315-BBE2-E348-A167-264200A471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CE1C9-E089-5B4E-A20D-9F0A421169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92E60-0489-E74B-82FC-CEE8010A3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50E77-BEBA-CA4A-A5E4-E9C2B842F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82398-29E0-124F-80BA-4F9B0DCF7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47F294-8FFB-FC47-AAD7-1BE352872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A1F72-A577-7A43-8DB7-1D449938E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124410</xdr:colOff>
      <xdr:row>29</xdr:row>
      <xdr:rowOff>159439</xdr:rowOff>
    </xdr:from>
    <xdr:to>
      <xdr:col>16</xdr:col>
      <xdr:colOff>398517</xdr:colOff>
      <xdr:row>41</xdr:row>
      <xdr:rowOff>130128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2F4A6-32A6-944F-8823-D4F26A0CE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318889</xdr:colOff>
      <xdr:row>38</xdr:row>
      <xdr:rowOff>3300</xdr:rowOff>
    </xdr:from>
    <xdr:to>
      <xdr:col>8</xdr:col>
      <xdr:colOff>156356</xdr:colOff>
      <xdr:row>49</xdr:row>
      <xdr:rowOff>96433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8C6612-7A71-C042-840A-D8B50650F4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0743-77EF-074A-8B11-1BF1065A8D4A}">
  <dimension ref="B3:G15"/>
  <sheetViews>
    <sheetView tabSelected="1" topLeftCell="A2" workbookViewId="0">
      <selection activeCell="F9" sqref="F9"/>
    </sheetView>
  </sheetViews>
  <sheetFormatPr baseColWidth="10" defaultRowHeight="16" x14ac:dyDescent="0.2"/>
  <sheetData>
    <row r="3" spans="2:7" x14ac:dyDescent="0.2">
      <c r="B3" s="2"/>
      <c r="C3" s="2"/>
      <c r="D3" s="2"/>
      <c r="E3" s="2" t="s">
        <v>161</v>
      </c>
      <c r="F3" s="2" t="s">
        <v>160</v>
      </c>
    </row>
    <row r="4" spans="2:7" x14ac:dyDescent="0.2">
      <c r="B4" s="27" t="s">
        <v>164</v>
      </c>
      <c r="C4" s="27"/>
      <c r="D4" s="27"/>
      <c r="E4" s="4">
        <f>C7*E7 + C8*E8 + C9*E9 + C10*E10</f>
        <v>192.92923474268898</v>
      </c>
      <c r="F4" s="4">
        <f xml:space="preserve"> C12*E12 + C13*E13 + C14*E14 + C15*E15</f>
        <v>184.18460773719642</v>
      </c>
    </row>
    <row r="6" spans="2:7" x14ac:dyDescent="0.2">
      <c r="D6" s="2"/>
      <c r="E6" s="2"/>
      <c r="F6" s="2"/>
      <c r="G6" s="2"/>
    </row>
    <row r="7" spans="2:7" x14ac:dyDescent="0.2">
      <c r="B7" s="28" t="s">
        <v>162</v>
      </c>
      <c r="C7" s="2">
        <v>0.25</v>
      </c>
      <c r="D7" s="27" t="s">
        <v>165</v>
      </c>
      <c r="E7" s="2">
        <f>uniform_250!K8</f>
        <v>228.4187316334849</v>
      </c>
      <c r="F7" s="2"/>
      <c r="G7" s="2"/>
    </row>
    <row r="8" spans="2:7" x14ac:dyDescent="0.2">
      <c r="B8" s="27"/>
      <c r="C8" s="2">
        <v>0.25</v>
      </c>
      <c r="D8" s="27"/>
      <c r="E8" s="2">
        <f>uniform_400!K8</f>
        <v>190.2453081020127</v>
      </c>
      <c r="F8" s="2"/>
      <c r="G8" s="2"/>
    </row>
    <row r="9" spans="2:7" x14ac:dyDescent="0.2">
      <c r="B9" s="27"/>
      <c r="C9" s="2">
        <v>0.25</v>
      </c>
      <c r="D9" s="27"/>
      <c r="E9" s="2">
        <f>uniform_550!K8</f>
        <v>179.27488447465129</v>
      </c>
      <c r="F9" s="2"/>
      <c r="G9" s="2"/>
    </row>
    <row r="10" spans="2:7" x14ac:dyDescent="0.2">
      <c r="B10" s="27"/>
      <c r="C10" s="2">
        <v>0.25</v>
      </c>
      <c r="D10" s="27"/>
      <c r="E10" s="2">
        <f>uniform_700!K8</f>
        <v>173.77801476060714</v>
      </c>
      <c r="F10" s="2"/>
      <c r="G10" s="2"/>
    </row>
    <row r="11" spans="2:7" x14ac:dyDescent="0.2">
      <c r="D11" s="2"/>
      <c r="E11" s="2"/>
      <c r="F11" s="2"/>
      <c r="G11" s="2"/>
    </row>
    <row r="12" spans="2:7" x14ac:dyDescent="0.2">
      <c r="B12" s="28" t="s">
        <v>163</v>
      </c>
      <c r="C12" s="2">
        <v>0.1</v>
      </c>
      <c r="D12" s="27" t="s">
        <v>165</v>
      </c>
      <c r="E12" s="2">
        <f>linear_250!K8</f>
        <v>228.41874742140632</v>
      </c>
      <c r="F12" s="2"/>
      <c r="G12" s="2"/>
    </row>
    <row r="13" spans="2:7" x14ac:dyDescent="0.2">
      <c r="B13" s="27"/>
      <c r="C13" s="2">
        <v>0.2</v>
      </c>
      <c r="D13" s="27"/>
      <c r="E13" s="2">
        <f>linear_400!K8</f>
        <v>190.24530305799925</v>
      </c>
      <c r="F13" s="2"/>
      <c r="G13" s="2"/>
    </row>
    <row r="14" spans="2:7" x14ac:dyDescent="0.2">
      <c r="B14" s="27"/>
      <c r="C14" s="2">
        <v>0.3</v>
      </c>
      <c r="D14" s="27"/>
      <c r="E14" s="2">
        <f>linear_550!K8</f>
        <v>179.27488496820209</v>
      </c>
      <c r="F14" s="2"/>
      <c r="G14" s="2"/>
    </row>
    <row r="15" spans="2:7" x14ac:dyDescent="0.2">
      <c r="B15" s="27"/>
      <c r="C15" s="2">
        <v>0.4</v>
      </c>
      <c r="D15" s="27"/>
      <c r="E15" s="2">
        <f>linear_700!K8</f>
        <v>173.77801723248831</v>
      </c>
      <c r="F15" s="2"/>
      <c r="G15" s="2"/>
    </row>
  </sheetData>
  <mergeCells count="5">
    <mergeCell ref="B4:D4"/>
    <mergeCell ref="B7:B10"/>
    <mergeCell ref="B12:B15"/>
    <mergeCell ref="D7:D10"/>
    <mergeCell ref="D1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C382-40AF-4244-A673-F9A2ECD93E49}">
  <dimension ref="B1:AO56"/>
  <sheetViews>
    <sheetView topLeftCell="C1" workbookViewId="0">
      <selection activeCell="K8" sqref="K8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582.18060979987388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5.0171539660720646E-2</v>
      </c>
      <c r="X4" s="3">
        <v>1</v>
      </c>
      <c r="Y4" s="2">
        <f t="shared" ref="Y4:Y34" si="1" xml:space="preserve"> $O$20 * TAN($O$17/180*PI()) + $O$21 / (2 * SQRT($O$20^2 + X4^2)) - X4</f>
        <v>-0.95457819481280559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-0.45234471072997307</v>
      </c>
      <c r="AB4" s="2">
        <f>W4*AA4</f>
        <v>-2.2694830594706051E-2</v>
      </c>
      <c r="AC4" s="2">
        <f>Y4*AA4</f>
        <v>0.43179839740173842</v>
      </c>
      <c r="AD4" s="2">
        <f>X4-V4</f>
        <v>1</v>
      </c>
      <c r="AF4" s="2">
        <v>0</v>
      </c>
      <c r="AG4" s="2"/>
      <c r="AH4" s="2">
        <f>K27</f>
        <v>2.6969426867253787E-3</v>
      </c>
      <c r="AI4" s="2"/>
      <c r="AJ4" s="2">
        <f>K27</f>
        <v>2.6969426867253787E-3</v>
      </c>
      <c r="AK4" s="2"/>
      <c r="AL4" s="2">
        <f>K27</f>
        <v>2.6969426867253787E-3</v>
      </c>
      <c r="AM4" s="2"/>
      <c r="AN4" s="2"/>
      <c r="AO4" s="2"/>
    </row>
    <row r="5" spans="2:41" x14ac:dyDescent="0.2">
      <c r="B5" s="10" t="s">
        <v>37</v>
      </c>
      <c r="C5" s="10">
        <v>2977.00965836775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145.54515244996847</v>
      </c>
      <c r="L5" s="6" t="s">
        <v>101</v>
      </c>
      <c r="N5" s="6" t="s">
        <v>114</v>
      </c>
      <c r="O5" s="6">
        <f xml:space="preserve"> $C$18 * 0.85 * ($C$5/$C$18 *2.20462/1000)^(2/3) * 0.3048^2</f>
        <v>0.43941833336779568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5.0171539660720646E-2</v>
      </c>
      <c r="X5" s="2">
        <f>IF(AC4&gt;0, Z4, X4)</f>
        <v>0.5</v>
      </c>
      <c r="Y5" s="2">
        <f t="shared" si="1"/>
        <v>-0.45234471072997307</v>
      </c>
      <c r="Z5" s="2">
        <f t="shared" ref="Z5:Z34" si="3" xml:space="preserve"> (V5 + X5)/2</f>
        <v>0.25</v>
      </c>
      <c r="AA5" s="2">
        <f t="shared" si="2"/>
        <v>-0.20073531549318657</v>
      </c>
      <c r="AB5" s="2">
        <f t="shared" ref="AB5:AB34" si="4">W5*AA5</f>
        <v>-1.0071199842573682E-2</v>
      </c>
      <c r="AC5" s="2">
        <f t="shared" ref="AC5:AC34" si="5">Y5*AA5</f>
        <v>9.0801558220055367E-2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-1260.2751987097829</v>
      </c>
      <c r="AI5" s="3">
        <v>10000</v>
      </c>
      <c r="AJ5" s="2">
        <f t="dataTable" ref="AJ5:AJ44" dt2D="0" dtr="0" r1="C5" ca="1"/>
        <v>1623.0988172804127</v>
      </c>
      <c r="AK5" s="2">
        <f>(AG5+AI5)/2</f>
        <v>5250</v>
      </c>
      <c r="AL5" s="2">
        <f t="dataTable" ref="AL5:AL44" dt2D="0" dtr="0" r1="C5"/>
        <v>842.25716317378601</v>
      </c>
      <c r="AM5" s="2">
        <f>AH5*AL5</f>
        <v>-1061475.8136835813</v>
      </c>
      <c r="AN5" s="2">
        <f>AJ5*AL5</f>
        <v>1367066.6053933278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5.0171539660720646E-2</v>
      </c>
      <c r="X6" s="2">
        <f t="shared" ref="X6:X34" si="8">IF(AC5&gt;0, Z5, X5)</f>
        <v>0.25</v>
      </c>
      <c r="Y6" s="2">
        <f t="shared" si="1"/>
        <v>-0.20073531549318657</v>
      </c>
      <c r="Z6" s="2">
        <f t="shared" si="3"/>
        <v>0.125</v>
      </c>
      <c r="AA6" s="2">
        <f t="shared" si="2"/>
        <v>-7.5084916519298744E-2</v>
      </c>
      <c r="AB6" s="2">
        <f t="shared" si="4"/>
        <v>-3.7671258670698956E-3</v>
      </c>
      <c r="AC6" s="2">
        <f t="shared" si="5"/>
        <v>1.5072194406281009E-2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-1260.2751987097829</v>
      </c>
      <c r="AI6" s="2">
        <f>IF(AN5&gt;0, AK5, AI5)</f>
        <v>5250</v>
      </c>
      <c r="AJ6" s="2">
        <v>842.25716317378601</v>
      </c>
      <c r="AK6" s="2">
        <f t="shared" ref="AK6:AK43" si="9">(AG6+AI6)/2</f>
        <v>2875</v>
      </c>
      <c r="AL6" s="2">
        <v>-45.216984115636478</v>
      </c>
      <c r="AM6" s="2">
        <f t="shared" ref="AM6:AM44" si="10">AH6*AL6</f>
        <v>56985.843641390857</v>
      </c>
      <c r="AN6" s="2">
        <f t="shared" ref="AN6:AN44" si="11">AJ6*AL6</f>
        <v>-38084.328768510124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328.866140954115</v>
      </c>
      <c r="D7" s="6" t="s">
        <v>125</v>
      </c>
      <c r="F7" t="s">
        <v>121</v>
      </c>
      <c r="G7" s="8">
        <f>$C$6*2*PI()/60*$C$9</f>
        <v>162.51463850850129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1.0696949567028917</v>
      </c>
      <c r="P7" s="6" t="s">
        <v>115</v>
      </c>
      <c r="U7" s="2">
        <v>3</v>
      </c>
      <c r="V7" s="2">
        <f t="shared" si="7"/>
        <v>0</v>
      </c>
      <c r="W7" s="2">
        <f t="shared" si="0"/>
        <v>5.0171539660720646E-2</v>
      </c>
      <c r="X7" s="2">
        <f t="shared" si="8"/>
        <v>0.125</v>
      </c>
      <c r="Y7" s="2">
        <f t="shared" si="1"/>
        <v>-7.5084916519298744E-2</v>
      </c>
      <c r="Z7" s="2">
        <f t="shared" si="3"/>
        <v>6.25E-2</v>
      </c>
      <c r="AA7" s="2">
        <f t="shared" si="2"/>
        <v>-1.2394787066003166E-2</v>
      </c>
      <c r="AB7" s="2">
        <f t="shared" si="4"/>
        <v>-6.2186555086816509E-4</v>
      </c>
      <c r="AC7" s="2">
        <f t="shared" si="5"/>
        <v>9.3066155212533151E-4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-45.216984115636478</v>
      </c>
      <c r="AI7" s="2">
        <f t="shared" ref="AI7:AI44" si="14">IF(AN6&gt;0, AK6, AI6)</f>
        <v>5250</v>
      </c>
      <c r="AJ7" s="2">
        <v>842.25716317378601</v>
      </c>
      <c r="AK7" s="2">
        <f t="shared" si="9"/>
        <v>4062.5</v>
      </c>
      <c r="AL7" s="2">
        <v>442.27741419360791</v>
      </c>
      <c r="AM7" s="2">
        <f t="shared" si="10"/>
        <v>-19998.450812297146</v>
      </c>
      <c r="AN7" s="2">
        <f t="shared" si="11"/>
        <v>372511.32021454576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0.48669179910239274</v>
      </c>
      <c r="H8" s="6" t="s">
        <v>122</v>
      </c>
      <c r="J8" s="6" t="s">
        <v>96</v>
      </c>
      <c r="K8" s="6">
        <f xml:space="preserve"> $C$15 * (G12*G6 + G22*G15 + G31*G27 +G35*G34)/3600</f>
        <v>228.4187316334849</v>
      </c>
      <c r="L8" s="6" t="s">
        <v>102</v>
      </c>
      <c r="N8" s="6" t="s">
        <v>38</v>
      </c>
      <c r="O8" s="6">
        <f xml:space="preserve"> O4 *O7</f>
        <v>2425.4945759564475</v>
      </c>
      <c r="P8" s="6" t="s">
        <v>20</v>
      </c>
      <c r="U8" s="2">
        <v>4</v>
      </c>
      <c r="V8" s="2">
        <f t="shared" si="7"/>
        <v>0</v>
      </c>
      <c r="W8" s="2">
        <f t="shared" si="0"/>
        <v>5.0171539660720646E-2</v>
      </c>
      <c r="X8" s="2">
        <f t="shared" si="8"/>
        <v>6.25E-2</v>
      </c>
      <c r="Y8" s="2">
        <f t="shared" si="1"/>
        <v>-1.2394787066003166E-2</v>
      </c>
      <c r="Z8" s="2">
        <f t="shared" si="3"/>
        <v>3.125E-2</v>
      </c>
      <c r="AA8" s="2">
        <f t="shared" si="2"/>
        <v>1.8904812981856943E-2</v>
      </c>
      <c r="AB8" s="2">
        <f t="shared" si="4"/>
        <v>9.4848357429774214E-4</v>
      </c>
      <c r="AC8" s="2">
        <f t="shared" si="5"/>
        <v>-2.3432113143272918E-4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-45.216984115636478</v>
      </c>
      <c r="AI8" s="2">
        <f t="shared" si="14"/>
        <v>4062.5</v>
      </c>
      <c r="AJ8" s="2">
        <v>442.27741419360791</v>
      </c>
      <c r="AK8" s="2">
        <f t="shared" si="9"/>
        <v>3468.75</v>
      </c>
      <c r="AL8" s="2">
        <v>209.51442893110288</v>
      </c>
      <c r="AM8" s="2">
        <f t="shared" si="10"/>
        <v>-9473.6106049743266</v>
      </c>
      <c r="AN8" s="2">
        <f t="shared" si="11"/>
        <v>92663.499863898614</v>
      </c>
      <c r="AO8" s="2">
        <f t="shared" si="12"/>
        <v>1187.5</v>
      </c>
    </row>
    <row r="9" spans="2:41" x14ac:dyDescent="0.2">
      <c r="B9" s="6" t="s">
        <v>95</v>
      </c>
      <c r="C9" s="17">
        <v>3.8797512065130699</v>
      </c>
      <c r="D9" s="6" t="s">
        <v>8</v>
      </c>
      <c r="F9" t="s">
        <v>19</v>
      </c>
      <c r="G9" s="6">
        <f xml:space="preserve"> $C$5 * $C$44 / $C$18</f>
        <v>7294.7834865460081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2425.4945759564475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1.8904812981856943E-2</v>
      </c>
      <c r="X9" s="2">
        <f t="shared" si="8"/>
        <v>6.25E-2</v>
      </c>
      <c r="Y9" s="2">
        <f t="shared" si="1"/>
        <v>-1.2394787066003166E-2</v>
      </c>
      <c r="Z9" s="2">
        <f t="shared" si="3"/>
        <v>4.6875E-2</v>
      </c>
      <c r="AA9" s="2">
        <f t="shared" si="2"/>
        <v>3.2590413355555667E-3</v>
      </c>
      <c r="AB9" s="2">
        <f t="shared" si="4"/>
        <v>6.1611566948819262E-5</v>
      </c>
      <c r="AC9" s="2">
        <f t="shared" si="5"/>
        <v>-4.039512339351382E-5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-45.216984115636478</v>
      </c>
      <c r="AI9" s="2">
        <f t="shared" si="14"/>
        <v>3468.75</v>
      </c>
      <c r="AJ9" s="2">
        <v>209.51442893110288</v>
      </c>
      <c r="AK9" s="2">
        <f t="shared" si="9"/>
        <v>3171.875</v>
      </c>
      <c r="AL9" s="2">
        <v>84.758543667200229</v>
      </c>
      <c r="AM9" s="2">
        <f t="shared" si="10"/>
        <v>-3832.5257226642734</v>
      </c>
      <c r="AN9" s="2">
        <f t="shared" si="11"/>
        <v>17758.137873465403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97.030101633312313</v>
      </c>
      <c r="H10" s="6" t="s">
        <v>101</v>
      </c>
      <c r="N10" s="6" t="s">
        <v>113</v>
      </c>
      <c r="O10" s="6">
        <f>O7/(0.3048^2)/($C$5*2.20462/1000)^(2/3)</f>
        <v>3.2846368824895742</v>
      </c>
      <c r="U10" s="2">
        <v>6</v>
      </c>
      <c r="V10" s="2">
        <f t="shared" si="7"/>
        <v>4.6875E-2</v>
      </c>
      <c r="W10" s="2">
        <f t="shared" si="0"/>
        <v>3.2590413355555667E-3</v>
      </c>
      <c r="X10" s="2">
        <f t="shared" si="8"/>
        <v>6.25E-2</v>
      </c>
      <c r="Y10" s="2">
        <f t="shared" si="1"/>
        <v>-1.2394787066003166E-2</v>
      </c>
      <c r="Z10" s="2">
        <f t="shared" si="3"/>
        <v>5.46875E-2</v>
      </c>
      <c r="AA10" s="2">
        <f t="shared" si="2"/>
        <v>-4.5668795854944683E-3</v>
      </c>
      <c r="AB10" s="2">
        <f t="shared" si="4"/>
        <v>-1.4883649343631345E-5</v>
      </c>
      <c r="AC10" s="2">
        <f t="shared" si="5"/>
        <v>5.6605500018280732E-5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-45.216984115636478</v>
      </c>
      <c r="AI10" s="2">
        <f t="shared" si="14"/>
        <v>3171.875</v>
      </c>
      <c r="AJ10" s="2">
        <v>84.758543667200229</v>
      </c>
      <c r="AK10" s="2">
        <f t="shared" si="9"/>
        <v>3023.4375</v>
      </c>
      <c r="AL10" s="2">
        <v>20.393352046690325</v>
      </c>
      <c r="AM10" s="2">
        <f t="shared" si="10"/>
        <v>-922.12587555977905</v>
      </c>
      <c r="AN10" s="2">
        <f t="shared" si="11"/>
        <v>1728.5108199699891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7.6703250029001442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4.6875E-2</v>
      </c>
      <c r="W11" s="2">
        <f t="shared" si="0"/>
        <v>3.2590413355555667E-3</v>
      </c>
      <c r="X11" s="2">
        <f t="shared" si="8"/>
        <v>5.46875E-2</v>
      </c>
      <c r="Y11" s="2">
        <f t="shared" si="1"/>
        <v>-4.5668795854944683E-3</v>
      </c>
      <c r="Z11" s="2">
        <f t="shared" si="3"/>
        <v>5.078125E-2</v>
      </c>
      <c r="AA11" s="2">
        <f t="shared" si="2"/>
        <v>-6.5366891938201804E-4</v>
      </c>
      <c r="AB11" s="2">
        <f t="shared" si="4"/>
        <v>-2.1303340280339363E-6</v>
      </c>
      <c r="AC11" s="2">
        <f t="shared" si="5"/>
        <v>2.9852272435979676E-6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-45.216984115636478</v>
      </c>
      <c r="AI11" s="2">
        <f t="shared" si="14"/>
        <v>3023.4375</v>
      </c>
      <c r="AJ11" s="2">
        <v>20.393352046690325</v>
      </c>
      <c r="AK11" s="2">
        <f t="shared" si="9"/>
        <v>2949.21875</v>
      </c>
      <c r="AL11" s="2">
        <v>-12.260247394550333</v>
      </c>
      <c r="AM11" s="2">
        <f t="shared" si="10"/>
        <v>554.37141169315589</v>
      </c>
      <c r="AN11" s="2">
        <f t="shared" si="11"/>
        <v>-250.02754129658277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388.12040653324925</v>
      </c>
      <c r="H12" s="25" t="s">
        <v>101</v>
      </c>
      <c r="J12" s="10" t="s">
        <v>79</v>
      </c>
      <c r="K12" s="6">
        <f>C5</f>
        <v>2977.00965836775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4.6875E-2</v>
      </c>
      <c r="W12" s="2">
        <f t="shared" si="0"/>
        <v>3.2590413355555667E-3</v>
      </c>
      <c r="X12" s="2">
        <f t="shared" si="8"/>
        <v>5.078125E-2</v>
      </c>
      <c r="Y12" s="2">
        <f t="shared" si="1"/>
        <v>-6.5366891938201804E-4</v>
      </c>
      <c r="Z12" s="2">
        <f t="shared" si="3"/>
        <v>4.8828125E-2</v>
      </c>
      <c r="AA12" s="2">
        <f t="shared" si="2"/>
        <v>1.3027489815446575E-3</v>
      </c>
      <c r="AB12" s="2">
        <f t="shared" si="4"/>
        <v>4.2457127807069549E-6</v>
      </c>
      <c r="AC12" s="2">
        <f t="shared" si="5"/>
        <v>-8.5156651899232082E-7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-12.260247394550333</v>
      </c>
      <c r="AI12" s="2">
        <f t="shared" si="14"/>
        <v>3023.4375</v>
      </c>
      <c r="AJ12" s="2">
        <v>20.393352046690325</v>
      </c>
      <c r="AK12" s="2">
        <f t="shared" si="9"/>
        <v>2986.328125</v>
      </c>
      <c r="AL12" s="2">
        <v>4.1049405627977649</v>
      </c>
      <c r="AM12" s="2">
        <f t="shared" si="10"/>
        <v>-50.327586839825273</v>
      </c>
      <c r="AN12" s="2">
        <f t="shared" si="11"/>
        <v>83.713498027873925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1343.6395978440287</v>
      </c>
      <c r="L13" s="6" t="s">
        <v>7</v>
      </c>
      <c r="N13" s="6" t="s">
        <v>74</v>
      </c>
      <c r="O13" s="6">
        <f xml:space="preserve"> SQRT( ($C$5*$C$50)^2 + O9^2)</f>
        <v>29276.987720137909</v>
      </c>
      <c r="P13" s="6" t="s">
        <v>20</v>
      </c>
      <c r="U13" s="2">
        <v>9</v>
      </c>
      <c r="V13" s="2">
        <f t="shared" si="7"/>
        <v>4.8828125E-2</v>
      </c>
      <c r="W13" s="2">
        <f t="shared" si="0"/>
        <v>1.3027489815446575E-3</v>
      </c>
      <c r="X13" s="2">
        <f t="shared" si="8"/>
        <v>5.078125E-2</v>
      </c>
      <c r="Y13" s="2">
        <f t="shared" si="1"/>
        <v>-6.5366891938201804E-4</v>
      </c>
      <c r="Z13" s="2">
        <f t="shared" si="3"/>
        <v>4.98046875E-2</v>
      </c>
      <c r="AA13" s="2">
        <f t="shared" si="2"/>
        <v>3.2455569730586997E-4</v>
      </c>
      <c r="AB13" s="2">
        <f t="shared" si="4"/>
        <v>4.2281460411973826E-7</v>
      </c>
      <c r="AC13" s="2">
        <f t="shared" si="5"/>
        <v>-2.1215197193720538E-7</v>
      </c>
      <c r="AD13" s="2">
        <f t="shared" si="6"/>
        <v>1.953125E-3</v>
      </c>
      <c r="AF13" s="2">
        <v>9</v>
      </c>
      <c r="AG13" s="2">
        <f t="shared" si="13"/>
        <v>2949.21875</v>
      </c>
      <c r="AH13" s="2">
        <v>-12.260247394550333</v>
      </c>
      <c r="AI13" s="2">
        <f t="shared" si="14"/>
        <v>2986.328125</v>
      </c>
      <c r="AJ13" s="2">
        <v>4.1049405627977649</v>
      </c>
      <c r="AK13" s="2">
        <f t="shared" si="9"/>
        <v>2967.7734375</v>
      </c>
      <c r="AL13" s="2">
        <v>-4.0681164305956372</v>
      </c>
      <c r="AM13" s="2">
        <f t="shared" si="10"/>
        <v>49.876113868937566</v>
      </c>
      <c r="AN13" s="2">
        <f t="shared" si="11"/>
        <v>-16.699376150136089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216.33710667304814</v>
      </c>
      <c r="L14" s="6" t="s">
        <v>7</v>
      </c>
      <c r="N14" s="6" t="s">
        <v>75</v>
      </c>
      <c r="O14" s="6">
        <f>$C$5*$C$50/O13</f>
        <v>0.99656232383559462</v>
      </c>
      <c r="U14" s="2">
        <v>10</v>
      </c>
      <c r="V14" s="2">
        <f t="shared" si="7"/>
        <v>4.98046875E-2</v>
      </c>
      <c r="W14" s="2">
        <f t="shared" si="0"/>
        <v>3.2455569730586997E-4</v>
      </c>
      <c r="X14" s="2">
        <f t="shared" si="8"/>
        <v>5.078125E-2</v>
      </c>
      <c r="Y14" s="2">
        <f t="shared" si="1"/>
        <v>-6.5366891938201804E-4</v>
      </c>
      <c r="Z14" s="2">
        <f t="shared" si="3"/>
        <v>5.029296875E-2</v>
      </c>
      <c r="AA14" s="2">
        <f t="shared" si="2"/>
        <v>-1.6455269792872707E-4</v>
      </c>
      <c r="AB14" s="2">
        <f t="shared" si="4"/>
        <v>-5.3406515619820201E-8</v>
      </c>
      <c r="AC14" s="2">
        <f t="shared" si="5"/>
        <v>1.0756298423646665E-7</v>
      </c>
      <c r="AD14" s="2">
        <f t="shared" si="6"/>
        <v>9.765625E-4</v>
      </c>
      <c r="AF14" s="2">
        <v>10</v>
      </c>
      <c r="AG14" s="2">
        <f t="shared" si="13"/>
        <v>2967.7734375</v>
      </c>
      <c r="AH14" s="2">
        <v>-4.0681164305956372</v>
      </c>
      <c r="AI14" s="2">
        <f t="shared" si="14"/>
        <v>2986.328125</v>
      </c>
      <c r="AJ14" s="2">
        <v>4.1049405627977649</v>
      </c>
      <c r="AK14" s="2">
        <f t="shared" si="9"/>
        <v>2977.05078125</v>
      </c>
      <c r="AL14" s="2">
        <v>2.080000446358099E-2</v>
      </c>
      <c r="AM14" s="2">
        <f t="shared" si="10"/>
        <v>-8.4616839914756423E-2</v>
      </c>
      <c r="AN14" s="2">
        <f t="shared" si="11"/>
        <v>8.538278202892817E-2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320.3055348222245</v>
      </c>
      <c r="L15" s="6" t="s">
        <v>7</v>
      </c>
      <c r="U15" s="2">
        <v>11</v>
      </c>
      <c r="V15" s="2">
        <f t="shared" si="7"/>
        <v>4.98046875E-2</v>
      </c>
      <c r="W15" s="2">
        <f t="shared" si="0"/>
        <v>3.2455569730586997E-4</v>
      </c>
      <c r="X15" s="2">
        <f t="shared" si="8"/>
        <v>5.029296875E-2</v>
      </c>
      <c r="Y15" s="2">
        <f t="shared" si="1"/>
        <v>-1.6455269792872707E-4</v>
      </c>
      <c r="Z15" s="2">
        <f t="shared" si="3"/>
        <v>5.0048828125E-2</v>
      </c>
      <c r="AA15" s="2">
        <f t="shared" si="2"/>
        <v>8.0002478399177068E-5</v>
      </c>
      <c r="AB15" s="2">
        <f t="shared" si="4"/>
        <v>2.5965260163042713E-8</v>
      </c>
      <c r="AC15" s="2">
        <f t="shared" si="5"/>
        <v>-1.3164623661569296E-8</v>
      </c>
      <c r="AD15" s="2">
        <f t="shared" si="6"/>
        <v>4.8828125E-4</v>
      </c>
      <c r="AF15" s="2">
        <v>11</v>
      </c>
      <c r="AG15" s="2">
        <f t="shared" si="13"/>
        <v>2967.7734375</v>
      </c>
      <c r="AH15" s="2">
        <v>-4.0681164305956372</v>
      </c>
      <c r="AI15" s="2">
        <f t="shared" si="14"/>
        <v>2977.05078125</v>
      </c>
      <c r="AJ15" s="2">
        <v>2.080000446358099E-2</v>
      </c>
      <c r="AK15" s="2">
        <f t="shared" si="9"/>
        <v>2972.412109375</v>
      </c>
      <c r="AL15" s="2">
        <v>-2.023061358605446</v>
      </c>
      <c r="AM15" s="2">
        <f t="shared" si="10"/>
        <v>8.2300491530459468</v>
      </c>
      <c r="AN15" s="2">
        <f t="shared" si="11"/>
        <v>-4.2079685289091499E-2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133.61390503710959</v>
      </c>
      <c r="H16" s="6" t="s">
        <v>10</v>
      </c>
      <c r="J16" s="13" t="s">
        <v>53</v>
      </c>
      <c r="K16" s="6">
        <f xml:space="preserve"> $C$54 * 0.2138 * K4</f>
        <v>99.576171500170432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5.0048828125E-2</v>
      </c>
      <c r="W16" s="2">
        <f t="shared" si="0"/>
        <v>8.0002478399177068E-5</v>
      </c>
      <c r="X16" s="2">
        <f t="shared" si="8"/>
        <v>5.029296875E-2</v>
      </c>
      <c r="Y16" s="2">
        <f t="shared" si="1"/>
        <v>-1.6455269792872707E-4</v>
      </c>
      <c r="Z16" s="2">
        <f t="shared" si="3"/>
        <v>5.01708984375E-2</v>
      </c>
      <c r="AA16" s="2">
        <f t="shared" si="2"/>
        <v>-4.227486514113421E-5</v>
      </c>
      <c r="AB16" s="2">
        <f t="shared" si="4"/>
        <v>-3.3820939852817134E-9</v>
      </c>
      <c r="AC16" s="2">
        <f t="shared" si="5"/>
        <v>6.9564431135467313E-9</v>
      </c>
      <c r="AD16" s="2">
        <f t="shared" si="6"/>
        <v>2.44140625E-4</v>
      </c>
      <c r="AF16" s="2">
        <v>12</v>
      </c>
      <c r="AG16" s="2">
        <f t="shared" si="13"/>
        <v>2972.412109375</v>
      </c>
      <c r="AH16" s="2">
        <v>-2.023061358605446</v>
      </c>
      <c r="AI16" s="2">
        <f t="shared" si="14"/>
        <v>2977.05078125</v>
      </c>
      <c r="AJ16" s="2">
        <v>2.080000446358099E-2</v>
      </c>
      <c r="AK16" s="2">
        <f t="shared" si="9"/>
        <v>2974.7314453125</v>
      </c>
      <c r="AL16" s="2">
        <v>-1.0009760688535607</v>
      </c>
      <c r="AM16" s="2">
        <f t="shared" si="10"/>
        <v>2.025036005786423</v>
      </c>
      <c r="AN16" s="2">
        <f t="shared" si="11"/>
        <v>-2.0820306700091815E-2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0.40157850869226797</v>
      </c>
      <c r="H17" s="6" t="s">
        <v>122</v>
      </c>
      <c r="J17" s="13" t="s">
        <v>77</v>
      </c>
      <c r="K17" s="6">
        <f xml:space="preserve"> $C$54 * 0.1149 * K4</f>
        <v>53.514041652804408</v>
      </c>
      <c r="L17" s="6" t="s">
        <v>7</v>
      </c>
      <c r="N17" s="6" t="s">
        <v>25</v>
      </c>
      <c r="O17" s="6">
        <f xml:space="preserve"> ACOS(O14)/PI()*180</f>
        <v>4.7521988385535208</v>
      </c>
      <c r="P17" s="6" t="s">
        <v>40</v>
      </c>
      <c r="U17" s="2">
        <v>13</v>
      </c>
      <c r="V17" s="2">
        <f t="shared" si="7"/>
        <v>5.0048828125E-2</v>
      </c>
      <c r="W17" s="2">
        <f t="shared" si="0"/>
        <v>8.0002478399177068E-5</v>
      </c>
      <c r="X17" s="2">
        <f t="shared" si="8"/>
        <v>5.01708984375E-2</v>
      </c>
      <c r="Y17" s="2">
        <f t="shared" si="1"/>
        <v>-4.227486514113421E-5</v>
      </c>
      <c r="Z17" s="2">
        <f t="shared" si="3"/>
        <v>5.010986328125E-2</v>
      </c>
      <c r="AA17" s="2">
        <f t="shared" si="2"/>
        <v>1.8863867791693578E-5</v>
      </c>
      <c r="AB17" s="2">
        <f t="shared" si="4"/>
        <v>1.5091561755298975E-9</v>
      </c>
      <c r="AC17" s="2">
        <f t="shared" si="5"/>
        <v>-7.9746746693403121E-10</v>
      </c>
      <c r="AD17" s="2">
        <f t="shared" si="6"/>
        <v>1.220703125E-4</v>
      </c>
      <c r="AF17" s="2">
        <v>13</v>
      </c>
      <c r="AG17" s="2">
        <f t="shared" si="13"/>
        <v>2974.7314453125</v>
      </c>
      <c r="AH17" s="2">
        <v>-1.0009760688535607</v>
      </c>
      <c r="AI17" s="2">
        <f t="shared" si="14"/>
        <v>2977.05078125</v>
      </c>
      <c r="AJ17" s="2">
        <v>2.080000446358099E-2</v>
      </c>
      <c r="AK17" s="2">
        <f t="shared" si="9"/>
        <v>2975.89111328125</v>
      </c>
      <c r="AL17" s="2">
        <v>-0.49005153436746696</v>
      </c>
      <c r="AM17" s="2">
        <f t="shared" si="10"/>
        <v>0.49052985840680269</v>
      </c>
      <c r="AN17" s="2">
        <f t="shared" si="11"/>
        <v>-1.0193074102228026E-2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7319.2469300344774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137.66971558377685</v>
      </c>
      <c r="L18" s="6" t="s">
        <v>7</v>
      </c>
      <c r="N18" s="6" t="s">
        <v>19</v>
      </c>
      <c r="O18" s="6">
        <f xml:space="preserve"> O13 / $C$18</f>
        <v>7319.2469300344774</v>
      </c>
      <c r="P18" s="6" t="s">
        <v>20</v>
      </c>
      <c r="U18" s="2">
        <v>14</v>
      </c>
      <c r="V18" s="2">
        <f t="shared" si="7"/>
        <v>5.010986328125E-2</v>
      </c>
      <c r="W18" s="2">
        <f t="shared" si="0"/>
        <v>1.8863867791693578E-5</v>
      </c>
      <c r="X18" s="2">
        <f t="shared" si="8"/>
        <v>5.01708984375E-2</v>
      </c>
      <c r="Y18" s="2">
        <f t="shared" si="1"/>
        <v>-4.227486514113421E-5</v>
      </c>
      <c r="Z18" s="2">
        <f t="shared" si="3"/>
        <v>5.0140380859375E-2</v>
      </c>
      <c r="AA18" s="2">
        <f t="shared" si="2"/>
        <v>-1.1705483384895354E-5</v>
      </c>
      <c r="AB18" s="2">
        <f t="shared" si="4"/>
        <v>-2.208106910105318E-10</v>
      </c>
      <c r="AC18" s="2">
        <f t="shared" si="5"/>
        <v>4.9484773150823835E-10</v>
      </c>
      <c r="AD18" s="2">
        <f t="shared" si="6"/>
        <v>6.103515625E-5</v>
      </c>
      <c r="AF18" s="2">
        <v>14</v>
      </c>
      <c r="AG18" s="2">
        <f t="shared" si="13"/>
        <v>2975.89111328125</v>
      </c>
      <c r="AH18" s="2">
        <v>-0.49005153436746696</v>
      </c>
      <c r="AI18" s="2">
        <f t="shared" si="14"/>
        <v>2977.05078125</v>
      </c>
      <c r="AJ18" s="2">
        <v>2.080000446358099E-2</v>
      </c>
      <c r="AK18" s="2">
        <f t="shared" si="9"/>
        <v>2976.470947265625</v>
      </c>
      <c r="AL18" s="2">
        <v>-0.23460983337872676</v>
      </c>
      <c r="AM18" s="2">
        <f t="shared" si="10"/>
        <v>0.11497090882494082</v>
      </c>
      <c r="AN18" s="2">
        <f t="shared" si="11"/>
        <v>-4.879885581477509E-3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67.113215637394077</v>
      </c>
      <c r="H19" s="6" t="s">
        <v>101</v>
      </c>
      <c r="J19" s="14" t="s">
        <v>61</v>
      </c>
      <c r="K19" s="6">
        <f xml:space="preserve"> $C$55 * C31 * $C$5</f>
        <v>33.342508173718805</v>
      </c>
      <c r="L19" s="6" t="s">
        <v>7</v>
      </c>
      <c r="N19" s="6" t="s">
        <v>26</v>
      </c>
      <c r="O19" s="6">
        <f>$C$7*2*PI()/60</f>
        <v>34.438781747862436</v>
      </c>
      <c r="P19" s="6" t="s">
        <v>27</v>
      </c>
      <c r="U19" s="2">
        <v>15</v>
      </c>
      <c r="V19" s="2">
        <f t="shared" si="7"/>
        <v>5.010986328125E-2</v>
      </c>
      <c r="W19" s="2">
        <f t="shared" si="0"/>
        <v>1.8863867791693578E-5</v>
      </c>
      <c r="X19" s="2">
        <f t="shared" si="8"/>
        <v>5.0140380859375E-2</v>
      </c>
      <c r="Y19" s="2">
        <f t="shared" si="1"/>
        <v>-1.1705483384895354E-5</v>
      </c>
      <c r="Z19" s="2">
        <f t="shared" si="3"/>
        <v>5.01251220703125E-2</v>
      </c>
      <c r="AA19" s="2">
        <f t="shared" si="2"/>
        <v>3.5791960259629052E-6</v>
      </c>
      <c r="AB19" s="2">
        <f t="shared" si="4"/>
        <v>6.75174806343193E-11</v>
      </c>
      <c r="AC19" s="2">
        <f t="shared" si="5"/>
        <v>-4.1896219613192271E-11</v>
      </c>
      <c r="AD19" s="2">
        <f t="shared" si="6"/>
        <v>3.0517578125E-5</v>
      </c>
      <c r="AF19" s="2">
        <v>15</v>
      </c>
      <c r="AG19" s="2">
        <f t="shared" si="13"/>
        <v>2976.470947265625</v>
      </c>
      <c r="AH19" s="2">
        <v>-0.23460983337872676</v>
      </c>
      <c r="AI19" s="2">
        <f t="shared" si="14"/>
        <v>2977.05078125</v>
      </c>
      <c r="AJ19" s="2">
        <v>2.080000446358099E-2</v>
      </c>
      <c r="AK19" s="2">
        <f t="shared" si="9"/>
        <v>2976.7608642578125</v>
      </c>
      <c r="AL19" s="2">
        <v>-0.10689866458460529</v>
      </c>
      <c r="AM19" s="2">
        <f t="shared" si="10"/>
        <v>2.5079477886602645E-2</v>
      </c>
      <c r="AN19" s="2">
        <f t="shared" si="11"/>
        <v>-2.223492700510637E-3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11.12775974023989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0.50013868817440588</v>
      </c>
      <c r="U20" s="2">
        <v>16</v>
      </c>
      <c r="V20" s="2">
        <f t="shared" si="7"/>
        <v>5.01251220703125E-2</v>
      </c>
      <c r="W20" s="2">
        <f t="shared" si="0"/>
        <v>3.5791960259629052E-6</v>
      </c>
      <c r="X20" s="2">
        <f t="shared" si="8"/>
        <v>5.0140380859375E-2</v>
      </c>
      <c r="Y20" s="2">
        <f t="shared" si="1"/>
        <v>-1.1705483384895354E-5</v>
      </c>
      <c r="Z20" s="2">
        <f t="shared" si="3"/>
        <v>5.013275146484375E-2</v>
      </c>
      <c r="AA20" s="2">
        <f t="shared" si="2"/>
        <v>-4.0631427238452256E-6</v>
      </c>
      <c r="AB20" s="2">
        <f t="shared" si="4"/>
        <v>-1.4542784290106925E-11</v>
      </c>
      <c r="AC20" s="2">
        <f t="shared" si="5"/>
        <v>4.7561049644428743E-11</v>
      </c>
      <c r="AD20" s="2">
        <f t="shared" si="6"/>
        <v>1.52587890625E-5</v>
      </c>
      <c r="AF20" s="2">
        <v>16</v>
      </c>
      <c r="AG20" s="2">
        <f t="shared" si="13"/>
        <v>2976.7608642578125</v>
      </c>
      <c r="AH20" s="2">
        <v>-0.10689866458460529</v>
      </c>
      <c r="AI20" s="2">
        <f t="shared" si="14"/>
        <v>2977.05078125</v>
      </c>
      <c r="AJ20" s="2">
        <v>2.080000446358099E-2</v>
      </c>
      <c r="AK20" s="2">
        <f t="shared" si="9"/>
        <v>2976.9058227539062</v>
      </c>
      <c r="AL20" s="2">
        <v>-4.3050032145856676E-2</v>
      </c>
      <c r="AM20" s="2">
        <f t="shared" si="10"/>
        <v>4.6019909467164078E-3</v>
      </c>
      <c r="AN20" s="2">
        <f t="shared" si="11"/>
        <v>-8.9544086079112399E-4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0.14000000000097121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8.596276786339084E-3</v>
      </c>
      <c r="U21" s="2">
        <v>17</v>
      </c>
      <c r="V21" s="2">
        <f t="shared" si="7"/>
        <v>5.01251220703125E-2</v>
      </c>
      <c r="W21" s="2">
        <f t="shared" si="0"/>
        <v>3.5791960259629052E-6</v>
      </c>
      <c r="X21" s="2">
        <f t="shared" si="8"/>
        <v>5.013275146484375E-2</v>
      </c>
      <c r="Y21" s="2">
        <f t="shared" si="1"/>
        <v>-4.0631427238452256E-6</v>
      </c>
      <c r="Z21" s="2">
        <f t="shared" si="3"/>
        <v>5.0128936767578125E-2</v>
      </c>
      <c r="AA21" s="2">
        <f t="shared" si="2"/>
        <v>-2.4197311003504307E-7</v>
      </c>
      <c r="AB21" s="2">
        <f t="shared" si="4"/>
        <v>-8.660691938273109E-13</v>
      </c>
      <c r="AC21" s="2">
        <f t="shared" si="5"/>
        <v>9.8317128140508533E-13</v>
      </c>
      <c r="AD21" s="2">
        <f t="shared" si="6"/>
        <v>7.62939453125E-6</v>
      </c>
      <c r="AF21" s="2">
        <v>17</v>
      </c>
      <c r="AG21" s="2">
        <f t="shared" si="13"/>
        <v>2976.9058227539062</v>
      </c>
      <c r="AH21" s="2">
        <v>-4.3050032145856676E-2</v>
      </c>
      <c r="AI21" s="2">
        <f t="shared" si="14"/>
        <v>2977.05078125</v>
      </c>
      <c r="AJ21" s="2">
        <v>2.080000446358099E-2</v>
      </c>
      <c r="AK21" s="2">
        <f t="shared" si="9"/>
        <v>2976.9783020019531</v>
      </c>
      <c r="AL21" s="2">
        <v>-1.1116129489892046E-2</v>
      </c>
      <c r="AM21" s="2">
        <f t="shared" si="10"/>
        <v>4.7854973187735797E-4</v>
      </c>
      <c r="AN21" s="2">
        <f t="shared" si="11"/>
        <v>-2.3121554300749883E-4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268.45286254957631</v>
      </c>
      <c r="H22" s="25" t="s">
        <v>101</v>
      </c>
      <c r="J22" s="14" t="s">
        <v>112</v>
      </c>
      <c r="K22" s="6">
        <f>$C$55*(0.14*$G$12*1000/745.7)*0.453592</f>
        <v>26.441478987938467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5.01251220703125E-2</v>
      </c>
      <c r="W22" s="2">
        <f t="shared" si="0"/>
        <v>3.5791960259629052E-6</v>
      </c>
      <c r="X22" s="2">
        <f t="shared" si="8"/>
        <v>5.0128936767578125E-2</v>
      </c>
      <c r="Y22" s="2">
        <f t="shared" si="1"/>
        <v>-2.4197311003504307E-7</v>
      </c>
      <c r="Z22" s="2">
        <f t="shared" si="3"/>
        <v>5.0127029418945312E-2</v>
      </c>
      <c r="AA22" s="2">
        <f t="shared" si="2"/>
        <v>1.6686115176939298E-6</v>
      </c>
      <c r="AB22" s="2">
        <f t="shared" si="4"/>
        <v>5.9722877130060456E-12</v>
      </c>
      <c r="AC22" s="2">
        <f t="shared" si="5"/>
        <v>-4.0375911837669348E-13</v>
      </c>
      <c r="AD22" s="2">
        <f t="shared" si="6"/>
        <v>3.814697265625E-6</v>
      </c>
      <c r="AF22" s="2">
        <v>18</v>
      </c>
      <c r="AG22" s="2">
        <f t="shared" si="13"/>
        <v>2976.9783020019531</v>
      </c>
      <c r="AH22" s="2">
        <v>-1.1116129489892046E-2</v>
      </c>
      <c r="AI22" s="2">
        <f t="shared" si="14"/>
        <v>2977.05078125</v>
      </c>
      <c r="AJ22" s="2">
        <v>2.080000446358099E-2</v>
      </c>
      <c r="AK22" s="2">
        <f t="shared" si="9"/>
        <v>2977.0145416259766</v>
      </c>
      <c r="AL22" s="2">
        <v>4.8509536459278024E-3</v>
      </c>
      <c r="AM22" s="2">
        <f t="shared" si="10"/>
        <v>-5.3923828877597383E-5</v>
      </c>
      <c r="AN22" s="2">
        <f t="shared" si="11"/>
        <v>1.0089985748792277E-4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63.827087075404563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16810.307978296987</v>
      </c>
      <c r="P23" s="6" t="s">
        <v>18</v>
      </c>
      <c r="U23" s="2">
        <v>19</v>
      </c>
      <c r="V23" s="2">
        <f t="shared" si="7"/>
        <v>5.0127029418945312E-2</v>
      </c>
      <c r="W23" s="2">
        <f t="shared" si="0"/>
        <v>1.6686115176939298E-6</v>
      </c>
      <c r="X23" s="2">
        <f t="shared" si="8"/>
        <v>5.0128936767578125E-2</v>
      </c>
      <c r="Y23" s="2">
        <f t="shared" si="1"/>
        <v>-2.4197311003504307E-7</v>
      </c>
      <c r="Z23" s="2">
        <f t="shared" si="3"/>
        <v>5.0127983093261719E-2</v>
      </c>
      <c r="AA23" s="2">
        <f t="shared" si="2"/>
        <v>7.1331921876194304E-7</v>
      </c>
      <c r="AB23" s="2">
        <f t="shared" si="4"/>
        <v>1.1902526642186142E-12</v>
      </c>
      <c r="AC23" s="2">
        <f t="shared" si="5"/>
        <v>-1.726040698115946E-13</v>
      </c>
      <c r="AD23" s="2">
        <f t="shared" si="6"/>
        <v>1.9073486328125E-6</v>
      </c>
      <c r="AF23" s="2">
        <v>19</v>
      </c>
      <c r="AG23" s="2">
        <f t="shared" si="13"/>
        <v>2976.9783020019531</v>
      </c>
      <c r="AH23" s="2">
        <v>-1.1116129489892046E-2</v>
      </c>
      <c r="AI23" s="2">
        <f t="shared" si="14"/>
        <v>2977.0145416259766</v>
      </c>
      <c r="AJ23" s="2">
        <v>4.8509536459278024E-3</v>
      </c>
      <c r="AK23" s="2">
        <f t="shared" si="9"/>
        <v>2976.9964218139648</v>
      </c>
      <c r="AL23" s="2">
        <v>-3.1416588321917516E-3</v>
      </c>
      <c r="AM23" s="2">
        <f t="shared" si="10"/>
        <v>3.4923086391706537E-5</v>
      </c>
      <c r="AN23" s="2">
        <f t="shared" si="11"/>
        <v>-1.524004136628186E-5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8.8572480680331189</v>
      </c>
      <c r="L24" s="6" t="s">
        <v>7</v>
      </c>
      <c r="N24" s="6" t="s">
        <v>31</v>
      </c>
      <c r="O24" s="18">
        <f>Z34</f>
        <v>5.0128695089370012E-2</v>
      </c>
      <c r="U24" s="2">
        <v>20</v>
      </c>
      <c r="V24" s="2">
        <f t="shared" si="7"/>
        <v>5.0127983093261719E-2</v>
      </c>
      <c r="W24" s="2">
        <f t="shared" si="0"/>
        <v>7.1331921876194304E-7</v>
      </c>
      <c r="X24" s="2">
        <f t="shared" si="8"/>
        <v>5.0128936767578125E-2</v>
      </c>
      <c r="Y24" s="2">
        <f t="shared" si="1"/>
        <v>-2.4197311003504307E-7</v>
      </c>
      <c r="Z24" s="2">
        <f t="shared" si="3"/>
        <v>5.0128459930419922E-2</v>
      </c>
      <c r="AA24" s="2">
        <f t="shared" si="2"/>
        <v>2.3567305809657491E-7</v>
      </c>
      <c r="AB24" s="2">
        <f t="shared" si="4"/>
        <v>1.6811012168468684E-13</v>
      </c>
      <c r="AC24" s="2">
        <f t="shared" si="5"/>
        <v>-5.7026542819097617E-14</v>
      </c>
      <c r="AD24" s="2">
        <f t="shared" si="6"/>
        <v>9.5367431640625E-7</v>
      </c>
      <c r="AF24" s="2">
        <v>20</v>
      </c>
      <c r="AG24" s="2">
        <f t="shared" si="13"/>
        <v>2976.9964218139648</v>
      </c>
      <c r="AH24" s="2">
        <v>-3.1416588321917516E-3</v>
      </c>
      <c r="AI24" s="2">
        <f t="shared" si="14"/>
        <v>2977.0145416259766</v>
      </c>
      <c r="AJ24" s="2">
        <v>4.8509536459278024E-3</v>
      </c>
      <c r="AK24" s="2">
        <f t="shared" si="9"/>
        <v>2977.0054817199707</v>
      </c>
      <c r="AL24" s="2">
        <v>8.6370460167017882E-4</v>
      </c>
      <c r="AM24" s="2">
        <f t="shared" si="10"/>
        <v>-2.7134651902417759E-6</v>
      </c>
      <c r="AN24" s="2">
        <f t="shared" si="11"/>
        <v>4.189790986476574E-6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19.052861813553601</v>
      </c>
      <c r="L25" s="6" t="s">
        <v>7</v>
      </c>
      <c r="N25" s="6" t="s">
        <v>32</v>
      </c>
      <c r="O25" s="6">
        <f xml:space="preserve"> O19 * $C$9 * O24 - $C$8 * SIN(O17/180*PI())</f>
        <v>1.1425389785474724</v>
      </c>
      <c r="P25" s="6" t="s">
        <v>10</v>
      </c>
      <c r="U25" s="2">
        <v>21</v>
      </c>
      <c r="V25" s="2">
        <f t="shared" si="7"/>
        <v>5.0128459930419922E-2</v>
      </c>
      <c r="W25" s="2">
        <f t="shared" si="0"/>
        <v>2.3567305809657491E-7</v>
      </c>
      <c r="X25" s="2">
        <f t="shared" si="8"/>
        <v>5.0128936767578125E-2</v>
      </c>
      <c r="Y25" s="2">
        <f t="shared" si="1"/>
        <v>-2.4197311003504307E-7</v>
      </c>
      <c r="Z25" s="2">
        <f t="shared" si="3"/>
        <v>5.0128698348999023E-2</v>
      </c>
      <c r="AA25" s="2">
        <f t="shared" si="2"/>
        <v>-3.1500250324834056E-9</v>
      </c>
      <c r="AB25" s="2">
        <f t="shared" si="4"/>
        <v>-7.4237603248612687E-16</v>
      </c>
      <c r="AC25" s="2">
        <f t="shared" si="5"/>
        <v>7.6222135379824727E-16</v>
      </c>
      <c r="AD25" s="2">
        <f t="shared" si="6"/>
        <v>4.76837158203125E-7</v>
      </c>
      <c r="AF25" s="2">
        <v>21</v>
      </c>
      <c r="AG25" s="2">
        <f t="shared" si="13"/>
        <v>2976.9964218139648</v>
      </c>
      <c r="AH25" s="2">
        <v>-3.1416588321917516E-3</v>
      </c>
      <c r="AI25" s="2">
        <f t="shared" si="14"/>
        <v>2977.0054817199707</v>
      </c>
      <c r="AJ25" s="2">
        <v>8.6370460167017882E-4</v>
      </c>
      <c r="AK25" s="2">
        <f t="shared" si="9"/>
        <v>2977.0009517669678</v>
      </c>
      <c r="AL25" s="2">
        <v>-1.148037752500386E-3</v>
      </c>
      <c r="AM25" s="2">
        <f t="shared" si="10"/>
        <v>3.6067429448324056E-6</v>
      </c>
      <c r="AN25" s="2">
        <f t="shared" si="11"/>
        <v>-9.9156548972567327E-7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54.443609230362362</v>
      </c>
      <c r="L26" s="6" t="s">
        <v>7</v>
      </c>
      <c r="N26" s="6" t="s">
        <v>33</v>
      </c>
      <c r="O26" s="6">
        <f xml:space="preserve"> 1/$C$21 - O23 * SQRT( (2*$C$47*PI()*$C$9^2) / O18^3 )</f>
        <v>1.0711425528080758</v>
      </c>
      <c r="U26" s="2">
        <v>22</v>
      </c>
      <c r="V26" s="2">
        <f t="shared" si="7"/>
        <v>5.0128459930419922E-2</v>
      </c>
      <c r="W26" s="2">
        <f t="shared" si="0"/>
        <v>2.3567305809657491E-7</v>
      </c>
      <c r="X26" s="2">
        <f t="shared" si="8"/>
        <v>5.0128698348999023E-2</v>
      </c>
      <c r="Y26" s="2">
        <f t="shared" si="1"/>
        <v>-3.1500250324834056E-9</v>
      </c>
      <c r="Z26" s="2">
        <f t="shared" si="3"/>
        <v>5.0128579139709473E-2</v>
      </c>
      <c r="AA26" s="2">
        <f t="shared" si="2"/>
        <v>1.1626151676796814E-7</v>
      </c>
      <c r="AB26" s="2">
        <f t="shared" si="4"/>
        <v>2.7399707195653273E-14</v>
      </c>
      <c r="AC26" s="2">
        <f t="shared" si="5"/>
        <v>-3.6622668813358886E-16</v>
      </c>
      <c r="AD26" s="2">
        <f t="shared" si="6"/>
        <v>2.384185791015625E-7</v>
      </c>
      <c r="AF26" s="2">
        <v>22</v>
      </c>
      <c r="AG26" s="2">
        <f t="shared" si="13"/>
        <v>2977.0009517669678</v>
      </c>
      <c r="AH26" s="2">
        <v>-1.148037752500386E-3</v>
      </c>
      <c r="AI26" s="2">
        <f t="shared" si="14"/>
        <v>2977.0054817199707</v>
      </c>
      <c r="AJ26" s="2">
        <v>8.6370460167017882E-4</v>
      </c>
      <c r="AK26" s="2">
        <f t="shared" si="9"/>
        <v>2977.0032167434692</v>
      </c>
      <c r="AL26" s="2">
        <v>-1.421667539034388E-4</v>
      </c>
      <c r="AM26" s="2">
        <f t="shared" si="10"/>
        <v>1.6321280063157935E-7</v>
      </c>
      <c r="AN26" s="2">
        <f t="shared" si="11"/>
        <v>-1.2279007955091195E-7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2.6969426867253787E-3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5.0128579139709473E-2</v>
      </c>
      <c r="W27" s="2">
        <f t="shared" si="0"/>
        <v>1.1626151676796814E-7</v>
      </c>
      <c r="X27" s="2">
        <f t="shared" si="8"/>
        <v>5.0128698348999023E-2</v>
      </c>
      <c r="Y27" s="2">
        <f t="shared" si="1"/>
        <v>-3.1500250324834056E-9</v>
      </c>
      <c r="Z27" s="2">
        <f t="shared" si="3"/>
        <v>5.0128638744354248E-2</v>
      </c>
      <c r="AA27" s="2">
        <f t="shared" si="2"/>
        <v>5.6555745919784073E-8</v>
      </c>
      <c r="AB27" s="2">
        <f t="shared" si="4"/>
        <v>6.5752568025779218E-15</v>
      </c>
      <c r="AC27" s="2">
        <f t="shared" si="5"/>
        <v>-1.7815201537809105E-16</v>
      </c>
      <c r="AD27" s="2">
        <f t="shared" si="6"/>
        <v>1.1920928955078125E-7</v>
      </c>
      <c r="AF27" s="2">
        <v>23</v>
      </c>
      <c r="AG27" s="2">
        <f t="shared" si="13"/>
        <v>2977.0032167434692</v>
      </c>
      <c r="AH27" s="2">
        <v>-1.421667539034388E-4</v>
      </c>
      <c r="AI27" s="2">
        <f t="shared" si="14"/>
        <v>2977.0054817199707</v>
      </c>
      <c r="AJ27" s="2">
        <v>8.6370460167017882E-4</v>
      </c>
      <c r="AK27" s="2">
        <f t="shared" si="9"/>
        <v>2977.00434923172</v>
      </c>
      <c r="AL27" s="2">
        <v>3.6076887909075595E-4</v>
      </c>
      <c r="AM27" s="2">
        <f t="shared" si="10"/>
        <v>-5.128934044971497E-8</v>
      </c>
      <c r="AN27" s="2">
        <f t="shared" si="11"/>
        <v>3.1159774101007828E-7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7294.7834865460081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1.1529910750848213</v>
      </c>
      <c r="U28" s="2">
        <v>24</v>
      </c>
      <c r="V28" s="2">
        <f t="shared" si="7"/>
        <v>5.0128638744354248E-2</v>
      </c>
      <c r="W28" s="2">
        <f t="shared" si="0"/>
        <v>5.6555745919784073E-8</v>
      </c>
      <c r="X28" s="2">
        <f t="shared" si="8"/>
        <v>5.0128698348999023E-2</v>
      </c>
      <c r="Y28" s="2">
        <f t="shared" si="1"/>
        <v>-3.1500250324834056E-9</v>
      </c>
      <c r="Z28" s="2">
        <f t="shared" si="3"/>
        <v>5.0128668546676636E-2</v>
      </c>
      <c r="AA28" s="2">
        <f t="shared" si="2"/>
        <v>2.6702860457528121E-8</v>
      </c>
      <c r="AB28" s="2">
        <f t="shared" si="4"/>
        <v>1.5102001913674095E-15</v>
      </c>
      <c r="AC28" s="2">
        <f t="shared" si="5"/>
        <v>-8.411467888012487E-17</v>
      </c>
      <c r="AD28" s="2">
        <f t="shared" si="6"/>
        <v>5.9604644775390625E-8</v>
      </c>
      <c r="AF28" s="2">
        <v>24</v>
      </c>
      <c r="AG28" s="2">
        <f t="shared" si="13"/>
        <v>2977.0032167434692</v>
      </c>
      <c r="AH28" s="2">
        <v>-1.421667539034388E-4</v>
      </c>
      <c r="AI28" s="2">
        <f t="shared" si="14"/>
        <v>2977.00434923172</v>
      </c>
      <c r="AJ28" s="2">
        <v>3.6076887909075595E-4</v>
      </c>
      <c r="AK28" s="2">
        <f t="shared" si="9"/>
        <v>2977.0037829875946</v>
      </c>
      <c r="AL28" s="2">
        <v>1.0024110224549077E-4</v>
      </c>
      <c r="AM28" s="2">
        <f t="shared" si="10"/>
        <v>-1.4250952113944132E-8</v>
      </c>
      <c r="AN28" s="2">
        <f t="shared" si="11"/>
        <v>3.6163870095927564E-8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83.771784957092933</v>
      </c>
      <c r="H29" t="s">
        <v>18</v>
      </c>
      <c r="U29" s="2">
        <v>25</v>
      </c>
      <c r="V29" s="2">
        <f t="shared" si="7"/>
        <v>5.0128668546676636E-2</v>
      </c>
      <c r="W29" s="2">
        <f t="shared" si="0"/>
        <v>2.6702860457528121E-8</v>
      </c>
      <c r="X29" s="2">
        <f t="shared" si="8"/>
        <v>5.0128698348999023E-2</v>
      </c>
      <c r="Y29" s="2">
        <f t="shared" si="1"/>
        <v>-3.1500250324834056E-9</v>
      </c>
      <c r="Z29" s="2">
        <f t="shared" si="3"/>
        <v>5.012868344783783E-2</v>
      </c>
      <c r="AA29" s="2">
        <f t="shared" si="2"/>
        <v>1.1776417715991805E-8</v>
      </c>
      <c r="AB29" s="2">
        <f t="shared" si="4"/>
        <v>3.1446403895969121E-16</v>
      </c>
      <c r="AC29" s="2">
        <f t="shared" si="5"/>
        <v>-3.7096010598355235E-17</v>
      </c>
      <c r="AD29" s="2">
        <f t="shared" si="6"/>
        <v>2.9802322387695312E-8</v>
      </c>
      <c r="AF29" s="2">
        <v>25</v>
      </c>
      <c r="AG29" s="2">
        <f t="shared" si="13"/>
        <v>2977.0032167434692</v>
      </c>
      <c r="AH29" s="2">
        <v>1.0024110224549077E-4</v>
      </c>
      <c r="AI29" s="2">
        <f t="shared" si="14"/>
        <v>2977.0037829875946</v>
      </c>
      <c r="AJ29" s="2">
        <v>1.0024110224549077E-4</v>
      </c>
      <c r="AK29" s="2">
        <f t="shared" si="9"/>
        <v>2977.0034998655319</v>
      </c>
      <c r="AL29" s="2">
        <v>-2.09628287848318E-5</v>
      </c>
      <c r="AM29" s="2">
        <f t="shared" si="10"/>
        <v>-2.1013370635750414E-9</v>
      </c>
      <c r="AN29" s="2">
        <f t="shared" si="11"/>
        <v>-2.1013370635750414E-9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8.8842850247626473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5.012868344783783E-2</v>
      </c>
      <c r="W30" s="2">
        <f t="shared" si="0"/>
        <v>1.1776417715991805E-8</v>
      </c>
      <c r="X30" s="2">
        <f t="shared" si="8"/>
        <v>5.0128698348999023E-2</v>
      </c>
      <c r="Y30" s="2">
        <f t="shared" si="1"/>
        <v>-3.1500250324834056E-9</v>
      </c>
      <c r="Z30" s="2">
        <f t="shared" si="3"/>
        <v>5.0128690898418427E-2</v>
      </c>
      <c r="AA30" s="2">
        <f t="shared" si="2"/>
        <v>4.3131963417541996E-9</v>
      </c>
      <c r="AB30" s="2">
        <f t="shared" si="4"/>
        <v>5.07940018115852E-17</v>
      </c>
      <c r="AC30" s="2">
        <f t="shared" si="5"/>
        <v>-1.3586676446541579E-17</v>
      </c>
      <c r="AD30" s="2">
        <f t="shared" si="6"/>
        <v>1.4901161193847656E-8</v>
      </c>
      <c r="AF30" s="2">
        <v>26</v>
      </c>
      <c r="AG30" s="2">
        <f t="shared" si="13"/>
        <v>2977.0032167434692</v>
      </c>
      <c r="AH30" s="2">
        <v>1.0024110224549077E-4</v>
      </c>
      <c r="AI30" s="2">
        <f t="shared" si="14"/>
        <v>2977.0037829875946</v>
      </c>
      <c r="AJ30" s="2">
        <v>-2.09628287848318E-5</v>
      </c>
      <c r="AK30" s="2">
        <f t="shared" si="9"/>
        <v>2977.0034998655319</v>
      </c>
      <c r="AL30" s="2">
        <v>-2.09628287848318E-5</v>
      </c>
      <c r="AM30" s="2">
        <f t="shared" si="10"/>
        <v>-2.1013370635750414E-9</v>
      </c>
      <c r="AN30" s="2">
        <f t="shared" si="11"/>
        <v>4.3944019066217266E-10</v>
      </c>
      <c r="AO30" s="2">
        <f t="shared" si="12"/>
        <v>5.6624412536621094E-4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335.08713982837173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5.0128690898418427E-2</v>
      </c>
      <c r="W31" s="2">
        <f t="shared" si="0"/>
        <v>4.3131963417541996E-9</v>
      </c>
      <c r="X31" s="2">
        <f t="shared" si="8"/>
        <v>5.0128698348999023E-2</v>
      </c>
      <c r="Y31" s="2">
        <f t="shared" si="1"/>
        <v>-3.1500250324834056E-9</v>
      </c>
      <c r="Z31" s="2">
        <f t="shared" si="3"/>
        <v>5.0128694623708725E-2</v>
      </c>
      <c r="AA31" s="2">
        <f t="shared" si="2"/>
        <v>5.8158565463539702E-10</v>
      </c>
      <c r="AB31" s="2">
        <f t="shared" si="4"/>
        <v>2.5084931179901156E-18</v>
      </c>
      <c r="AC31" s="2">
        <f t="shared" si="5"/>
        <v>-1.8320093706347494E-18</v>
      </c>
      <c r="AD31" s="2">
        <f t="shared" si="6"/>
        <v>7.4505805969238281E-9</v>
      </c>
      <c r="AF31" s="2">
        <v>27</v>
      </c>
      <c r="AG31" s="2">
        <f t="shared" si="13"/>
        <v>2977.0032167434692</v>
      </c>
      <c r="AH31" s="2">
        <v>1.0024110224549077E-4</v>
      </c>
      <c r="AI31" s="2">
        <f t="shared" si="14"/>
        <v>2977.0034998655319</v>
      </c>
      <c r="AJ31" s="2">
        <v>-2.09628287848318E-5</v>
      </c>
      <c r="AK31" s="2">
        <f t="shared" si="9"/>
        <v>2977.0033583045006</v>
      </c>
      <c r="AL31" s="2">
        <v>-2.09628287848318E-5</v>
      </c>
      <c r="AM31" s="2">
        <f t="shared" si="10"/>
        <v>-2.1013370635750414E-9</v>
      </c>
      <c r="AN31" s="2">
        <f t="shared" si="11"/>
        <v>4.3944019066217266E-10</v>
      </c>
      <c r="AO31" s="2">
        <f t="shared" si="12"/>
        <v>2.8312206268310547E-4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1343.64</v>
      </c>
      <c r="L32" s="6" t="s">
        <v>7</v>
      </c>
      <c r="U32" s="2">
        <v>28</v>
      </c>
      <c r="V32" s="2">
        <f t="shared" si="7"/>
        <v>5.0128694623708725E-2</v>
      </c>
      <c r="W32" s="2">
        <f t="shared" si="0"/>
        <v>5.8158565463539702E-10</v>
      </c>
      <c r="X32" s="2">
        <f t="shared" si="8"/>
        <v>5.0128698348999023E-2</v>
      </c>
      <c r="Y32" s="2">
        <f t="shared" si="1"/>
        <v>-3.1500250324834056E-9</v>
      </c>
      <c r="Z32" s="2">
        <f t="shared" si="3"/>
        <v>5.0128696486353874E-2</v>
      </c>
      <c r="AA32" s="2">
        <f t="shared" si="2"/>
        <v>-1.2842196889240043E-9</v>
      </c>
      <c r="AB32" s="2">
        <f t="shared" si="4"/>
        <v>-7.4688374847853295E-19</v>
      </c>
      <c r="AC32" s="2">
        <f t="shared" si="5"/>
        <v>4.0453241673186654E-18</v>
      </c>
      <c r="AD32" s="2">
        <f t="shared" si="6"/>
        <v>3.7252902984619141E-9</v>
      </c>
      <c r="AF32" s="2">
        <v>28</v>
      </c>
      <c r="AG32" s="2">
        <f t="shared" si="13"/>
        <v>2977.0032167434692</v>
      </c>
      <c r="AH32" s="2">
        <v>1.0024110224549077E-4</v>
      </c>
      <c r="AI32" s="2">
        <f t="shared" si="14"/>
        <v>2977.0033583045006</v>
      </c>
      <c r="AJ32" s="2">
        <v>-2.09628287848318E-5</v>
      </c>
      <c r="AK32" s="2">
        <f t="shared" si="9"/>
        <v>2977.0032875239849</v>
      </c>
      <c r="AL32" s="2">
        <v>-2.09628287848318E-5</v>
      </c>
      <c r="AM32" s="2">
        <f t="shared" si="10"/>
        <v>-2.1013370635750414E-9</v>
      </c>
      <c r="AN32" s="2">
        <f t="shared" si="11"/>
        <v>4.3944019066217266E-10</v>
      </c>
      <c r="AO32" s="2">
        <f t="shared" si="12"/>
        <v>1.4156103134155273E-4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689.73</v>
      </c>
      <c r="L33" s="6" t="s">
        <v>7</v>
      </c>
      <c r="U33" s="2">
        <v>29</v>
      </c>
      <c r="V33" s="2">
        <f t="shared" si="7"/>
        <v>5.0128694623708725E-2</v>
      </c>
      <c r="W33" s="2">
        <f t="shared" si="0"/>
        <v>5.8158565463539702E-10</v>
      </c>
      <c r="X33" s="2">
        <f t="shared" si="8"/>
        <v>5.0128696486353874E-2</v>
      </c>
      <c r="Y33" s="2">
        <f t="shared" si="1"/>
        <v>-1.2842196889240043E-9</v>
      </c>
      <c r="Z33" s="2">
        <f t="shared" si="3"/>
        <v>5.01286955550313E-2</v>
      </c>
      <c r="AA33" s="2">
        <f t="shared" si="2"/>
        <v>-3.5131701714430363E-10</v>
      </c>
      <c r="AB33" s="2">
        <f t="shared" si="4"/>
        <v>-2.0432093740042483E-19</v>
      </c>
      <c r="AC33" s="2">
        <f t="shared" si="5"/>
        <v>4.5116823047076669E-19</v>
      </c>
      <c r="AD33" s="2">
        <f t="shared" si="6"/>
        <v>1.862645149230957E-9</v>
      </c>
      <c r="AF33" s="2">
        <v>29</v>
      </c>
      <c r="AG33" s="2">
        <f t="shared" si="13"/>
        <v>2977.0032167434692</v>
      </c>
      <c r="AH33" s="2">
        <v>1.0024110224549077E-4</v>
      </c>
      <c r="AI33" s="2">
        <f t="shared" si="14"/>
        <v>2977.0032875239849</v>
      </c>
      <c r="AJ33" s="2">
        <v>-2.09628287848318E-5</v>
      </c>
      <c r="AK33" s="2">
        <f t="shared" si="9"/>
        <v>2977.0032521337271</v>
      </c>
      <c r="AL33" s="2">
        <v>-2.09628287848318E-5</v>
      </c>
      <c r="AM33" s="2">
        <f t="shared" si="10"/>
        <v>-2.1013370635750414E-9</v>
      </c>
      <c r="AN33" s="2">
        <f t="shared" si="11"/>
        <v>4.3944019066217266E-10</v>
      </c>
      <c r="AO33" s="2">
        <f t="shared" si="12"/>
        <v>7.0780515670776367E-5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197.45</v>
      </c>
      <c r="L34" s="6" t="s">
        <v>7</v>
      </c>
      <c r="U34" s="2">
        <v>30</v>
      </c>
      <c r="V34" s="2">
        <f t="shared" si="7"/>
        <v>5.0128694623708725E-2</v>
      </c>
      <c r="W34" s="2">
        <f t="shared" si="0"/>
        <v>5.8158565463539702E-10</v>
      </c>
      <c r="X34" s="2">
        <f t="shared" si="8"/>
        <v>5.01286955550313E-2</v>
      </c>
      <c r="Y34" s="2">
        <f t="shared" si="1"/>
        <v>-3.5131701714430363E-10</v>
      </c>
      <c r="Z34" s="2">
        <f t="shared" si="3"/>
        <v>5.0128695089370012E-2</v>
      </c>
      <c r="AA34" s="2">
        <f t="shared" si="2"/>
        <v>1.1513431874554669E-10</v>
      </c>
      <c r="AB34" s="2">
        <f t="shared" si="4"/>
        <v>6.6960468138629236E-20</v>
      </c>
      <c r="AC34" s="2">
        <f t="shared" si="5"/>
        <v>-4.0448645432626947E-20</v>
      </c>
      <c r="AD34" s="2">
        <f>X34-V34</f>
        <v>9.3132257461547852E-10</v>
      </c>
      <c r="AF34" s="2">
        <v>30</v>
      </c>
      <c r="AG34" s="2">
        <f t="shared" si="13"/>
        <v>2977.0032167434692</v>
      </c>
      <c r="AH34" s="2">
        <v>1.0024110224549077E-4</v>
      </c>
      <c r="AI34" s="2">
        <f t="shared" si="14"/>
        <v>2977.0032521337271</v>
      </c>
      <c r="AJ34" s="2">
        <v>-2.09628287848318E-5</v>
      </c>
      <c r="AK34" s="2">
        <f t="shared" si="9"/>
        <v>2977.0032344385982</v>
      </c>
      <c r="AL34" s="2">
        <v>-2.09628287848318E-5</v>
      </c>
      <c r="AM34" s="2">
        <f t="shared" si="10"/>
        <v>-2.1013370635750414E-9</v>
      </c>
      <c r="AN34" s="2">
        <f t="shared" si="11"/>
        <v>4.3944019066217266E-10</v>
      </c>
      <c r="AO34" s="2">
        <f t="shared" si="12"/>
        <v>3.5390257835388184E-5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268.45286254957631</v>
      </c>
      <c r="H35" s="25" t="s">
        <v>101</v>
      </c>
      <c r="J35" s="15" t="s">
        <v>70</v>
      </c>
      <c r="K35" s="6">
        <f>ROUND(SUM(K23:K26),2)</f>
        <v>146.18</v>
      </c>
      <c r="L35" s="6" t="s">
        <v>7</v>
      </c>
      <c r="AF35" s="2">
        <v>31</v>
      </c>
      <c r="AG35" s="2">
        <f t="shared" si="13"/>
        <v>2977.0032167434692</v>
      </c>
      <c r="AH35" s="2">
        <v>1.0024110224549077E-4</v>
      </c>
      <c r="AI35" s="2">
        <f t="shared" si="14"/>
        <v>2977.0032344385982</v>
      </c>
      <c r="AJ35" s="2">
        <v>-2.09628287848318E-5</v>
      </c>
      <c r="AK35" s="2">
        <f t="shared" si="9"/>
        <v>2977.0032255910337</v>
      </c>
      <c r="AL35" s="2">
        <v>-2.09628287848318E-5</v>
      </c>
      <c r="AM35" s="2">
        <f t="shared" si="10"/>
        <v>-2.1013370635750414E-9</v>
      </c>
      <c r="AN35" s="2">
        <f t="shared" si="11"/>
        <v>4.3944019066217266E-10</v>
      </c>
      <c r="AO35" s="2">
        <f t="shared" si="12"/>
        <v>1.7695128917694092E-5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2976.9999999999995</v>
      </c>
      <c r="L36" s="6" t="s">
        <v>7</v>
      </c>
      <c r="AF36" s="2">
        <v>32</v>
      </c>
      <c r="AG36" s="2">
        <f t="shared" si="13"/>
        <v>2977.0032167434692</v>
      </c>
      <c r="AH36" s="2">
        <v>1.0024110224549077E-4</v>
      </c>
      <c r="AI36" s="2">
        <f t="shared" si="14"/>
        <v>2977.0032255910337</v>
      </c>
      <c r="AJ36" s="2">
        <v>-2.09628287848318E-5</v>
      </c>
      <c r="AK36" s="2">
        <f t="shared" si="9"/>
        <v>2977.0032211672515</v>
      </c>
      <c r="AL36" s="2">
        <v>-2.09628287848318E-5</v>
      </c>
      <c r="AM36" s="2">
        <f t="shared" si="10"/>
        <v>-2.1013370635750414E-9</v>
      </c>
      <c r="AN36" s="2">
        <f t="shared" si="11"/>
        <v>4.3944019066217266E-10</v>
      </c>
      <c r="AO36" s="2">
        <f t="shared" si="12"/>
        <v>8.8475644588470459E-6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2977.0032167434692</v>
      </c>
      <c r="AH37" s="2">
        <v>1.0024110224549077E-4</v>
      </c>
      <c r="AI37" s="2">
        <f t="shared" si="14"/>
        <v>2977.0032211672515</v>
      </c>
      <c r="AJ37" s="2">
        <v>-2.09628287848318E-5</v>
      </c>
      <c r="AK37" s="2">
        <f t="shared" si="9"/>
        <v>2977.0032189553604</v>
      </c>
      <c r="AL37" s="2">
        <v>-2.09628287848318E-5</v>
      </c>
      <c r="AM37" s="2">
        <f t="shared" si="10"/>
        <v>-2.1013370635750414E-9</v>
      </c>
      <c r="AN37" s="2">
        <f t="shared" si="11"/>
        <v>4.3944019066217266E-10</v>
      </c>
      <c r="AO37" s="2">
        <f t="shared" si="12"/>
        <v>4.4237822294235229E-6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2977.0032167434692</v>
      </c>
      <c r="AH38" s="2">
        <v>1.0024110224549077E-4</v>
      </c>
      <c r="AI38" s="2">
        <f t="shared" si="14"/>
        <v>2977.0032189553604</v>
      </c>
      <c r="AJ38" s="2">
        <v>-2.09628287848318E-5</v>
      </c>
      <c r="AK38" s="2">
        <f t="shared" si="9"/>
        <v>2977.0032178494148</v>
      </c>
      <c r="AL38" s="2">
        <v>-2.09628287848318E-5</v>
      </c>
      <c r="AM38" s="2">
        <f t="shared" si="10"/>
        <v>-2.1013370635750414E-9</v>
      </c>
      <c r="AN38" s="2">
        <f t="shared" si="11"/>
        <v>4.3944019066217266E-10</v>
      </c>
      <c r="AO38" s="2">
        <f t="shared" si="12"/>
        <v>2.2118911147117615E-6</v>
      </c>
    </row>
    <row r="39" spans="2:41" x14ac:dyDescent="0.2">
      <c r="J39" s="6" t="s">
        <v>57</v>
      </c>
      <c r="K39" s="6">
        <f>ROUND($C$13/$C$5 * 100, 2)</f>
        <v>20.149999999999999</v>
      </c>
      <c r="L39" s="6" t="s">
        <v>58</v>
      </c>
      <c r="AF39" s="2">
        <v>35</v>
      </c>
      <c r="AG39" s="2">
        <f t="shared" si="13"/>
        <v>2977.0032167434692</v>
      </c>
      <c r="AH39" s="2">
        <v>1.0024110224549077E-4</v>
      </c>
      <c r="AI39" s="2">
        <f t="shared" si="14"/>
        <v>2977.0032178494148</v>
      </c>
      <c r="AJ39" s="2">
        <v>-2.09628287848318E-5</v>
      </c>
      <c r="AK39" s="2">
        <f t="shared" si="9"/>
        <v>2977.003217296442</v>
      </c>
      <c r="AL39" s="2">
        <v>-2.09628287848318E-5</v>
      </c>
      <c r="AM39" s="2">
        <f t="shared" si="10"/>
        <v>-2.1013370635750414E-9</v>
      </c>
      <c r="AN39" s="2">
        <f t="shared" si="11"/>
        <v>4.3944019066217266E-10</v>
      </c>
      <c r="AO39" s="2">
        <f t="shared" si="12"/>
        <v>1.1059455573558807E-6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45.13</v>
      </c>
      <c r="L40" s="6" t="s">
        <v>58</v>
      </c>
      <c r="AF40" s="2">
        <v>36</v>
      </c>
      <c r="AG40" s="2">
        <f t="shared" si="13"/>
        <v>2977.0032167434692</v>
      </c>
      <c r="AH40" s="2">
        <v>1.0024110224549077E-4</v>
      </c>
      <c r="AI40" s="2">
        <f t="shared" si="14"/>
        <v>2977.003217296442</v>
      </c>
      <c r="AJ40" s="2">
        <v>-2.09628287848318E-5</v>
      </c>
      <c r="AK40" s="2">
        <f t="shared" si="9"/>
        <v>2977.0032170199556</v>
      </c>
      <c r="AL40" s="2">
        <v>-2.09628287848318E-5</v>
      </c>
      <c r="AM40" s="2">
        <f t="shared" si="10"/>
        <v>-2.1013370635750414E-9</v>
      </c>
      <c r="AN40" s="2">
        <f t="shared" si="11"/>
        <v>4.3944019066217266E-10</v>
      </c>
      <c r="AO40" s="2">
        <f t="shared" si="12"/>
        <v>5.5297277867794037E-7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23.17</v>
      </c>
      <c r="L41" s="6" t="s">
        <v>58</v>
      </c>
      <c r="AF41" s="2">
        <v>37</v>
      </c>
      <c r="AG41" s="2">
        <f t="shared" si="13"/>
        <v>2977.0032167434692</v>
      </c>
      <c r="AH41" s="2">
        <v>1.0024110224549077E-4</v>
      </c>
      <c r="AI41" s="2">
        <f t="shared" si="14"/>
        <v>2977.0032170199556</v>
      </c>
      <c r="AJ41" s="2">
        <v>-2.09628287848318E-5</v>
      </c>
      <c r="AK41" s="2">
        <f t="shared" si="9"/>
        <v>2977.0032168817124</v>
      </c>
      <c r="AL41" s="2">
        <v>-2.09628287848318E-5</v>
      </c>
      <c r="AM41" s="2">
        <f t="shared" si="10"/>
        <v>-2.1013370635750414E-9</v>
      </c>
      <c r="AN41" s="2">
        <f t="shared" si="11"/>
        <v>4.3944019066217266E-10</v>
      </c>
      <c r="AO41" s="2">
        <f t="shared" si="12"/>
        <v>2.7648638933897018E-7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6.63</v>
      </c>
      <c r="L42" s="6" t="s">
        <v>58</v>
      </c>
      <c r="AF42" s="2">
        <v>38</v>
      </c>
      <c r="AG42" s="2">
        <f t="shared" si="13"/>
        <v>2977.0032167434692</v>
      </c>
      <c r="AH42" s="2">
        <v>1.0024110224549077E-4</v>
      </c>
      <c r="AI42" s="2">
        <f t="shared" si="14"/>
        <v>2977.0032168817124</v>
      </c>
      <c r="AJ42" s="2">
        <v>-2.09628287848318E-5</v>
      </c>
      <c r="AK42" s="2">
        <f t="shared" si="9"/>
        <v>2977.0032168125908</v>
      </c>
      <c r="AL42" s="2">
        <v>-2.09628287848318E-5</v>
      </c>
      <c r="AM42" s="2">
        <f t="shared" si="10"/>
        <v>-2.1013370635750414E-9</v>
      </c>
      <c r="AN42" s="2">
        <f t="shared" si="11"/>
        <v>4.3944019066217266E-10</v>
      </c>
      <c r="AO42" s="2">
        <f t="shared" si="12"/>
        <v>1.3824319466948509E-7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2977.0032167434692</v>
      </c>
      <c r="AH43" s="2">
        <v>1.0024110224549077E-4</v>
      </c>
      <c r="AI43" s="2">
        <f t="shared" si="14"/>
        <v>2977.0032168125908</v>
      </c>
      <c r="AJ43" s="2">
        <v>-2.09628287848318E-5</v>
      </c>
      <c r="AK43" s="2">
        <f t="shared" si="9"/>
        <v>2977.00321677803</v>
      </c>
      <c r="AL43" s="2">
        <v>-2.09628287848318E-5</v>
      </c>
      <c r="AM43" s="2">
        <f t="shared" si="10"/>
        <v>-2.1013370635750414E-9</v>
      </c>
      <c r="AN43" s="2">
        <f t="shared" si="11"/>
        <v>4.3944019066217266E-10</v>
      </c>
      <c r="AO43" s="2">
        <f t="shared" si="12"/>
        <v>6.9121597334742546E-8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2977.0032167434692</v>
      </c>
      <c r="AH44" s="2">
        <v>1.0024110224549077E-4</v>
      </c>
      <c r="AI44" s="2">
        <f t="shared" si="14"/>
        <v>2977.00321677803</v>
      </c>
      <c r="AJ44" s="2">
        <v>-2.09628287848318E-5</v>
      </c>
      <c r="AK44" s="5">
        <f>(AG44+AI44)/2</f>
        <v>2977.0032167607496</v>
      </c>
      <c r="AL44" s="2">
        <v>-2.09628287848318E-5</v>
      </c>
      <c r="AM44" s="2">
        <f t="shared" si="10"/>
        <v>-2.1013370635750414E-9</v>
      </c>
      <c r="AN44" s="2">
        <f t="shared" si="11"/>
        <v>4.3944019066217266E-10</v>
      </c>
      <c r="AO44" s="2">
        <f t="shared" si="12"/>
        <v>3.4560798667371273E-8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3088.5640607301284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20.149999999999999</v>
      </c>
      <c r="L47" s="6" t="s">
        <v>58</v>
      </c>
      <c r="N47" s="6" t="s">
        <v>154</v>
      </c>
      <c r="O47" s="6">
        <f>0.377*O46^0.6945</f>
        <v>99.994777491241734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45.13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34.71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47" priority="1" operator="containsText" text="FALSE">
      <formula>NOT(ISERROR(SEARCH("FALSE",K28)))</formula>
    </cfRule>
    <cfRule type="containsText" dxfId="46" priority="2" operator="containsText" text="TRUE">
      <formula>NOT(ISERROR(SEARCH("TRUE",K28)))</formula>
    </cfRule>
    <cfRule type="cellIs" dxfId="45" priority="3" operator="equal">
      <formula>1</formula>
    </cfRule>
    <cfRule type="cellIs" dxfId="44" priority="4" operator="equal">
      <formula>TRUE</formula>
    </cfRule>
    <cfRule type="containsText" dxfId="43" priority="5" operator="containsText" text="YES">
      <formula>NOT(ISERROR(SEARCH("YES",K28)))</formula>
    </cfRule>
    <cfRule type="cellIs" dxfId="42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B5CEE-80A2-D348-8290-F5D3DEF324D6}">
  <dimension ref="B1:AO56"/>
  <sheetViews>
    <sheetView topLeftCell="A2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351.18994939669545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6.0334520380458022E-2</v>
      </c>
      <c r="X4" s="3">
        <v>1</v>
      </c>
      <c r="Y4" s="2">
        <f t="shared" ref="Y4:Y34" si="1" xml:space="preserve"> $O$20 * TAN($O$17/180*PI()) + $O$21 / (2 * SQRT($O$20^2 + X4^2)) - X4</f>
        <v>-0.94299409722901362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-0.44143128857743691</v>
      </c>
      <c r="AB4" s="2">
        <f>W4*AA4</f>
        <v>-2.6633545077247214E-2</v>
      </c>
      <c r="AC4" s="2">
        <f>Y4*AA4</f>
        <v>0.41626709946072032</v>
      </c>
      <c r="AD4" s="2">
        <f>X4-V4</f>
        <v>1</v>
      </c>
      <c r="AF4" s="2">
        <v>0</v>
      </c>
      <c r="AG4" s="2"/>
      <c r="AH4" s="2">
        <f>K27</f>
        <v>5.587687517163431E-3</v>
      </c>
      <c r="AI4" s="2"/>
      <c r="AJ4" s="2">
        <f>K27</f>
        <v>5.587687517163431E-3</v>
      </c>
      <c r="AK4" s="2"/>
      <c r="AL4" s="2">
        <f>K27</f>
        <v>5.587687517163431E-3</v>
      </c>
      <c r="AM4" s="2"/>
      <c r="AN4" s="2"/>
      <c r="AO4" s="2"/>
    </row>
    <row r="5" spans="2:41" x14ac:dyDescent="0.2">
      <c r="B5" s="10" t="s">
        <v>37</v>
      </c>
      <c r="C5" s="10">
        <v>2072.8129311819898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87.797487349173863</v>
      </c>
      <c r="L5" s="6" t="s">
        <v>101</v>
      </c>
      <c r="N5" s="6" t="s">
        <v>114</v>
      </c>
      <c r="O5" s="6">
        <f xml:space="preserve"> $C$18 * 0.85 * ($C$5/$C$18 *2.20462/1000)^(2/3) * 0.3048^2</f>
        <v>0.34519520121613662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6.0334520380458022E-2</v>
      </c>
      <c r="X5" s="2">
        <f>IF(AC4&gt;0, Z4, X4)</f>
        <v>0.5</v>
      </c>
      <c r="Y5" s="2">
        <f t="shared" si="1"/>
        <v>-0.44143128857743691</v>
      </c>
      <c r="Z5" s="2">
        <f t="shared" ref="Z5:Z34" si="3" xml:space="preserve"> (V5 + X5)/2</f>
        <v>0.25</v>
      </c>
      <c r="AA5" s="2">
        <f t="shared" si="2"/>
        <v>-0.19030263656663635</v>
      </c>
      <c r="AB5" s="2">
        <f t="shared" ref="AB5:AB34" si="4">W5*AA5</f>
        <v>-1.1481818304384616E-2</v>
      </c>
      <c r="AC5" s="2">
        <f t="shared" ref="AC5:AC34" si="5">Y5*AA5</f>
        <v>8.4005538079293951E-2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-962.51803069794437</v>
      </c>
      <c r="AI5" s="3">
        <v>10000</v>
      </c>
      <c r="AJ5" s="2">
        <f t="dataTable" ref="AJ5:AJ44" dt2D="0" dtr="0" r1="C5" ca="1"/>
        <v>3328.973854911078</v>
      </c>
      <c r="AK5" s="2">
        <f>(AG5+AI5)/2</f>
        <v>5250</v>
      </c>
      <c r="AL5" s="2">
        <f t="dataTable" ref="AL5:AL44" dt2D="0" dtr="0" r1="C5" ca="1"/>
        <v>1629.8522863915109</v>
      </c>
      <c r="AM5" s="2">
        <f>AH5*AL5</f>
        <v>-1568762.2130260991</v>
      </c>
      <c r="AN5" s="2">
        <f>AJ5*AL5</f>
        <v>5425735.6487643821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6.0334520380458022E-2</v>
      </c>
      <c r="X6" s="2">
        <f t="shared" ref="X6:X34" si="8">IF(AC5&gt;0, Z5, X5)</f>
        <v>0.25</v>
      </c>
      <c r="Y6" s="2">
        <f t="shared" si="1"/>
        <v>-0.19030263656663635</v>
      </c>
      <c r="Z6" s="2">
        <f t="shared" si="3"/>
        <v>0.125</v>
      </c>
      <c r="AA6" s="2">
        <f t="shared" si="2"/>
        <v>-6.4845761745528557E-2</v>
      </c>
      <c r="AB6" s="2">
        <f t="shared" si="4"/>
        <v>-3.912437933621918E-3</v>
      </c>
      <c r="AC6" s="2">
        <f t="shared" si="5"/>
        <v>1.2340319430346011E-2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-962.51803069794437</v>
      </c>
      <c r="AI6" s="2">
        <f>IF(AN5&gt;0, AK5, AI5)</f>
        <v>5250</v>
      </c>
      <c r="AJ6" s="2">
        <v>1629.8522863915109</v>
      </c>
      <c r="AK6" s="2">
        <f t="shared" ref="AK6:AK43" si="9">(AG6+AI6)/2</f>
        <v>2875</v>
      </c>
      <c r="AL6" s="2">
        <v>448.43624454597784</v>
      </c>
      <c r="AM6" s="2">
        <f t="shared" ref="AM6:AM44" si="10">AH6*AL6</f>
        <v>-431627.9709939764</v>
      </c>
      <c r="AN6" s="2">
        <f t="shared" ref="AN6:AN44" si="11">AJ6*AL6</f>
        <v>730884.83847408474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328.866140954115</v>
      </c>
      <c r="D7" s="6" t="s">
        <v>125</v>
      </c>
      <c r="F7" t="s">
        <v>121</v>
      </c>
      <c r="G7" s="8">
        <f>$C$6*2*PI()/60*$C$9</f>
        <v>162.51463850850129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0.9754718245512326</v>
      </c>
      <c r="P7" s="6" t="s">
        <v>115</v>
      </c>
      <c r="U7" s="2">
        <v>3</v>
      </c>
      <c r="V7" s="2">
        <f t="shared" si="7"/>
        <v>0</v>
      </c>
      <c r="W7" s="2">
        <f t="shared" si="0"/>
        <v>6.0334520380458022E-2</v>
      </c>
      <c r="X7" s="2">
        <f t="shared" si="8"/>
        <v>0.125</v>
      </c>
      <c r="Y7" s="2">
        <f t="shared" si="1"/>
        <v>-6.4845761745528557E-2</v>
      </c>
      <c r="Z7" s="2">
        <f t="shared" si="3"/>
        <v>6.25E-2</v>
      </c>
      <c r="AA7" s="2">
        <f t="shared" si="2"/>
        <v>-2.2121131107851535E-3</v>
      </c>
      <c r="AB7" s="2">
        <f t="shared" si="4"/>
        <v>-1.3346678356654525E-4</v>
      </c>
      <c r="AC7" s="2">
        <f t="shared" si="5"/>
        <v>1.4344615973613408E-4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-962.51803069794437</v>
      </c>
      <c r="AI7" s="2">
        <f t="shared" ref="AI7:AI44" si="14">IF(AN6&gt;0, AK6, AI6)</f>
        <v>2875</v>
      </c>
      <c r="AJ7" s="2">
        <v>448.43624454597784</v>
      </c>
      <c r="AK7" s="2">
        <f t="shared" si="9"/>
        <v>1687.5</v>
      </c>
      <c r="AL7" s="2">
        <v>-239.11939481283957</v>
      </c>
      <c r="AM7" s="2">
        <f t="shared" si="10"/>
        <v>230156.72899693859</v>
      </c>
      <c r="AN7" s="2">
        <f t="shared" si="11"/>
        <v>-107229.80340797675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0.48669179910239274</v>
      </c>
      <c r="H8" s="6" t="s">
        <v>122</v>
      </c>
      <c r="J8" s="6" t="s">
        <v>96</v>
      </c>
      <c r="K8" s="6">
        <f xml:space="preserve"> $C$15 * (G12*G6 + G22*G15 + G31*G27 +G35*G34)/3600</f>
        <v>190.2453081020127</v>
      </c>
      <c r="L8" s="6" t="s">
        <v>102</v>
      </c>
      <c r="N8" s="6" t="s">
        <v>38</v>
      </c>
      <c r="O8" s="6">
        <f xml:space="preserve"> O4 *O7</f>
        <v>2211.847036037314</v>
      </c>
      <c r="P8" s="6" t="s">
        <v>20</v>
      </c>
      <c r="U8" s="2">
        <v>4</v>
      </c>
      <c r="V8" s="2">
        <f t="shared" si="7"/>
        <v>0</v>
      </c>
      <c r="W8" s="2">
        <f t="shared" si="0"/>
        <v>6.0334520380458022E-2</v>
      </c>
      <c r="X8" s="2">
        <f t="shared" si="8"/>
        <v>6.25E-2</v>
      </c>
      <c r="Y8" s="2">
        <f t="shared" si="1"/>
        <v>-2.2121131107851535E-3</v>
      </c>
      <c r="Z8" s="2">
        <f t="shared" si="3"/>
        <v>3.125E-2</v>
      </c>
      <c r="AA8" s="2">
        <f t="shared" si="2"/>
        <v>2.9072759563688967E-2</v>
      </c>
      <c r="AB8" s="2">
        <f t="shared" si="4"/>
        <v>1.7540910044115479E-3</v>
      </c>
      <c r="AC8" s="2">
        <f t="shared" si="5"/>
        <v>-6.4312232597540827E-5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-239.11939481283957</v>
      </c>
      <c r="AI8" s="2">
        <f t="shared" si="14"/>
        <v>2875</v>
      </c>
      <c r="AJ8" s="2">
        <v>448.43624454597784</v>
      </c>
      <c r="AK8" s="2">
        <f t="shared" si="9"/>
        <v>2281.25</v>
      </c>
      <c r="AL8" s="2">
        <v>118.95756407466433</v>
      </c>
      <c r="AM8" s="2">
        <f t="shared" si="10"/>
        <v>-28445.060729943321</v>
      </c>
      <c r="AN8" s="2">
        <f t="shared" si="11"/>
        <v>53344.883293980005</v>
      </c>
      <c r="AO8" s="2">
        <f t="shared" si="12"/>
        <v>1187.5</v>
      </c>
    </row>
    <row r="9" spans="2:41" x14ac:dyDescent="0.2">
      <c r="B9" s="6" t="s">
        <v>95</v>
      </c>
      <c r="C9" s="17">
        <v>3.8797512065130699</v>
      </c>
      <c r="D9" s="6" t="s">
        <v>8</v>
      </c>
      <c r="F9" t="s">
        <v>19</v>
      </c>
      <c r="G9" s="6">
        <f xml:space="preserve"> $C$5 * $C$44 / $C$18</f>
        <v>5079.1644221187626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2211.847036037314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2.9072759563688967E-2</v>
      </c>
      <c r="X9" s="2">
        <f t="shared" si="8"/>
        <v>6.25E-2</v>
      </c>
      <c r="Y9" s="2">
        <f t="shared" si="1"/>
        <v>-2.2121131107851535E-3</v>
      </c>
      <c r="Z9" s="2">
        <f t="shared" si="3"/>
        <v>4.6875E-2</v>
      </c>
      <c r="AA9" s="2">
        <f t="shared" si="2"/>
        <v>1.3433155128778129E-2</v>
      </c>
      <c r="AB9" s="2">
        <f t="shared" si="4"/>
        <v>3.9053888924070186E-4</v>
      </c>
      <c r="AC9" s="2">
        <f t="shared" si="5"/>
        <v>-2.9715658579580928E-5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-239.11939481283957</v>
      </c>
      <c r="AI9" s="2">
        <f t="shared" si="14"/>
        <v>2281.25</v>
      </c>
      <c r="AJ9" s="2">
        <v>118.95756407466433</v>
      </c>
      <c r="AK9" s="2">
        <f t="shared" si="9"/>
        <v>1984.375</v>
      </c>
      <c r="AL9" s="2">
        <v>-54.724165780279009</v>
      </c>
      <c r="AM9" s="2">
        <f t="shared" si="10"/>
        <v>13085.609403017821</v>
      </c>
      <c r="AN9" s="2">
        <f t="shared" si="11"/>
        <v>-6509.8534572400931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58.025500930251908</v>
      </c>
      <c r="H10" s="6" t="s">
        <v>101</v>
      </c>
      <c r="N10" s="6" t="s">
        <v>113</v>
      </c>
      <c r="O10" s="6">
        <f>O7/(0.3048^2)/($C$5*2.20462/1000)^(2/3)</f>
        <v>3.8129013548052293</v>
      </c>
      <c r="U10" s="2">
        <v>6</v>
      </c>
      <c r="V10" s="2">
        <f t="shared" si="7"/>
        <v>4.6875E-2</v>
      </c>
      <c r="W10" s="2">
        <f t="shared" si="0"/>
        <v>1.3433155128778129E-2</v>
      </c>
      <c r="X10" s="2">
        <f t="shared" si="8"/>
        <v>6.25E-2</v>
      </c>
      <c r="Y10" s="2">
        <f t="shared" si="1"/>
        <v>-2.2121131107851535E-3</v>
      </c>
      <c r="Z10" s="2">
        <f t="shared" si="3"/>
        <v>5.46875E-2</v>
      </c>
      <c r="AA10" s="2">
        <f t="shared" si="2"/>
        <v>5.6112192253581841E-3</v>
      </c>
      <c r="AB10" s="2">
        <f t="shared" si="4"/>
        <v>7.5376378315818727E-5</v>
      </c>
      <c r="AC10" s="2">
        <f t="shared" si="5"/>
        <v>-1.2412651615904553E-5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-54.724165780279009</v>
      </c>
      <c r="AI10" s="2">
        <f t="shared" si="14"/>
        <v>2281.25</v>
      </c>
      <c r="AJ10" s="2">
        <v>118.95756407466433</v>
      </c>
      <c r="AK10" s="2">
        <f t="shared" si="9"/>
        <v>2132.8125</v>
      </c>
      <c r="AL10" s="2">
        <v>34.935963490394442</v>
      </c>
      <c r="AM10" s="2">
        <f t="shared" si="10"/>
        <v>-1911.8414577421204</v>
      </c>
      <c r="AN10" s="2">
        <f t="shared" si="11"/>
        <v>4155.8971154187311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8.9306119634949912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5.46875E-2</v>
      </c>
      <c r="W11" s="2">
        <f t="shared" si="0"/>
        <v>5.6112192253581841E-3</v>
      </c>
      <c r="X11" s="2">
        <f t="shared" si="8"/>
        <v>6.25E-2</v>
      </c>
      <c r="Y11" s="2">
        <f t="shared" si="1"/>
        <v>-2.2121131107851535E-3</v>
      </c>
      <c r="Z11" s="2">
        <f t="shared" si="3"/>
        <v>5.859375E-2</v>
      </c>
      <c r="AA11" s="2">
        <f t="shared" si="2"/>
        <v>1.6997262357669116E-3</v>
      </c>
      <c r="AB11" s="2">
        <f t="shared" si="4"/>
        <v>9.5375365319809923E-6</v>
      </c>
      <c r="AC11" s="2">
        <f t="shared" si="5"/>
        <v>-3.7599866908854821E-6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-54.724165780279009</v>
      </c>
      <c r="AI11" s="2">
        <f t="shared" si="14"/>
        <v>2132.8125</v>
      </c>
      <c r="AJ11" s="2">
        <v>34.935963490394442</v>
      </c>
      <c r="AK11" s="2">
        <f t="shared" si="9"/>
        <v>2058.59375</v>
      </c>
      <c r="AL11" s="2">
        <v>-8.7864017975377919</v>
      </c>
      <c r="AM11" s="2">
        <f t="shared" si="10"/>
        <v>480.82850858059959</v>
      </c>
      <c r="AN11" s="2">
        <f t="shared" si="11"/>
        <v>-306.96141241071638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232.10200372100763</v>
      </c>
      <c r="H12" s="25" t="s">
        <v>101</v>
      </c>
      <c r="J12" s="10" t="s">
        <v>79</v>
      </c>
      <c r="K12" s="6">
        <f>C5</f>
        <v>2072.8129311819898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5.859375E-2</v>
      </c>
      <c r="W12" s="2">
        <f t="shared" si="0"/>
        <v>1.6997262357669116E-3</v>
      </c>
      <c r="X12" s="2">
        <f t="shared" si="8"/>
        <v>6.25E-2</v>
      </c>
      <c r="Y12" s="2">
        <f t="shared" si="1"/>
        <v>-2.2121131107851535E-3</v>
      </c>
      <c r="Z12" s="2">
        <f t="shared" si="3"/>
        <v>6.0546875E-2</v>
      </c>
      <c r="AA12" s="2">
        <f t="shared" si="2"/>
        <v>-2.5615032425903295E-4</v>
      </c>
      <c r="AB12" s="2">
        <f t="shared" si="4"/>
        <v>-4.3538542644327988E-7</v>
      </c>
      <c r="AC12" s="2">
        <f t="shared" si="5"/>
        <v>5.6663349062527511E-7</v>
      </c>
      <c r="AD12" s="2">
        <f t="shared" si="6"/>
        <v>3.90625E-3</v>
      </c>
      <c r="AF12" s="2">
        <v>8</v>
      </c>
      <c r="AG12" s="2">
        <f t="shared" si="13"/>
        <v>2058.59375</v>
      </c>
      <c r="AH12" s="2">
        <v>-8.7864017975377919</v>
      </c>
      <c r="AI12" s="2">
        <f t="shared" si="14"/>
        <v>2132.8125</v>
      </c>
      <c r="AJ12" s="2">
        <v>34.935963490394442</v>
      </c>
      <c r="AK12" s="2">
        <f t="shared" si="9"/>
        <v>2095.703125</v>
      </c>
      <c r="AL12" s="2">
        <v>13.836864165643192</v>
      </c>
      <c r="AM12" s="2">
        <f t="shared" si="10"/>
        <v>-121.57624817729361</v>
      </c>
      <c r="AN12" s="2">
        <f t="shared" si="11"/>
        <v>483.40418131245769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699.43127978681139</v>
      </c>
      <c r="L13" s="6" t="s">
        <v>7</v>
      </c>
      <c r="N13" s="6" t="s">
        <v>74</v>
      </c>
      <c r="O13" s="6">
        <f xml:space="preserve"> SQRT( ($C$5*$C$50)^2 + O9^2)</f>
        <v>20434.771523206728</v>
      </c>
      <c r="P13" s="6" t="s">
        <v>20</v>
      </c>
      <c r="U13" s="2">
        <v>9</v>
      </c>
      <c r="V13" s="2">
        <f t="shared" si="7"/>
        <v>5.859375E-2</v>
      </c>
      <c r="W13" s="2">
        <f t="shared" si="0"/>
        <v>1.6997262357669116E-3</v>
      </c>
      <c r="X13" s="2">
        <f t="shared" si="8"/>
        <v>6.0546875E-2</v>
      </c>
      <c r="Y13" s="2">
        <f t="shared" si="1"/>
        <v>-2.5615032425903295E-4</v>
      </c>
      <c r="Z13" s="2">
        <f t="shared" si="3"/>
        <v>5.95703125E-2</v>
      </c>
      <c r="AA13" s="2">
        <f t="shared" si="2"/>
        <v>7.2179875715169817E-4</v>
      </c>
      <c r="AB13" s="2">
        <f t="shared" si="4"/>
        <v>1.226860284474691E-6</v>
      </c>
      <c r="AC13" s="2">
        <f t="shared" si="5"/>
        <v>-1.8488898569417445E-7</v>
      </c>
      <c r="AD13" s="2">
        <f t="shared" si="6"/>
        <v>1.953125E-3</v>
      </c>
      <c r="AF13" s="2">
        <v>9</v>
      </c>
      <c r="AG13" s="2">
        <f t="shared" si="13"/>
        <v>2058.59375</v>
      </c>
      <c r="AH13" s="2">
        <v>-8.7864017975377919</v>
      </c>
      <c r="AI13" s="2">
        <f t="shared" si="14"/>
        <v>2095.703125</v>
      </c>
      <c r="AJ13" s="2">
        <v>13.836864165643192</v>
      </c>
      <c r="AK13" s="2">
        <f t="shared" si="9"/>
        <v>2077.1484375</v>
      </c>
      <c r="AL13" s="2">
        <v>2.6857145216720255</v>
      </c>
      <c r="AM13" s="2">
        <f t="shared" si="10"/>
        <v>-23.597766900892434</v>
      </c>
      <c r="AN13" s="2">
        <f t="shared" si="11"/>
        <v>37.161867024071192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149.13626357637114</v>
      </c>
      <c r="L14" s="6" t="s">
        <v>7</v>
      </c>
      <c r="N14" s="6" t="s">
        <v>75</v>
      </c>
      <c r="O14" s="6">
        <f>$C$5*$C$50/O13</f>
        <v>0.99412485948026252</v>
      </c>
      <c r="U14" s="2">
        <v>10</v>
      </c>
      <c r="V14" s="2">
        <f t="shared" si="7"/>
        <v>5.95703125E-2</v>
      </c>
      <c r="W14" s="2">
        <f t="shared" si="0"/>
        <v>7.2179875715169817E-4</v>
      </c>
      <c r="X14" s="2">
        <f t="shared" si="8"/>
        <v>6.0546875E-2</v>
      </c>
      <c r="Y14" s="2">
        <f t="shared" si="1"/>
        <v>-2.5615032425903295E-4</v>
      </c>
      <c r="Z14" s="2">
        <f t="shared" si="3"/>
        <v>6.005859375E-2</v>
      </c>
      <c r="AA14" s="2">
        <f t="shared" si="2"/>
        <v>2.3282691393581439E-4</v>
      </c>
      <c r="AB14" s="2">
        <f t="shared" si="4"/>
        <v>1.6805417711033622E-7</v>
      </c>
      <c r="AC14" s="2">
        <f t="shared" si="5"/>
        <v>-5.963868950088881E-8</v>
      </c>
      <c r="AD14" s="2">
        <f t="shared" si="6"/>
        <v>9.765625E-4</v>
      </c>
      <c r="AF14" s="2">
        <v>10</v>
      </c>
      <c r="AG14" s="2">
        <f t="shared" si="13"/>
        <v>2058.59375</v>
      </c>
      <c r="AH14" s="2">
        <v>-8.7864017975377919</v>
      </c>
      <c r="AI14" s="2">
        <f t="shared" si="14"/>
        <v>2077.1484375</v>
      </c>
      <c r="AJ14" s="2">
        <v>2.6857145216720255</v>
      </c>
      <c r="AK14" s="2">
        <f t="shared" si="9"/>
        <v>2067.87109375</v>
      </c>
      <c r="AL14" s="2">
        <v>-3.0497117215445542</v>
      </c>
      <c r="AM14" s="2">
        <f t="shared" si="10"/>
        <v>26.795992552151144</v>
      </c>
      <c r="AN14" s="2">
        <f t="shared" si="11"/>
        <v>-8.1906550574656016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262.80937696965452</v>
      </c>
      <c r="L15" s="6" t="s">
        <v>7</v>
      </c>
      <c r="U15" s="2">
        <v>11</v>
      </c>
      <c r="V15" s="2">
        <f t="shared" si="7"/>
        <v>6.005859375E-2</v>
      </c>
      <c r="W15" s="2">
        <f t="shared" si="0"/>
        <v>2.3282691393581439E-4</v>
      </c>
      <c r="X15" s="2">
        <f t="shared" si="8"/>
        <v>6.0546875E-2</v>
      </c>
      <c r="Y15" s="2">
        <f t="shared" si="1"/>
        <v>-2.5615032425903295E-4</v>
      </c>
      <c r="Z15" s="2">
        <f t="shared" si="3"/>
        <v>6.0302734375E-2</v>
      </c>
      <c r="AA15" s="2">
        <f t="shared" si="2"/>
        <v>-1.1661031148989254E-5</v>
      </c>
      <c r="AB15" s="2">
        <f t="shared" si="4"/>
        <v>-2.7150018957285717E-9</v>
      </c>
      <c r="AC15" s="2">
        <f t="shared" si="5"/>
        <v>2.986976910008281E-9</v>
      </c>
      <c r="AD15" s="2">
        <f t="shared" si="6"/>
        <v>4.8828125E-4</v>
      </c>
      <c r="AF15" s="2">
        <v>11</v>
      </c>
      <c r="AG15" s="2">
        <f t="shared" si="13"/>
        <v>2067.87109375</v>
      </c>
      <c r="AH15" s="2">
        <v>-3.0497117215445542</v>
      </c>
      <c r="AI15" s="2">
        <f t="shared" si="14"/>
        <v>2077.1484375</v>
      </c>
      <c r="AJ15" s="2">
        <v>2.6857145216720255</v>
      </c>
      <c r="AK15" s="2">
        <f t="shared" si="9"/>
        <v>2072.509765625</v>
      </c>
      <c r="AL15" s="2">
        <v>-0.1818333271667143</v>
      </c>
      <c r="AM15" s="2">
        <f t="shared" si="10"/>
        <v>0.55453922922777443</v>
      </c>
      <c r="AN15" s="2">
        <f t="shared" si="11"/>
        <v>-0.48835240729558499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133.61390503710959</v>
      </c>
      <c r="H16" s="6" t="s">
        <v>10</v>
      </c>
      <c r="J16" s="13" t="s">
        <v>53</v>
      </c>
      <c r="K16" s="6">
        <f xml:space="preserve"> $C$54 * 0.2138 * K4</f>
        <v>60.067528944810789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6.005859375E-2</v>
      </c>
      <c r="W16" s="2">
        <f t="shared" si="0"/>
        <v>2.3282691393581439E-4</v>
      </c>
      <c r="X16" s="2">
        <f t="shared" si="8"/>
        <v>6.0302734375E-2</v>
      </c>
      <c r="Y16" s="2">
        <f t="shared" si="1"/>
        <v>-1.1661031148989254E-5</v>
      </c>
      <c r="Z16" s="2">
        <f t="shared" si="3"/>
        <v>6.01806640625E-2</v>
      </c>
      <c r="AA16" s="2">
        <f t="shared" si="2"/>
        <v>1.1058310994163656E-4</v>
      </c>
      <c r="AB16" s="2">
        <f t="shared" si="4"/>
        <v>2.5746724221136116E-8</v>
      </c>
      <c r="AC16" s="2">
        <f t="shared" si="5"/>
        <v>-1.2895130895815272E-9</v>
      </c>
      <c r="AD16" s="2">
        <f t="shared" si="6"/>
        <v>2.44140625E-4</v>
      </c>
      <c r="AF16" s="2">
        <v>12</v>
      </c>
      <c r="AG16" s="2">
        <f t="shared" si="13"/>
        <v>2072.509765625</v>
      </c>
      <c r="AH16" s="2">
        <v>-0.1818333271667143</v>
      </c>
      <c r="AI16" s="2">
        <f t="shared" si="14"/>
        <v>2077.1484375</v>
      </c>
      <c r="AJ16" s="2">
        <v>2.6857145216720255</v>
      </c>
      <c r="AK16" s="2">
        <f t="shared" si="9"/>
        <v>2074.8291015625</v>
      </c>
      <c r="AL16" s="2">
        <v>1.2519812666162125</v>
      </c>
      <c r="AM16" s="2">
        <f t="shared" si="10"/>
        <v>-0.22765191925922312</v>
      </c>
      <c r="AN16" s="2">
        <f t="shared" si="11"/>
        <v>3.3624642686124977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0.40157850869226797</v>
      </c>
      <c r="H17" s="6" t="s">
        <v>122</v>
      </c>
      <c r="J17" s="13" t="s">
        <v>77</v>
      </c>
      <c r="K17" s="6">
        <f xml:space="preserve"> $C$54 * 0.1149 * K4</f>
        <v>32.281380148544244</v>
      </c>
      <c r="L17" s="6" t="s">
        <v>7</v>
      </c>
      <c r="N17" s="6" t="s">
        <v>25</v>
      </c>
      <c r="O17" s="6">
        <f xml:space="preserve"> ACOS(O14)/PI()*180</f>
        <v>6.2138335733110353</v>
      </c>
      <c r="P17" s="6" t="s">
        <v>40</v>
      </c>
      <c r="U17" s="2">
        <v>13</v>
      </c>
      <c r="V17" s="2">
        <f t="shared" si="7"/>
        <v>6.01806640625E-2</v>
      </c>
      <c r="W17" s="2">
        <f t="shared" si="0"/>
        <v>1.1058310994163656E-4</v>
      </c>
      <c r="X17" s="2">
        <f t="shared" si="8"/>
        <v>6.0302734375E-2</v>
      </c>
      <c r="Y17" s="2">
        <f t="shared" si="1"/>
        <v>-1.1661031148989254E-5</v>
      </c>
      <c r="Z17" s="2">
        <f t="shared" si="3"/>
        <v>6.024169921875E-2</v>
      </c>
      <c r="AA17" s="2">
        <f t="shared" si="2"/>
        <v>4.9461081527750472E-5</v>
      </c>
      <c r="AB17" s="2">
        <f t="shared" si="4"/>
        <v>5.4695602164154794E-9</v>
      </c>
      <c r="AC17" s="2">
        <f t="shared" si="5"/>
        <v>-5.7676721235779525E-10</v>
      </c>
      <c r="AD17" s="2">
        <f t="shared" si="6"/>
        <v>1.220703125E-4</v>
      </c>
      <c r="AF17" s="2">
        <v>13</v>
      </c>
      <c r="AG17" s="2">
        <f t="shared" si="13"/>
        <v>2072.509765625</v>
      </c>
      <c r="AH17" s="2">
        <v>-0.1818333271667143</v>
      </c>
      <c r="AI17" s="2">
        <f t="shared" si="14"/>
        <v>2074.8291015625</v>
      </c>
      <c r="AJ17" s="2">
        <v>1.2519812666162125</v>
      </c>
      <c r="AK17" s="2">
        <f t="shared" si="9"/>
        <v>2073.66943359375</v>
      </c>
      <c r="AL17" s="2">
        <v>0.53507602524291542</v>
      </c>
      <c r="AM17" s="2">
        <f t="shared" si="10"/>
        <v>-9.729465395706012E-2</v>
      </c>
      <c r="AN17" s="2">
        <f t="shared" si="11"/>
        <v>0.66990515981959375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5108.6928808016819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130.67686766378759</v>
      </c>
      <c r="L18" s="6" t="s">
        <v>7</v>
      </c>
      <c r="N18" s="6" t="s">
        <v>19</v>
      </c>
      <c r="O18" s="6">
        <f xml:space="preserve"> O13 / $C$18</f>
        <v>5108.6928808016819</v>
      </c>
      <c r="P18" s="6" t="s">
        <v>20</v>
      </c>
      <c r="U18" s="2">
        <v>14</v>
      </c>
      <c r="V18" s="2">
        <f t="shared" si="7"/>
        <v>6.024169921875E-2</v>
      </c>
      <c r="W18" s="2">
        <f t="shared" si="0"/>
        <v>4.9461081527750472E-5</v>
      </c>
      <c r="X18" s="2">
        <f t="shared" si="8"/>
        <v>6.0302734375E-2</v>
      </c>
      <c r="Y18" s="2">
        <f t="shared" si="1"/>
        <v>-1.1661031148989254E-5</v>
      </c>
      <c r="Z18" s="2">
        <f t="shared" si="3"/>
        <v>6.0272216796875E-2</v>
      </c>
      <c r="AA18" s="2">
        <f t="shared" si="2"/>
        <v>1.8900035721532149E-5</v>
      </c>
      <c r="AB18" s="2">
        <f t="shared" si="4"/>
        <v>9.3481620770009788E-10</v>
      </c>
      <c r="AC18" s="2">
        <f t="shared" si="5"/>
        <v>-2.2039390526579598E-10</v>
      </c>
      <c r="AD18" s="2">
        <f t="shared" si="6"/>
        <v>6.103515625E-5</v>
      </c>
      <c r="AF18" s="2">
        <v>14</v>
      </c>
      <c r="AG18" s="2">
        <f t="shared" si="13"/>
        <v>2072.509765625</v>
      </c>
      <c r="AH18" s="2">
        <v>-0.1818333271667143</v>
      </c>
      <c r="AI18" s="2">
        <f t="shared" si="14"/>
        <v>2073.66943359375</v>
      </c>
      <c r="AJ18" s="2">
        <v>0.53507602524291542</v>
      </c>
      <c r="AK18" s="2">
        <f t="shared" si="9"/>
        <v>2073.089599609375</v>
      </c>
      <c r="AL18" s="2">
        <v>0.17662183948073107</v>
      </c>
      <c r="AM18" s="2">
        <f t="shared" si="10"/>
        <v>-3.2115736723086666E-2</v>
      </c>
      <c r="AN18" s="2">
        <f t="shared" si="11"/>
        <v>9.4506111840441817E-2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58.531658232782576</v>
      </c>
      <c r="H19" s="6" t="s">
        <v>101</v>
      </c>
      <c r="J19" s="14" t="s">
        <v>61</v>
      </c>
      <c r="K19" s="6">
        <f xml:space="preserve"> $C$55 * C31 * $C$5</f>
        <v>23.215504829238288</v>
      </c>
      <c r="L19" s="6" t="s">
        <v>7</v>
      </c>
      <c r="N19" s="6" t="s">
        <v>26</v>
      </c>
      <c r="O19" s="6">
        <f>$C$7*2*PI()/60</f>
        <v>34.438781747862436</v>
      </c>
      <c r="P19" s="6" t="s">
        <v>27</v>
      </c>
      <c r="U19" s="2">
        <v>15</v>
      </c>
      <c r="V19" s="2">
        <f t="shared" si="7"/>
        <v>6.0272216796875E-2</v>
      </c>
      <c r="W19" s="2">
        <f t="shared" si="0"/>
        <v>1.8900035721532149E-5</v>
      </c>
      <c r="X19" s="2">
        <f t="shared" si="8"/>
        <v>6.0302734375E-2</v>
      </c>
      <c r="Y19" s="2">
        <f t="shared" si="1"/>
        <v>-1.1661031148989254E-5</v>
      </c>
      <c r="Z19" s="2">
        <f t="shared" si="3"/>
        <v>6.02874755859375E-2</v>
      </c>
      <c r="AA19" s="2">
        <f t="shared" si="2"/>
        <v>3.6195049192208617E-6</v>
      </c>
      <c r="AB19" s="2">
        <f t="shared" si="4"/>
        <v>6.8408772267535622E-11</v>
      </c>
      <c r="AC19" s="2">
        <f t="shared" si="5"/>
        <v>-4.2207159606954299E-11</v>
      </c>
      <c r="AD19" s="2">
        <f t="shared" si="6"/>
        <v>3.0517578125E-5</v>
      </c>
      <c r="AF19" s="2">
        <v>15</v>
      </c>
      <c r="AG19" s="2">
        <f t="shared" si="13"/>
        <v>2072.509765625</v>
      </c>
      <c r="AH19" s="2">
        <v>-0.1818333271667143</v>
      </c>
      <c r="AI19" s="2">
        <f t="shared" si="14"/>
        <v>2073.089599609375</v>
      </c>
      <c r="AJ19" s="2">
        <v>0.17662183948073107</v>
      </c>
      <c r="AK19" s="2">
        <f t="shared" si="9"/>
        <v>2072.7996826171875</v>
      </c>
      <c r="AL19" s="2">
        <v>-2.6033647661733994E-3</v>
      </c>
      <c r="AM19" s="2">
        <f t="shared" si="10"/>
        <v>4.7337847726190442E-4</v>
      </c>
      <c r="AN19" s="2">
        <f t="shared" si="11"/>
        <v>-4.5981107384086915E-4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8.9057060404204105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0.49891541272440126</v>
      </c>
      <c r="U20" s="2">
        <v>16</v>
      </c>
      <c r="V20" s="2">
        <f t="shared" si="7"/>
        <v>6.02874755859375E-2</v>
      </c>
      <c r="W20" s="2">
        <f t="shared" si="0"/>
        <v>3.6195049192208617E-6</v>
      </c>
      <c r="X20" s="2">
        <f t="shared" si="8"/>
        <v>6.0302734375E-2</v>
      </c>
      <c r="Y20" s="2">
        <f t="shared" si="1"/>
        <v>-1.1661031148989254E-5</v>
      </c>
      <c r="Z20" s="2">
        <f t="shared" si="3"/>
        <v>6.029510498046875E-2</v>
      </c>
      <c r="AA20" s="2">
        <f t="shared" si="2"/>
        <v>-4.0207624566537814E-6</v>
      </c>
      <c r="AB20" s="2">
        <f t="shared" si="4"/>
        <v>-1.455316949087692E-11</v>
      </c>
      <c r="AC20" s="2">
        <f t="shared" si="5"/>
        <v>4.6886236249726296E-11</v>
      </c>
      <c r="AD20" s="2">
        <f t="shared" si="6"/>
        <v>1.52587890625E-5</v>
      </c>
      <c r="AF20" s="2">
        <v>16</v>
      </c>
      <c r="AG20" s="2">
        <f t="shared" si="13"/>
        <v>2072.7996826171875</v>
      </c>
      <c r="AH20" s="2">
        <v>-2.6033647661733994E-3</v>
      </c>
      <c r="AI20" s="2">
        <f t="shared" si="14"/>
        <v>2073.089599609375</v>
      </c>
      <c r="AJ20" s="2">
        <v>0.17662183948073107</v>
      </c>
      <c r="AK20" s="2">
        <f t="shared" si="9"/>
        <v>2072.9446411132812</v>
      </c>
      <c r="AL20" s="2">
        <v>8.7012092162694898E-2</v>
      </c>
      <c r="AM20" s="2">
        <f t="shared" si="10"/>
        <v>-2.2652421496739249E-4</v>
      </c>
      <c r="AN20" s="2">
        <f t="shared" si="11"/>
        <v>1.5368235774842077E-2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9.7717293890210097E-2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6.000035036331855E-3</v>
      </c>
      <c r="U21" s="2">
        <v>17</v>
      </c>
      <c r="V21" s="2">
        <f t="shared" si="7"/>
        <v>6.02874755859375E-2</v>
      </c>
      <c r="W21" s="2">
        <f t="shared" si="0"/>
        <v>3.6195049192208617E-6</v>
      </c>
      <c r="X21" s="2">
        <f t="shared" si="8"/>
        <v>6.029510498046875E-2</v>
      </c>
      <c r="Y21" s="2">
        <f t="shared" si="1"/>
        <v>-4.0207624566537814E-6</v>
      </c>
      <c r="Z21" s="2">
        <f t="shared" si="3"/>
        <v>6.0291290283203125E-2</v>
      </c>
      <c r="AA21" s="2">
        <f t="shared" si="2"/>
        <v>-2.0062860416059092E-7</v>
      </c>
      <c r="AB21" s="2">
        <f t="shared" si="4"/>
        <v>-7.2617621969567391E-13</v>
      </c>
      <c r="AC21" s="2">
        <f t="shared" si="5"/>
        <v>8.066799593397566E-13</v>
      </c>
      <c r="AD21" s="2">
        <f t="shared" si="6"/>
        <v>7.62939453125E-6</v>
      </c>
      <c r="AF21" s="2">
        <v>17</v>
      </c>
      <c r="AG21" s="2">
        <f t="shared" si="13"/>
        <v>2072.7996826171875</v>
      </c>
      <c r="AH21" s="2">
        <v>-2.6033647661733994E-3</v>
      </c>
      <c r="AI21" s="2">
        <f t="shared" si="14"/>
        <v>2072.9446411132812</v>
      </c>
      <c r="AJ21" s="2">
        <v>8.7012092162694898E-2</v>
      </c>
      <c r="AK21" s="2">
        <f t="shared" si="9"/>
        <v>2072.8721618652344</v>
      </c>
      <c r="AL21" s="2">
        <v>4.2203947544294351E-2</v>
      </c>
      <c r="AM21" s="2">
        <f t="shared" si="10"/>
        <v>-1.0987227003024627E-4</v>
      </c>
      <c r="AN21" s="2">
        <f t="shared" si="11"/>
        <v>3.6722537733536813E-3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234.1266329311303</v>
      </c>
      <c r="H22" s="25" t="s">
        <v>101</v>
      </c>
      <c r="J22" s="14" t="s">
        <v>112</v>
      </c>
      <c r="K22" s="6">
        <f>$C$55*(0.14*$G$12*1000/745.7)*0.453592</f>
        <v>15.812413238626476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6.02874755859375E-2</v>
      </c>
      <c r="W22" s="2">
        <f t="shared" si="0"/>
        <v>3.6195049192208617E-6</v>
      </c>
      <c r="X22" s="2">
        <f t="shared" si="8"/>
        <v>6.0291290283203125E-2</v>
      </c>
      <c r="Y22" s="2">
        <f t="shared" si="1"/>
        <v>-2.0062860416059092E-7</v>
      </c>
      <c r="Z22" s="2">
        <f t="shared" si="3"/>
        <v>6.0289382934570312E-2</v>
      </c>
      <c r="AA22" s="2">
        <f t="shared" si="2"/>
        <v>1.7094381986743068E-6</v>
      </c>
      <c r="AB22" s="2">
        <f t="shared" si="4"/>
        <v>6.1873199692057023E-12</v>
      </c>
      <c r="AC22" s="2">
        <f t="shared" si="5"/>
        <v>-3.4296219969882108E-13</v>
      </c>
      <c r="AD22" s="2">
        <f t="shared" si="6"/>
        <v>3.814697265625E-6</v>
      </c>
      <c r="AF22" s="2">
        <v>18</v>
      </c>
      <c r="AG22" s="2">
        <f t="shared" si="13"/>
        <v>2072.7996826171875</v>
      </c>
      <c r="AH22" s="2">
        <v>-2.6033647661733994E-3</v>
      </c>
      <c r="AI22" s="2">
        <f t="shared" si="14"/>
        <v>2072.8721618652344</v>
      </c>
      <c r="AJ22" s="2">
        <v>4.2203947544294351E-2</v>
      </c>
      <c r="AK22" s="2">
        <f t="shared" si="9"/>
        <v>2072.8359222412109</v>
      </c>
      <c r="AL22" s="2">
        <v>1.9800187350028864E-2</v>
      </c>
      <c r="AM22" s="2">
        <f t="shared" si="10"/>
        <v>-5.1547110110697395E-5</v>
      </c>
      <c r="AN22" s="2">
        <f t="shared" si="11"/>
        <v>8.3564606828781876E-4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44.44110924454187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16766.145212950563</v>
      </c>
      <c r="P23" s="6" t="s">
        <v>18</v>
      </c>
      <c r="U23" s="2">
        <v>19</v>
      </c>
      <c r="V23" s="2">
        <f t="shared" si="7"/>
        <v>6.0289382934570312E-2</v>
      </c>
      <c r="W23" s="2">
        <f t="shared" si="0"/>
        <v>1.7094381986743068E-6</v>
      </c>
      <c r="X23" s="2">
        <f t="shared" si="8"/>
        <v>6.0291290283203125E-2</v>
      </c>
      <c r="Y23" s="2">
        <f t="shared" si="1"/>
        <v>-2.0062860416059092E-7</v>
      </c>
      <c r="Z23" s="2">
        <f t="shared" si="3"/>
        <v>6.0290336608886719E-2</v>
      </c>
      <c r="AA23" s="2">
        <f t="shared" si="2"/>
        <v>7.5440480754029871E-7</v>
      </c>
      <c r="AB23" s="2">
        <f t="shared" si="4"/>
        <v>1.2896083952729254E-12</v>
      </c>
      <c r="AC23" s="2">
        <f t="shared" si="5"/>
        <v>-1.5135518350884935E-13</v>
      </c>
      <c r="AD23" s="2">
        <f t="shared" si="6"/>
        <v>1.9073486328125E-6</v>
      </c>
      <c r="AF23" s="2">
        <v>19</v>
      </c>
      <c r="AG23" s="2">
        <f t="shared" si="13"/>
        <v>2072.7996826171875</v>
      </c>
      <c r="AH23" s="2">
        <v>-2.6033647661733994E-3</v>
      </c>
      <c r="AI23" s="2">
        <f t="shared" si="14"/>
        <v>2072.8359222412109</v>
      </c>
      <c r="AJ23" s="2">
        <v>1.9800187350028864E-2</v>
      </c>
      <c r="AK23" s="2">
        <f t="shared" si="9"/>
        <v>2072.8178024291992</v>
      </c>
      <c r="AL23" s="2">
        <v>8.5938664503828477E-3</v>
      </c>
      <c r="AM23" s="2">
        <f t="shared" si="10"/>
        <v>-2.2372969122126365E-5</v>
      </c>
      <c r="AN23" s="2">
        <f t="shared" si="11"/>
        <v>1.7016016577870791E-4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7.6632104866428268</v>
      </c>
      <c r="L24" s="6" t="s">
        <v>7</v>
      </c>
      <c r="N24" s="6" t="s">
        <v>31</v>
      </c>
      <c r="O24" s="18">
        <f>Z34</f>
        <v>6.0291089583188295E-2</v>
      </c>
      <c r="U24" s="2">
        <v>20</v>
      </c>
      <c r="V24" s="2">
        <f t="shared" si="7"/>
        <v>6.0290336608886719E-2</v>
      </c>
      <c r="W24" s="2">
        <f t="shared" si="0"/>
        <v>7.5440480754029871E-7</v>
      </c>
      <c r="X24" s="2">
        <f t="shared" si="8"/>
        <v>6.0291290283203125E-2</v>
      </c>
      <c r="Y24" s="2">
        <f t="shared" si="1"/>
        <v>-2.0062860416059092E-7</v>
      </c>
      <c r="Z24" s="2">
        <f t="shared" si="3"/>
        <v>6.0290813446044922E-2</v>
      </c>
      <c r="AA24" s="2">
        <f t="shared" si="2"/>
        <v>2.7688810426418353E-7</v>
      </c>
      <c r="AB24" s="2">
        <f t="shared" si="4"/>
        <v>2.0888571700761953E-13</v>
      </c>
      <c r="AC24" s="2">
        <f t="shared" si="5"/>
        <v>-5.5551673867195307E-14</v>
      </c>
      <c r="AD24" s="2">
        <f t="shared" si="6"/>
        <v>9.5367431640625E-7</v>
      </c>
      <c r="AF24" s="2">
        <v>20</v>
      </c>
      <c r="AG24" s="2">
        <f t="shared" si="13"/>
        <v>2072.7996826171875</v>
      </c>
      <c r="AH24" s="2">
        <v>-2.6033647661733994E-3</v>
      </c>
      <c r="AI24" s="2">
        <f t="shared" si="14"/>
        <v>2072.8178024291992</v>
      </c>
      <c r="AJ24" s="2">
        <v>8.5938664503828477E-3</v>
      </c>
      <c r="AK24" s="2">
        <f t="shared" si="9"/>
        <v>2072.8087425231934</v>
      </c>
      <c r="AL24" s="2">
        <v>2.9907255368470942E-3</v>
      </c>
      <c r="AM24" s="2">
        <f t="shared" si="10"/>
        <v>-7.78594948792275E-6</v>
      </c>
      <c r="AN24" s="2">
        <f t="shared" si="11"/>
        <v>2.5701895853413475E-5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13.266002759564735</v>
      </c>
      <c r="L25" s="6" t="s">
        <v>7</v>
      </c>
      <c r="N25" s="6" t="s">
        <v>32</v>
      </c>
      <c r="O25" s="6">
        <f xml:space="preserve"> O19 * $C$9 * O24 - $C$8 * SIN(O17/180*PI())</f>
        <v>0.79762793498932538</v>
      </c>
      <c r="P25" s="6" t="s">
        <v>10</v>
      </c>
      <c r="U25" s="2">
        <v>21</v>
      </c>
      <c r="V25" s="2">
        <f t="shared" si="7"/>
        <v>6.0290813446044922E-2</v>
      </c>
      <c r="W25" s="2">
        <f t="shared" si="0"/>
        <v>2.7688810426418353E-7</v>
      </c>
      <c r="X25" s="2">
        <f t="shared" si="8"/>
        <v>6.0291290283203125E-2</v>
      </c>
      <c r="Y25" s="2">
        <f t="shared" si="1"/>
        <v>-2.0062860416059092E-7</v>
      </c>
      <c r="Z25" s="2">
        <f t="shared" si="3"/>
        <v>6.0291051864624023E-2</v>
      </c>
      <c r="AA25" s="2">
        <f t="shared" si="2"/>
        <v>3.812975069711344E-8</v>
      </c>
      <c r="AB25" s="2">
        <f t="shared" si="4"/>
        <v>1.0557674386589671E-14</v>
      </c>
      <c r="AC25" s="2">
        <f t="shared" si="5"/>
        <v>-7.6499186593531874E-15</v>
      </c>
      <c r="AD25" s="2">
        <f t="shared" si="6"/>
        <v>4.76837158203125E-7</v>
      </c>
      <c r="AF25" s="2">
        <v>21</v>
      </c>
      <c r="AG25" s="2">
        <f t="shared" si="13"/>
        <v>2072.7996826171875</v>
      </c>
      <c r="AH25" s="2">
        <v>-2.6033647661733994E-3</v>
      </c>
      <c r="AI25" s="2">
        <f t="shared" si="14"/>
        <v>2072.8087425231934</v>
      </c>
      <c r="AJ25" s="2">
        <v>2.9907255368470942E-3</v>
      </c>
      <c r="AK25" s="2">
        <f t="shared" si="9"/>
        <v>2072.8042125701904</v>
      </c>
      <c r="AL25" s="2">
        <v>1.9367876802789397E-4</v>
      </c>
      <c r="AM25" s="2">
        <f t="shared" si="10"/>
        <v>-5.0421648063969023E-7</v>
      </c>
      <c r="AN25" s="2">
        <f t="shared" si="11"/>
        <v>5.7924003748610699E-7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34.006405845878611</v>
      </c>
      <c r="L26" s="6" t="s">
        <v>7</v>
      </c>
      <c r="N26" s="6" t="s">
        <v>33</v>
      </c>
      <c r="O26" s="6">
        <f xml:space="preserve"> 1/$C$21 - O23 * SQRT( (2*$C$47*PI()*$C$9^2) / O18^3 )</f>
        <v>0.88488762105774055</v>
      </c>
      <c r="U26" s="2">
        <v>22</v>
      </c>
      <c r="V26" s="2">
        <f t="shared" si="7"/>
        <v>6.0291051864624023E-2</v>
      </c>
      <c r="W26" s="2">
        <f t="shared" si="0"/>
        <v>3.812975069711344E-8</v>
      </c>
      <c r="X26" s="2">
        <f t="shared" si="8"/>
        <v>6.0291290283203125E-2</v>
      </c>
      <c r="Y26" s="2">
        <f t="shared" si="1"/>
        <v>-2.0062860416059092E-7</v>
      </c>
      <c r="Z26" s="2">
        <f t="shared" si="3"/>
        <v>6.0291171073913574E-2</v>
      </c>
      <c r="AA26" s="2">
        <f t="shared" si="2"/>
        <v>-8.1249426568674732E-8</v>
      </c>
      <c r="AB26" s="2">
        <f t="shared" si="4"/>
        <v>-3.0980203793469925E-15</v>
      </c>
      <c r="AC26" s="2">
        <f t="shared" si="5"/>
        <v>1.630095904132164E-14</v>
      </c>
      <c r="AD26" s="2">
        <f t="shared" si="6"/>
        <v>2.384185791015625E-7</v>
      </c>
      <c r="AF26" s="2">
        <v>22</v>
      </c>
      <c r="AG26" s="2">
        <f t="shared" si="13"/>
        <v>2072.7996826171875</v>
      </c>
      <c r="AH26" s="2">
        <v>-2.6033647661733994E-3</v>
      </c>
      <c r="AI26" s="2">
        <f t="shared" si="14"/>
        <v>2072.8042125701904</v>
      </c>
      <c r="AJ26" s="2">
        <v>1.9367876802789397E-4</v>
      </c>
      <c r="AK26" s="2">
        <f t="shared" si="9"/>
        <v>2072.801947593689</v>
      </c>
      <c r="AL26" s="2">
        <v>-1.2048434041389555E-3</v>
      </c>
      <c r="AM26" s="2">
        <f t="shared" si="10"/>
        <v>3.1366468670917744E-6</v>
      </c>
      <c r="AN26" s="2">
        <f t="shared" si="11"/>
        <v>-2.3335258618016686E-7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5.587687517163431E-3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6.0291051864624023E-2</v>
      </c>
      <c r="W27" s="2">
        <f t="shared" si="0"/>
        <v>3.812975069711344E-8</v>
      </c>
      <c r="X27" s="2">
        <f t="shared" si="8"/>
        <v>6.0291171073913574E-2</v>
      </c>
      <c r="Y27" s="2">
        <f t="shared" si="1"/>
        <v>-8.1249426568674732E-8</v>
      </c>
      <c r="Z27" s="2">
        <f t="shared" si="3"/>
        <v>6.0291111469268799E-2</v>
      </c>
      <c r="AA27" s="2">
        <f t="shared" si="2"/>
        <v>-2.1559837901086176E-8</v>
      </c>
      <c r="AB27" s="2">
        <f t="shared" si="4"/>
        <v>-8.2207124423859336E-16</v>
      </c>
      <c r="AC27" s="2">
        <f t="shared" si="5"/>
        <v>1.7517244663768317E-15</v>
      </c>
      <c r="AD27" s="2">
        <f t="shared" si="6"/>
        <v>1.1920928955078125E-7</v>
      </c>
      <c r="AF27" s="2">
        <v>23</v>
      </c>
      <c r="AG27" s="2">
        <f t="shared" si="13"/>
        <v>2072.801947593689</v>
      </c>
      <c r="AH27" s="2">
        <v>-1.2048434041389555E-3</v>
      </c>
      <c r="AI27" s="2">
        <f t="shared" si="14"/>
        <v>2072.8042125701904</v>
      </c>
      <c r="AJ27" s="2">
        <v>1.9367876802789397E-4</v>
      </c>
      <c r="AK27" s="2">
        <f t="shared" si="9"/>
        <v>2072.8030800819397</v>
      </c>
      <c r="AL27" s="2">
        <v>-5.1010121956096555E-4</v>
      </c>
      <c r="AM27" s="2">
        <f t="shared" si="10"/>
        <v>6.1459208983126649E-7</v>
      </c>
      <c r="AN27" s="2">
        <f t="shared" si="11"/>
        <v>-9.8795775774094051E-8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5079.1644221187626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1.1500117137819867</v>
      </c>
      <c r="U28" s="2">
        <v>24</v>
      </c>
      <c r="V28" s="2">
        <f t="shared" si="7"/>
        <v>6.0291051864624023E-2</v>
      </c>
      <c r="W28" s="2">
        <f t="shared" si="0"/>
        <v>3.812975069711344E-8</v>
      </c>
      <c r="X28" s="2">
        <f t="shared" si="8"/>
        <v>6.0291111469268799E-2</v>
      </c>
      <c r="Y28" s="2">
        <f t="shared" si="1"/>
        <v>-2.1559837901086176E-8</v>
      </c>
      <c r="Z28" s="2">
        <f t="shared" si="3"/>
        <v>6.0291081666946411E-2</v>
      </c>
      <c r="AA28" s="2">
        <f t="shared" si="2"/>
        <v>8.2849564084219729E-9</v>
      </c>
      <c r="AB28" s="2">
        <f t="shared" si="4"/>
        <v>3.1590332238958216E-16</v>
      </c>
      <c r="AC28" s="2">
        <f t="shared" si="5"/>
        <v>-1.7862231718314286E-16</v>
      </c>
      <c r="AD28" s="2">
        <f t="shared" si="6"/>
        <v>5.9604644775390625E-8</v>
      </c>
      <c r="AF28" s="2">
        <v>24</v>
      </c>
      <c r="AG28" s="2">
        <f t="shared" si="13"/>
        <v>2072.8030800819397</v>
      </c>
      <c r="AH28" s="2">
        <v>-5.1010121956096555E-4</v>
      </c>
      <c r="AI28" s="2">
        <f t="shared" si="14"/>
        <v>2072.8042125701904</v>
      </c>
      <c r="AJ28" s="2">
        <v>1.9367876802789397E-4</v>
      </c>
      <c r="AK28" s="2">
        <f t="shared" si="9"/>
        <v>2072.8036463260651</v>
      </c>
      <c r="AL28" s="2">
        <v>-1.5369245124929876E-4</v>
      </c>
      <c r="AM28" s="2">
        <f t="shared" si="10"/>
        <v>7.8398706819581541E-8</v>
      </c>
      <c r="AN28" s="2">
        <f t="shared" si="11"/>
        <v>-2.9766964613151334E-8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48.670697228176081</v>
      </c>
      <c r="H29" t="s">
        <v>18</v>
      </c>
      <c r="U29" s="2">
        <v>25</v>
      </c>
      <c r="V29" s="2">
        <f t="shared" si="7"/>
        <v>6.0291081666946411E-2</v>
      </c>
      <c r="W29" s="2">
        <f t="shared" si="0"/>
        <v>8.2849564084219729E-9</v>
      </c>
      <c r="X29" s="2">
        <f t="shared" si="8"/>
        <v>6.0291111469268799E-2</v>
      </c>
      <c r="Y29" s="2">
        <f t="shared" si="1"/>
        <v>-2.1559837901086176E-8</v>
      </c>
      <c r="Z29" s="2">
        <f t="shared" si="3"/>
        <v>6.0291096568107605E-2</v>
      </c>
      <c r="AA29" s="2">
        <f t="shared" si="2"/>
        <v>-6.6374407428626547E-9</v>
      </c>
      <c r="AB29" s="2">
        <f t="shared" si="4"/>
        <v>-5.4990907218101052E-17</v>
      </c>
      <c r="AC29" s="2">
        <f t="shared" si="5"/>
        <v>1.4310214649418384E-16</v>
      </c>
      <c r="AD29" s="2">
        <f t="shared" si="6"/>
        <v>2.9802322387695312E-8</v>
      </c>
      <c r="AF29" s="2">
        <v>25</v>
      </c>
      <c r="AG29" s="2">
        <f t="shared" si="13"/>
        <v>2072.8036463260651</v>
      </c>
      <c r="AH29" s="2">
        <v>-1.5369245124929876E-4</v>
      </c>
      <c r="AI29" s="2">
        <f t="shared" si="14"/>
        <v>2072.8042125701904</v>
      </c>
      <c r="AJ29" s="2">
        <v>1.9367876802789397E-4</v>
      </c>
      <c r="AK29" s="2">
        <f t="shared" si="9"/>
        <v>2072.8039294481277</v>
      </c>
      <c r="AL29" s="2">
        <v>1.9993151909147855E-5</v>
      </c>
      <c r="AM29" s="2">
        <f t="shared" si="10"/>
        <v>-3.0727965251165312E-9</v>
      </c>
      <c r="AN29" s="2">
        <f t="shared" si="11"/>
        <v>3.8722490307582924E-9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10.647129840077636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6.0291081666946411E-2</v>
      </c>
      <c r="W30" s="2">
        <f t="shared" si="0"/>
        <v>8.2849564084219729E-9</v>
      </c>
      <c r="X30" s="2">
        <f t="shared" si="8"/>
        <v>6.0291096568107605E-2</v>
      </c>
      <c r="Y30" s="2">
        <f t="shared" si="1"/>
        <v>-6.6374407428626547E-9</v>
      </c>
      <c r="Z30" s="2">
        <f t="shared" si="3"/>
        <v>6.0291089117527008E-2</v>
      </c>
      <c r="AA30" s="2">
        <f t="shared" si="2"/>
        <v>8.2375783277965908E-10</v>
      </c>
      <c r="AB30" s="2">
        <f t="shared" si="4"/>
        <v>6.8247977356756326E-18</v>
      </c>
      <c r="AC30" s="2">
        <f t="shared" si="5"/>
        <v>-5.4676438015439511E-18</v>
      </c>
      <c r="AD30" s="2">
        <f t="shared" si="6"/>
        <v>1.4901161193847656E-8</v>
      </c>
      <c r="AF30" s="2">
        <v>26</v>
      </c>
      <c r="AG30" s="2">
        <f t="shared" si="13"/>
        <v>2072.8036463260651</v>
      </c>
      <c r="AH30" s="2">
        <v>-1.5369245124929876E-4</v>
      </c>
      <c r="AI30" s="2">
        <f t="shared" si="14"/>
        <v>2072.8039294481277</v>
      </c>
      <c r="AJ30" s="2">
        <v>1.9993151909147855E-5</v>
      </c>
      <c r="AK30" s="2">
        <f t="shared" si="9"/>
        <v>2072.8037878870964</v>
      </c>
      <c r="AL30" s="2">
        <v>-7.1368452154274564E-5</v>
      </c>
      <c r="AM30" s="2">
        <f t="shared" si="10"/>
        <v>1.0968792353458754E-8</v>
      </c>
      <c r="AN30" s="2">
        <f t="shared" si="11"/>
        <v>-1.4268803054411618E-9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194.68278891270432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6.0291089117527008E-2</v>
      </c>
      <c r="W31" s="2">
        <f t="shared" si="0"/>
        <v>8.2375783277965908E-10</v>
      </c>
      <c r="X31" s="2">
        <f t="shared" si="8"/>
        <v>6.0291096568107605E-2</v>
      </c>
      <c r="Y31" s="2">
        <f t="shared" si="1"/>
        <v>-6.6374407428626547E-9</v>
      </c>
      <c r="Z31" s="2">
        <f t="shared" si="3"/>
        <v>6.0291092842817307E-2</v>
      </c>
      <c r="AA31" s="2">
        <f t="shared" si="2"/>
        <v>-2.9068414550414978E-9</v>
      </c>
      <c r="AB31" s="2">
        <f t="shared" si="4"/>
        <v>-2.3945334172390552E-18</v>
      </c>
      <c r="AC31" s="2">
        <f t="shared" si="5"/>
        <v>1.9293987906734598E-17</v>
      </c>
      <c r="AD31" s="2">
        <f t="shared" si="6"/>
        <v>7.4505805969238281E-9</v>
      </c>
      <c r="AF31" s="2">
        <v>27</v>
      </c>
      <c r="AG31" s="2">
        <f t="shared" si="13"/>
        <v>2072.8037878870964</v>
      </c>
      <c r="AH31" s="2">
        <v>-7.1368452154274564E-5</v>
      </c>
      <c r="AI31" s="2">
        <f t="shared" si="14"/>
        <v>2072.8039294481277</v>
      </c>
      <c r="AJ31" s="2">
        <v>1.9993151909147855E-5</v>
      </c>
      <c r="AK31" s="2">
        <f t="shared" si="9"/>
        <v>2072.8038586676121</v>
      </c>
      <c r="AL31" s="2">
        <v>-2.1168849116293131E-5</v>
      </c>
      <c r="AM31" s="2">
        <f t="shared" si="10"/>
        <v>1.5107879953172237E-9</v>
      </c>
      <c r="AN31" s="2">
        <f t="shared" si="11"/>
        <v>-4.232320161238789E-10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699.43</v>
      </c>
      <c r="L32" s="6" t="s">
        <v>7</v>
      </c>
      <c r="U32" s="2">
        <v>28</v>
      </c>
      <c r="V32" s="2">
        <f t="shared" si="7"/>
        <v>6.0291089117527008E-2</v>
      </c>
      <c r="W32" s="2">
        <f t="shared" si="0"/>
        <v>8.2375783277965908E-10</v>
      </c>
      <c r="X32" s="2">
        <f t="shared" si="8"/>
        <v>6.0291092842817307E-2</v>
      </c>
      <c r="Y32" s="2">
        <f t="shared" si="1"/>
        <v>-2.9068414550414978E-9</v>
      </c>
      <c r="Z32" s="2">
        <f t="shared" si="3"/>
        <v>6.0291090980172157E-2</v>
      </c>
      <c r="AA32" s="2">
        <f t="shared" si="2"/>
        <v>-1.0415418111309194E-9</v>
      </c>
      <c r="AB32" s="2">
        <f t="shared" si="4"/>
        <v>-8.5797822508660714E-19</v>
      </c>
      <c r="AC32" s="2">
        <f t="shared" si="5"/>
        <v>3.0275969137543587E-18</v>
      </c>
      <c r="AD32" s="2">
        <f t="shared" si="6"/>
        <v>3.7252902984619141E-9</v>
      </c>
      <c r="AF32" s="2">
        <v>28</v>
      </c>
      <c r="AG32" s="2">
        <f t="shared" si="13"/>
        <v>2072.8038586676121</v>
      </c>
      <c r="AH32" s="2">
        <v>-2.1168849116293131E-5</v>
      </c>
      <c r="AI32" s="2">
        <f t="shared" si="14"/>
        <v>2072.8039294481277</v>
      </c>
      <c r="AJ32" s="2">
        <v>1.9993151909147855E-5</v>
      </c>
      <c r="AK32" s="2">
        <f t="shared" si="9"/>
        <v>2072.8038940578699</v>
      </c>
      <c r="AL32" s="2">
        <v>-5.1066501782770501E-6</v>
      </c>
      <c r="AM32" s="2">
        <f t="shared" si="10"/>
        <v>1.0810190711363829E-10</v>
      </c>
      <c r="AN32" s="2">
        <f t="shared" si="11"/>
        <v>-1.0209803276117004E-10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504.29</v>
      </c>
      <c r="L33" s="6" t="s">
        <v>7</v>
      </c>
      <c r="U33" s="2">
        <v>29</v>
      </c>
      <c r="V33" s="2">
        <f t="shared" si="7"/>
        <v>6.0291089117527008E-2</v>
      </c>
      <c r="W33" s="2">
        <f t="shared" si="0"/>
        <v>8.2375783277965908E-10</v>
      </c>
      <c r="X33" s="2">
        <f t="shared" si="8"/>
        <v>6.0291090980172157E-2</v>
      </c>
      <c r="Y33" s="2">
        <f t="shared" si="1"/>
        <v>-1.0415418111309194E-9</v>
      </c>
      <c r="Z33" s="2">
        <f t="shared" si="3"/>
        <v>6.0291090048849583E-2</v>
      </c>
      <c r="AA33" s="2">
        <f t="shared" si="2"/>
        <v>-1.0889198570618319E-10</v>
      </c>
      <c r="AB33" s="2">
        <f t="shared" si="4"/>
        <v>-8.9700626152399081E-20</v>
      </c>
      <c r="AC33" s="2">
        <f t="shared" si="5"/>
        <v>1.1341555601006023E-19</v>
      </c>
      <c r="AD33" s="2">
        <f t="shared" si="6"/>
        <v>1.862645149230957E-9</v>
      </c>
      <c r="AF33" s="2">
        <v>29</v>
      </c>
      <c r="AG33" s="2">
        <f t="shared" si="13"/>
        <v>2072.8038940578699</v>
      </c>
      <c r="AH33" s="2">
        <v>-5.1066501782770501E-6</v>
      </c>
      <c r="AI33" s="2">
        <f t="shared" si="14"/>
        <v>2072.8039294481277</v>
      </c>
      <c r="AJ33" s="2">
        <v>1.9993151909147855E-5</v>
      </c>
      <c r="AK33" s="2">
        <f t="shared" si="9"/>
        <v>2072.8039117529988</v>
      </c>
      <c r="AL33" s="2">
        <v>1.1962051985392463E-5</v>
      </c>
      <c r="AM33" s="2">
        <f t="shared" si="10"/>
        <v>-6.1086014903763765E-11</v>
      </c>
      <c r="AN33" s="2">
        <f t="shared" si="11"/>
        <v>2.3915912248907522E-10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169.7</v>
      </c>
      <c r="L34" s="6" t="s">
        <v>7</v>
      </c>
      <c r="U34" s="2">
        <v>30</v>
      </c>
      <c r="V34" s="2">
        <f t="shared" si="7"/>
        <v>6.0291089117527008E-2</v>
      </c>
      <c r="W34" s="2">
        <f t="shared" si="0"/>
        <v>8.2375783277965908E-10</v>
      </c>
      <c r="X34" s="2">
        <f t="shared" si="8"/>
        <v>6.0291090048849583E-2</v>
      </c>
      <c r="Y34" s="2">
        <f t="shared" si="1"/>
        <v>-1.0889198570618319E-10</v>
      </c>
      <c r="Z34" s="2">
        <f t="shared" si="3"/>
        <v>6.0291089583188295E-2</v>
      </c>
      <c r="AA34" s="2">
        <f t="shared" si="2"/>
        <v>3.5743292353673795E-10</v>
      </c>
      <c r="AB34" s="2">
        <f t="shared" si="4"/>
        <v>2.9443817045672085E-19</v>
      </c>
      <c r="AC34" s="2">
        <f t="shared" si="5"/>
        <v>-3.8921580800681738E-20</v>
      </c>
      <c r="AD34" s="2">
        <f>X34-V34</f>
        <v>9.3132257461547852E-10</v>
      </c>
      <c r="AF34" s="2">
        <v>30</v>
      </c>
      <c r="AG34" s="2">
        <f t="shared" si="13"/>
        <v>2072.8038940578699</v>
      </c>
      <c r="AH34" s="2">
        <v>-5.1066501782770501E-6</v>
      </c>
      <c r="AI34" s="2">
        <f t="shared" si="14"/>
        <v>2072.8039117529988</v>
      </c>
      <c r="AJ34" s="2">
        <v>1.1962051985392463E-5</v>
      </c>
      <c r="AK34" s="2">
        <f t="shared" si="9"/>
        <v>2072.8039029054344</v>
      </c>
      <c r="AL34" s="2">
        <v>-1.0910998753388412E-6</v>
      </c>
      <c r="AM34" s="2">
        <f t="shared" si="10"/>
        <v>5.5718653729171608E-12</v>
      </c>
      <c r="AN34" s="2">
        <f t="shared" si="11"/>
        <v>-1.3051793430058455E-11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234.1266329311303</v>
      </c>
      <c r="H35" s="25" t="s">
        <v>101</v>
      </c>
      <c r="J35" s="15" t="s">
        <v>70</v>
      </c>
      <c r="K35" s="6">
        <f>ROUND(SUM(K23:K26),2)</f>
        <v>99.38</v>
      </c>
      <c r="L35" s="6" t="s">
        <v>7</v>
      </c>
      <c r="AF35" s="2">
        <v>31</v>
      </c>
      <c r="AG35" s="2">
        <f t="shared" si="13"/>
        <v>2072.8039029054344</v>
      </c>
      <c r="AH35" s="2">
        <v>-1.0910998753388412E-6</v>
      </c>
      <c r="AI35" s="2">
        <f t="shared" si="14"/>
        <v>2072.8039117529988</v>
      </c>
      <c r="AJ35" s="2">
        <v>1.1962051985392463E-5</v>
      </c>
      <c r="AK35" s="2">
        <f t="shared" si="9"/>
        <v>2072.8039073292166</v>
      </c>
      <c r="AL35" s="2">
        <v>9.9542774023575475E-6</v>
      </c>
      <c r="AM35" s="2">
        <f t="shared" si="10"/>
        <v>-1.0861110832800564E-11</v>
      </c>
      <c r="AN35" s="2">
        <f t="shared" si="11"/>
        <v>1.1907358376401843E-10</v>
      </c>
      <c r="AO35" s="2">
        <f t="shared" si="12"/>
        <v>8.8475644588470459E-6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2072.7999999999997</v>
      </c>
      <c r="L36" s="6" t="s">
        <v>7</v>
      </c>
      <c r="AF36" s="2">
        <v>32</v>
      </c>
      <c r="AG36" s="2">
        <f t="shared" si="13"/>
        <v>2072.8039029054344</v>
      </c>
      <c r="AH36" s="2">
        <v>-1.0910998753388412E-6</v>
      </c>
      <c r="AI36" s="2">
        <f t="shared" si="14"/>
        <v>2072.8039073292166</v>
      </c>
      <c r="AJ36" s="2">
        <v>9.9542774023575475E-6</v>
      </c>
      <c r="AK36" s="2">
        <f t="shared" si="9"/>
        <v>2072.8039051173255</v>
      </c>
      <c r="AL36" s="2">
        <v>-8.7213720689760521E-8</v>
      </c>
      <c r="AM36" s="2">
        <f t="shared" si="10"/>
        <v>9.5158879772434223E-14</v>
      </c>
      <c r="AN36" s="2">
        <f t="shared" si="11"/>
        <v>-8.6814956903760606E-13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2072.8039051173255</v>
      </c>
      <c r="AH37" s="2">
        <v>-8.7213720689760521E-8</v>
      </c>
      <c r="AI37" s="2">
        <f t="shared" si="14"/>
        <v>2072.8039073292166</v>
      </c>
      <c r="AJ37" s="2">
        <v>9.9542774023575475E-6</v>
      </c>
      <c r="AK37" s="2">
        <f t="shared" si="9"/>
        <v>2072.803906223271</v>
      </c>
      <c r="AL37" s="2">
        <v>4.1473003875580616E-7</v>
      </c>
      <c r="AM37" s="2">
        <f t="shared" si="10"/>
        <v>-3.6170149761702435E-14</v>
      </c>
      <c r="AN37" s="2">
        <f t="shared" si="11"/>
        <v>4.1283378528657912E-12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2072.8039051173255</v>
      </c>
      <c r="AH38" s="2">
        <v>-8.7213720689760521E-8</v>
      </c>
      <c r="AI38" s="2">
        <f t="shared" si="14"/>
        <v>2072.803906223271</v>
      </c>
      <c r="AJ38" s="2">
        <v>4.1473003875580616E-7</v>
      </c>
      <c r="AK38" s="2">
        <f t="shared" si="9"/>
        <v>2072.8039056702983</v>
      </c>
      <c r="AL38" s="2">
        <v>1.6375861378037371E-7</v>
      </c>
      <c r="AM38" s="2">
        <f t="shared" si="10"/>
        <v>-1.4281998002783881E-14</v>
      </c>
      <c r="AN38" s="2">
        <f t="shared" si="11"/>
        <v>6.7915616239731481E-14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28.95</v>
      </c>
      <c r="L39" s="6" t="s">
        <v>58</v>
      </c>
      <c r="AF39" s="2">
        <v>35</v>
      </c>
      <c r="AG39" s="2">
        <f t="shared" si="13"/>
        <v>2072.8039051173255</v>
      </c>
      <c r="AH39" s="2">
        <v>-8.7213720689760521E-8</v>
      </c>
      <c r="AI39" s="2">
        <f t="shared" si="14"/>
        <v>2072.8039056702983</v>
      </c>
      <c r="AJ39" s="2">
        <v>1.6375861378037371E-7</v>
      </c>
      <c r="AK39" s="2">
        <f t="shared" si="9"/>
        <v>2072.8039053938119</v>
      </c>
      <c r="AL39" s="2">
        <v>3.8273128666332923E-8</v>
      </c>
      <c r="AM39" s="2">
        <f t="shared" si="10"/>
        <v>-3.3379419534288261E-15</v>
      </c>
      <c r="AN39" s="2">
        <f t="shared" si="11"/>
        <v>6.2675544954365626E-15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33.74</v>
      </c>
      <c r="L40" s="6" t="s">
        <v>58</v>
      </c>
      <c r="AF40" s="2">
        <v>36</v>
      </c>
      <c r="AG40" s="2">
        <f t="shared" si="13"/>
        <v>2072.8039051173255</v>
      </c>
      <c r="AH40" s="2">
        <v>-8.7213720689760521E-8</v>
      </c>
      <c r="AI40" s="2">
        <f t="shared" si="14"/>
        <v>2072.8039053938119</v>
      </c>
      <c r="AJ40" s="2">
        <v>3.8273128666332923E-8</v>
      </c>
      <c r="AK40" s="2">
        <f t="shared" si="9"/>
        <v>2072.8039052555687</v>
      </c>
      <c r="AL40" s="2">
        <v>-2.4470637072226964E-8</v>
      </c>
      <c r="AM40" s="2">
        <f t="shared" si="10"/>
        <v>2.1341753067177016E-15</v>
      </c>
      <c r="AN40" s="2">
        <f t="shared" si="11"/>
        <v>-9.3656784121247896E-16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24.33</v>
      </c>
      <c r="L41" s="6" t="s">
        <v>58</v>
      </c>
      <c r="AF41" s="2">
        <v>37</v>
      </c>
      <c r="AG41" s="2">
        <f t="shared" si="13"/>
        <v>2072.8039052555687</v>
      </c>
      <c r="AH41" s="2">
        <v>-2.4470637072226964E-8</v>
      </c>
      <c r="AI41" s="2">
        <f t="shared" si="14"/>
        <v>2072.8039053938119</v>
      </c>
      <c r="AJ41" s="2">
        <v>3.8273128666332923E-8</v>
      </c>
      <c r="AK41" s="2">
        <f t="shared" si="9"/>
        <v>2072.8039053246903</v>
      </c>
      <c r="AL41" s="2">
        <v>6.900791049702093E-9</v>
      </c>
      <c r="AM41" s="2">
        <f t="shared" si="10"/>
        <v>-1.6886675328853206E-16</v>
      </c>
      <c r="AN41" s="2">
        <f t="shared" si="11"/>
        <v>2.6411486374472684E-16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8.19</v>
      </c>
      <c r="L42" s="6" t="s">
        <v>58</v>
      </c>
      <c r="AF42" s="2">
        <v>38</v>
      </c>
      <c r="AG42" s="2">
        <f t="shared" si="13"/>
        <v>2072.8039052555687</v>
      </c>
      <c r="AH42" s="2">
        <v>-2.4470637072226964E-8</v>
      </c>
      <c r="AI42" s="2">
        <f t="shared" si="14"/>
        <v>2072.8039053246903</v>
      </c>
      <c r="AJ42" s="2">
        <v>6.900791049702093E-9</v>
      </c>
      <c r="AK42" s="2">
        <f t="shared" si="9"/>
        <v>2072.8039052901295</v>
      </c>
      <c r="AL42" s="2">
        <v>-8.7850366981001571E-9</v>
      </c>
      <c r="AM42" s="2">
        <f t="shared" si="10"/>
        <v>2.1497544470540406E-16</v>
      </c>
      <c r="AN42" s="2">
        <f t="shared" si="11"/>
        <v>-6.0623702617553992E-17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2072.8039052901295</v>
      </c>
      <c r="AH43" s="2">
        <v>-8.7850366981001571E-9</v>
      </c>
      <c r="AI43" s="2">
        <f t="shared" si="14"/>
        <v>2072.8039053246903</v>
      </c>
      <c r="AJ43" s="2">
        <v>6.900791049702093E-9</v>
      </c>
      <c r="AK43" s="2">
        <f t="shared" si="9"/>
        <v>2072.8039053074099</v>
      </c>
      <c r="AL43" s="2">
        <v>-9.4223651103675365E-10</v>
      </c>
      <c r="AM43" s="2">
        <f t="shared" si="10"/>
        <v>8.2775823277477345E-18</v>
      </c>
      <c r="AN43" s="2">
        <f t="shared" si="11"/>
        <v>-6.502177282064957E-18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2072.8039053074099</v>
      </c>
      <c r="AH44" s="2">
        <v>-9.4223651103675365E-10</v>
      </c>
      <c r="AI44" s="2">
        <f t="shared" si="14"/>
        <v>2072.8039053246903</v>
      </c>
      <c r="AJ44" s="2">
        <v>6.900791049702093E-9</v>
      </c>
      <c r="AK44" s="5">
        <f>(AG44+AI44)/2</f>
        <v>2072.8039053160501</v>
      </c>
      <c r="AL44" s="2">
        <v>2.9790498956572264E-9</v>
      </c>
      <c r="AM44" s="2">
        <f t="shared" si="10"/>
        <v>-2.8069695798884701E-18</v>
      </c>
      <c r="AN44" s="2">
        <f t="shared" si="11"/>
        <v>2.0557800856567342E-17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1847.0090596865925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28.95</v>
      </c>
      <c r="L47" s="6" t="s">
        <v>58</v>
      </c>
      <c r="N47" s="6" t="s">
        <v>154</v>
      </c>
      <c r="O47" s="6">
        <f>0.377*O46^0.6945</f>
        <v>69.968745695967911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33.74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37.31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41" priority="1" operator="containsText" text="FALSE">
      <formula>NOT(ISERROR(SEARCH("FALSE",K28)))</formula>
    </cfRule>
    <cfRule type="containsText" dxfId="40" priority="2" operator="containsText" text="TRUE">
      <formula>NOT(ISERROR(SEARCH("TRUE",K28)))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NOT(ISERROR(SEARCH("YES",K28)))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A725-853A-524C-AA19-CDE8E81561F8}">
  <dimension ref="B1:AO56"/>
  <sheetViews>
    <sheetView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336.25290401768711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6.6112534569654005E-2</v>
      </c>
      <c r="X4" s="3">
        <v>1</v>
      </c>
      <c r="Y4" s="2">
        <f t="shared" ref="Y4:Y34" si="1" xml:space="preserve"> $O$20 * TAN($O$17/180*PI()) + $O$21 / (2 * SQRT($O$20^2 + X4^2)) - X4</f>
        <v>-0.93676220140340927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-0.43541379979987355</v>
      </c>
      <c r="AB4" s="2">
        <f>W4*AA4</f>
        <v>-2.8786309891373547E-2</v>
      </c>
      <c r="AC4" s="2">
        <f>Y4*AA4</f>
        <v>0.40787918962195285</v>
      </c>
      <c r="AD4" s="2">
        <f>X4-V4</f>
        <v>1</v>
      </c>
      <c r="AF4" s="2">
        <v>0</v>
      </c>
      <c r="AG4" s="2"/>
      <c r="AH4" s="2">
        <f>K27</f>
        <v>3.8925403994198859E-3</v>
      </c>
      <c r="AI4" s="2"/>
      <c r="AJ4" s="2">
        <f>K27</f>
        <v>3.8925403994198859E-3</v>
      </c>
      <c r="AK4" s="2"/>
      <c r="AL4" s="2">
        <f>K27</f>
        <v>3.8925403994198859E-3</v>
      </c>
      <c r="AM4" s="2"/>
      <c r="AN4" s="2"/>
      <c r="AO4" s="2"/>
    </row>
    <row r="5" spans="2:41" x14ac:dyDescent="0.2">
      <c r="B5" s="10" t="s">
        <v>37</v>
      </c>
      <c r="C5" s="10">
        <v>1782.9346927445799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84.063226004421779</v>
      </c>
      <c r="L5" s="6" t="s">
        <v>101</v>
      </c>
      <c r="N5" s="6" t="s">
        <v>114</v>
      </c>
      <c r="O5" s="6">
        <f xml:space="preserve"> $C$18 * 0.85 * ($C$5/$C$18 *2.20462/1000)^(2/3) * 0.3048^2</f>
        <v>0.31221107207273191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6.6112534569654005E-2</v>
      </c>
      <c r="X5" s="2">
        <f>IF(AC4&gt;0, Z4, X4)</f>
        <v>0.5</v>
      </c>
      <c r="Y5" s="2">
        <f t="shared" si="1"/>
        <v>-0.43541379979987355</v>
      </c>
      <c r="Z5" s="2">
        <f t="shared" ref="Z5:Z34" si="3" xml:space="preserve"> (V5 + X5)/2</f>
        <v>0.25</v>
      </c>
      <c r="AA5" s="2">
        <f t="shared" si="2"/>
        <v>-0.18443862466271782</v>
      </c>
      <c r="AB5" s="2">
        <f t="shared" ref="AB5:AB34" si="4">W5*AA5</f>
        <v>-1.2193704948993371E-2</v>
      </c>
      <c r="AC5" s="2">
        <f t="shared" ref="AC5:AC34" si="5">Y5*AA5</f>
        <v>8.0307122394256636E-2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-827.17386341983593</v>
      </c>
      <c r="AI5" s="3">
        <v>10000</v>
      </c>
      <c r="AJ5" s="2">
        <f t="dataTable" ref="AJ5:AJ44" dt2D="0" dtr="0" r1="C5" ca="1"/>
        <v>4104.3715992886528</v>
      </c>
      <c r="AK5" s="2">
        <f>(AG5+AI5)/2</f>
        <v>5250</v>
      </c>
      <c r="AL5" s="2">
        <f t="dataTable" ref="AL5:AL44" dt2D="0" dtr="0" r1="C5"/>
        <v>1987.8500696722954</v>
      </c>
      <c r="AM5" s="2">
        <f>AH5*AL5</f>
        <v>-1644297.6220302226</v>
      </c>
      <c r="AN5" s="2">
        <f>AJ5*AL5</f>
        <v>8158875.3696069391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6.6112534569654005E-2</v>
      </c>
      <c r="X6" s="2">
        <f t="shared" ref="X6:X34" si="8">IF(AC5&gt;0, Z5, X5)</f>
        <v>0.25</v>
      </c>
      <c r="Y6" s="2">
        <f t="shared" si="1"/>
        <v>-0.18443862466271782</v>
      </c>
      <c r="Z6" s="2">
        <f t="shared" si="3"/>
        <v>0.125</v>
      </c>
      <c r="AA6" s="2">
        <f t="shared" si="2"/>
        <v>-5.9043466719443383E-2</v>
      </c>
      <c r="AB6" s="2">
        <f t="shared" si="4"/>
        <v>-3.9035132346014164E-3</v>
      </c>
      <c r="AC6" s="2">
        <f t="shared" si="5"/>
        <v>1.0889895797053089E-2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-827.17386341983593</v>
      </c>
      <c r="AI6" s="2">
        <f>IF(AN5&gt;0, AK5, AI5)</f>
        <v>5250</v>
      </c>
      <c r="AJ6" s="2">
        <v>1987.8500696722954</v>
      </c>
      <c r="AK6" s="2">
        <f t="shared" ref="AK6:AK43" si="9">(AG6+AI6)/2</f>
        <v>2875</v>
      </c>
      <c r="AL6" s="2">
        <v>672.8240757558026</v>
      </c>
      <c r="AM6" s="2">
        <f t="shared" ref="AM6:AM44" si="10">AH6*AL6</f>
        <v>-556542.49014480761</v>
      </c>
      <c r="AN6" s="2">
        <f t="shared" ref="AN6:AN44" si="11">AJ6*AL6</f>
        <v>1337473.3858683698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328.866140954115</v>
      </c>
      <c r="D7" s="6" t="s">
        <v>125</v>
      </c>
      <c r="F7" t="s">
        <v>121</v>
      </c>
      <c r="G7" s="8">
        <f>$C$6*2*PI()/60*$C$9</f>
        <v>162.51463850850129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0.94248769540782795</v>
      </c>
      <c r="P7" s="6" t="s">
        <v>115</v>
      </c>
      <c r="U7" s="2">
        <v>3</v>
      </c>
      <c r="V7" s="2">
        <f t="shared" si="7"/>
        <v>0</v>
      </c>
      <c r="W7" s="2">
        <f t="shared" si="0"/>
        <v>6.6112534569654005E-2</v>
      </c>
      <c r="X7" s="2">
        <f t="shared" si="8"/>
        <v>0.125</v>
      </c>
      <c r="Y7" s="2">
        <f t="shared" si="1"/>
        <v>-5.9043466719443383E-2</v>
      </c>
      <c r="Z7" s="2">
        <f t="shared" si="3"/>
        <v>6.25E-2</v>
      </c>
      <c r="AA7" s="2">
        <f t="shared" si="2"/>
        <v>3.5721777174532454E-3</v>
      </c>
      <c r="AB7" s="2">
        <f t="shared" si="4"/>
        <v>2.3616572283407543E-4</v>
      </c>
      <c r="AC7" s="2">
        <f t="shared" si="5"/>
        <v>-2.1091375617638794E-4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-827.17386341983593</v>
      </c>
      <c r="AI7" s="2">
        <f t="shared" ref="AI7:AI44" si="14">IF(AN6&gt;0, AK6, AI6)</f>
        <v>2875</v>
      </c>
      <c r="AJ7" s="2">
        <v>672.8240757558026</v>
      </c>
      <c r="AK7" s="2">
        <f t="shared" si="9"/>
        <v>1687.5</v>
      </c>
      <c r="AL7" s="2">
        <v>-62.862308037147614</v>
      </c>
      <c r="AM7" s="2">
        <f t="shared" si="10"/>
        <v>51998.058202575194</v>
      </c>
      <c r="AN7" s="2">
        <f t="shared" si="11"/>
        <v>-42295.274304970408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0.48669179910239274</v>
      </c>
      <c r="H8" s="6" t="s">
        <v>122</v>
      </c>
      <c r="J8" s="6" t="s">
        <v>96</v>
      </c>
      <c r="K8" s="6">
        <f xml:space="preserve"> $C$15 * (G12*G6 + G22*G15 + G31*G27 +G35*G34)/3600</f>
        <v>179.27488447465129</v>
      </c>
      <c r="L8" s="6" t="s">
        <v>102</v>
      </c>
      <c r="N8" s="6" t="s">
        <v>38</v>
      </c>
      <c r="O8" s="6">
        <f xml:space="preserve"> O4 *O7</f>
        <v>2137.0567177052853</v>
      </c>
      <c r="P8" s="6" t="s">
        <v>20</v>
      </c>
      <c r="U8" s="2">
        <v>4</v>
      </c>
      <c r="V8" s="2">
        <f t="shared" si="7"/>
        <v>6.25E-2</v>
      </c>
      <c r="W8" s="2">
        <f t="shared" si="0"/>
        <v>3.5721777174532454E-3</v>
      </c>
      <c r="X8" s="2">
        <f t="shared" si="8"/>
        <v>0.125</v>
      </c>
      <c r="Y8" s="2">
        <f t="shared" si="1"/>
        <v>-5.9043466719443383E-2</v>
      </c>
      <c r="Z8" s="2">
        <f t="shared" si="3"/>
        <v>9.375E-2</v>
      </c>
      <c r="AA8" s="2">
        <f t="shared" si="2"/>
        <v>-2.77269683726242E-2</v>
      </c>
      <c r="AB8" s="2">
        <f t="shared" si="4"/>
        <v>-9.9045658593219048E-5</v>
      </c>
      <c r="AC8" s="2">
        <f t="shared" si="5"/>
        <v>1.6370963343400962E-3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-62.862308037147614</v>
      </c>
      <c r="AI8" s="2">
        <f t="shared" si="14"/>
        <v>2875</v>
      </c>
      <c r="AJ8" s="2">
        <v>672.8240757558026</v>
      </c>
      <c r="AK8" s="2">
        <f t="shared" si="9"/>
        <v>2281.25</v>
      </c>
      <c r="AL8" s="2">
        <v>317.98671962749313</v>
      </c>
      <c r="AM8" s="2">
        <f t="shared" si="10"/>
        <v>-19989.379120945567</v>
      </c>
      <c r="AN8" s="2">
        <f t="shared" si="11"/>
        <v>213949.12073598758</v>
      </c>
      <c r="AO8" s="2">
        <f t="shared" si="12"/>
        <v>1187.5</v>
      </c>
    </row>
    <row r="9" spans="2:41" x14ac:dyDescent="0.2">
      <c r="B9" s="6" t="s">
        <v>95</v>
      </c>
      <c r="C9" s="17">
        <v>3.8797512065130699</v>
      </c>
      <c r="D9" s="6" t="s">
        <v>8</v>
      </c>
      <c r="F9" t="s">
        <v>19</v>
      </c>
      <c r="G9" s="6">
        <f xml:space="preserve"> $C$5 * $C$44 / $C$18</f>
        <v>4368.8546718905191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2137.0567177052853</v>
      </c>
      <c r="P9" s="6" t="s">
        <v>20</v>
      </c>
      <c r="U9" s="2">
        <v>5</v>
      </c>
      <c r="V9" s="2">
        <f t="shared" si="7"/>
        <v>6.25E-2</v>
      </c>
      <c r="W9" s="2">
        <f t="shared" si="0"/>
        <v>3.5721777174532454E-3</v>
      </c>
      <c r="X9" s="2">
        <f t="shared" si="8"/>
        <v>9.375E-2</v>
      </c>
      <c r="Y9" s="2">
        <f t="shared" si="1"/>
        <v>-2.77269683726242E-2</v>
      </c>
      <c r="Z9" s="2">
        <f t="shared" si="3"/>
        <v>7.8125E-2</v>
      </c>
      <c r="AA9" s="2">
        <f t="shared" si="2"/>
        <v>-1.2075113190615827E-2</v>
      </c>
      <c r="AB9" s="2">
        <f t="shared" si="4"/>
        <v>-4.3134450275243622E-5</v>
      </c>
      <c r="AC9" s="2">
        <f t="shared" si="5"/>
        <v>3.3480628153206236E-4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-62.862308037147614</v>
      </c>
      <c r="AI9" s="2">
        <f t="shared" si="14"/>
        <v>2281.25</v>
      </c>
      <c r="AJ9" s="2">
        <v>317.98671962749313</v>
      </c>
      <c r="AK9" s="2">
        <f t="shared" si="9"/>
        <v>1984.375</v>
      </c>
      <c r="AL9" s="2">
        <v>132.61232682484911</v>
      </c>
      <c r="AM9" s="2">
        <f t="shared" si="10"/>
        <v>-8336.3169383865588</v>
      </c>
      <c r="AN9" s="2">
        <f t="shared" si="11"/>
        <v>42168.958789202778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46.923140665909465</v>
      </c>
      <c r="H10" s="6" t="s">
        <v>101</v>
      </c>
      <c r="N10" s="6" t="s">
        <v>113</v>
      </c>
      <c r="O10" s="6">
        <f>O7/(0.3048^2)/($C$5*2.20462/1000)^(2/3)</f>
        <v>4.073174140946545</v>
      </c>
      <c r="U10" s="2">
        <v>6</v>
      </c>
      <c r="V10" s="2">
        <f t="shared" si="7"/>
        <v>6.25E-2</v>
      </c>
      <c r="W10" s="2">
        <f t="shared" si="0"/>
        <v>3.5721777174532454E-3</v>
      </c>
      <c r="X10" s="2">
        <f t="shared" si="8"/>
        <v>7.8125E-2</v>
      </c>
      <c r="Y10" s="2">
        <f t="shared" si="1"/>
        <v>-1.2075113190615827E-2</v>
      </c>
      <c r="Z10" s="2">
        <f t="shared" si="3"/>
        <v>7.03125E-2</v>
      </c>
      <c r="AA10" s="2">
        <f t="shared" si="2"/>
        <v>-4.2508847157546881E-3</v>
      </c>
      <c r="AB10" s="2">
        <f t="shared" si="4"/>
        <v>-1.518491566108147E-5</v>
      </c>
      <c r="AC10" s="2">
        <f t="shared" si="5"/>
        <v>5.1329914102996648E-5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-62.862308037147614</v>
      </c>
      <c r="AI10" s="2">
        <f t="shared" si="14"/>
        <v>1984.375</v>
      </c>
      <c r="AJ10" s="2">
        <v>132.61232682484911</v>
      </c>
      <c r="AK10" s="2">
        <f t="shared" si="9"/>
        <v>1835.9375</v>
      </c>
      <c r="AL10" s="2">
        <v>34.911604579345294</v>
      </c>
      <c r="AM10" s="2">
        <f t="shared" si="10"/>
        <v>-2194.6240411378972</v>
      </c>
      <c r="AN10" s="2">
        <f t="shared" si="11"/>
        <v>4629.709116456037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9.4992293111782011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6.25E-2</v>
      </c>
      <c r="W11" s="2">
        <f t="shared" si="0"/>
        <v>3.5721777174532454E-3</v>
      </c>
      <c r="X11" s="2">
        <f t="shared" si="8"/>
        <v>7.03125E-2</v>
      </c>
      <c r="Y11" s="2">
        <f t="shared" si="1"/>
        <v>-4.2508847157546881E-3</v>
      </c>
      <c r="Z11" s="2">
        <f t="shared" si="3"/>
        <v>6.640625E-2</v>
      </c>
      <c r="AA11" s="2">
        <f t="shared" si="2"/>
        <v>-3.3920629831080129E-4</v>
      </c>
      <c r="AB11" s="2">
        <f t="shared" si="4"/>
        <v>-1.2117051804456428E-6</v>
      </c>
      <c r="AC11" s="2">
        <f t="shared" si="5"/>
        <v>1.4419268689771105E-6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-62.862308037147614</v>
      </c>
      <c r="AI11" s="2">
        <f t="shared" si="14"/>
        <v>1835.9375</v>
      </c>
      <c r="AJ11" s="2">
        <v>34.911604579345294</v>
      </c>
      <c r="AK11" s="2">
        <f t="shared" si="9"/>
        <v>1761.71875</v>
      </c>
      <c r="AL11" s="2">
        <v>-13.970852206461132</v>
      </c>
      <c r="AM11" s="2">
        <f t="shared" si="10"/>
        <v>878.24001494402307</v>
      </c>
      <c r="AN11" s="2">
        <f t="shared" si="11"/>
        <v>-487.74486786844477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187.69256266363786</v>
      </c>
      <c r="H12" s="25" t="s">
        <v>101</v>
      </c>
      <c r="J12" s="10" t="s">
        <v>79</v>
      </c>
      <c r="K12" s="6">
        <f>C5</f>
        <v>1782.9346927445799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6.25E-2</v>
      </c>
      <c r="W12" s="2">
        <f t="shared" si="0"/>
        <v>3.5721777174532454E-3</v>
      </c>
      <c r="X12" s="2">
        <f t="shared" si="8"/>
        <v>6.640625E-2</v>
      </c>
      <c r="Y12" s="2">
        <f t="shared" si="1"/>
        <v>-3.3920629831080129E-4</v>
      </c>
      <c r="Z12" s="2">
        <f t="shared" si="3"/>
        <v>6.4453125E-2</v>
      </c>
      <c r="AA12" s="2">
        <f t="shared" si="2"/>
        <v>1.6165226829387425E-3</v>
      </c>
      <c r="AB12" s="2">
        <f t="shared" si="4"/>
        <v>5.7745063077515135E-6</v>
      </c>
      <c r="AC12" s="2">
        <f t="shared" si="5"/>
        <v>-5.4833467541509591E-7</v>
      </c>
      <c r="AD12" s="2">
        <f t="shared" si="6"/>
        <v>3.90625E-3</v>
      </c>
      <c r="AF12" s="2">
        <v>8</v>
      </c>
      <c r="AG12" s="2">
        <f t="shared" si="13"/>
        <v>1761.71875</v>
      </c>
      <c r="AH12" s="2">
        <v>-13.970852206461132</v>
      </c>
      <c r="AI12" s="2">
        <f t="shared" si="14"/>
        <v>1835.9375</v>
      </c>
      <c r="AJ12" s="2">
        <v>34.911604579345294</v>
      </c>
      <c r="AK12" s="2">
        <f t="shared" si="9"/>
        <v>1798.828125</v>
      </c>
      <c r="AL12" s="2">
        <v>10.472124091096475</v>
      </c>
      <c r="AM12" s="2">
        <f t="shared" si="10"/>
        <v>-146.30449796442997</v>
      </c>
      <c r="AN12" s="2">
        <f t="shared" si="11"/>
        <v>365.59865537419586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479.34461089478953</v>
      </c>
      <c r="L13" s="6" t="s">
        <v>7</v>
      </c>
      <c r="N13" s="6" t="s">
        <v>74</v>
      </c>
      <c r="O13" s="6">
        <f xml:space="preserve"> SQRT( ($C$5*$C$50)^2 + O9^2)</f>
        <v>17603.944172302621</v>
      </c>
      <c r="P13" s="6" t="s">
        <v>20</v>
      </c>
      <c r="U13" s="2">
        <v>9</v>
      </c>
      <c r="V13" s="2">
        <f t="shared" si="7"/>
        <v>6.4453125E-2</v>
      </c>
      <c r="W13" s="2">
        <f t="shared" si="0"/>
        <v>1.6165226829387425E-3</v>
      </c>
      <c r="X13" s="2">
        <f t="shared" si="8"/>
        <v>6.640625E-2</v>
      </c>
      <c r="Y13" s="2">
        <f t="shared" si="1"/>
        <v>-3.3920629831080129E-4</v>
      </c>
      <c r="Z13" s="2">
        <f t="shared" si="3"/>
        <v>6.54296875E-2</v>
      </c>
      <c r="AA13" s="2">
        <f t="shared" si="2"/>
        <v>6.3866741435447683E-4</v>
      </c>
      <c r="AB13" s="2">
        <f t="shared" si="4"/>
        <v>1.0324203621578484E-6</v>
      </c>
      <c r="AC13" s="2">
        <f t="shared" si="5"/>
        <v>-2.1664000947491281E-7</v>
      </c>
      <c r="AD13" s="2">
        <f t="shared" si="6"/>
        <v>1.953125E-3</v>
      </c>
      <c r="AF13" s="2">
        <v>9</v>
      </c>
      <c r="AG13" s="2">
        <f t="shared" si="13"/>
        <v>1761.71875</v>
      </c>
      <c r="AH13" s="2">
        <v>-13.970852206461132</v>
      </c>
      <c r="AI13" s="2">
        <f t="shared" si="14"/>
        <v>1798.828125</v>
      </c>
      <c r="AJ13" s="2">
        <v>10.472124091096475</v>
      </c>
      <c r="AK13" s="2">
        <f t="shared" si="9"/>
        <v>1780.2734375</v>
      </c>
      <c r="AL13" s="2">
        <v>-1.7490062328138265</v>
      </c>
      <c r="AM13" s="2">
        <f t="shared" si="10"/>
        <v>24.435107586821321</v>
      </c>
      <c r="AN13" s="2">
        <f t="shared" si="11"/>
        <v>-18.315810306127563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127.62197570949991</v>
      </c>
      <c r="L14" s="6" t="s">
        <v>7</v>
      </c>
      <c r="N14" s="6" t="s">
        <v>75</v>
      </c>
      <c r="O14" s="6">
        <f>$C$5*$C$50/O13</f>
        <v>0.99260409860110399</v>
      </c>
      <c r="U14" s="2">
        <v>10</v>
      </c>
      <c r="V14" s="2">
        <f t="shared" si="7"/>
        <v>6.54296875E-2</v>
      </c>
      <c r="W14" s="2">
        <f t="shared" si="0"/>
        <v>6.3866741435447683E-4</v>
      </c>
      <c r="X14" s="2">
        <f t="shared" si="8"/>
        <v>6.640625E-2</v>
      </c>
      <c r="Y14" s="2">
        <f t="shared" si="1"/>
        <v>-3.3920629831080129E-4</v>
      </c>
      <c r="Z14" s="2">
        <f t="shared" si="3"/>
        <v>6.591796875E-2</v>
      </c>
      <c r="AA14" s="2">
        <f t="shared" si="2"/>
        <v>1.4973286083906634E-4</v>
      </c>
      <c r="AB14" s="2">
        <f t="shared" si="4"/>
        <v>9.5629499075985194E-8</v>
      </c>
      <c r="AC14" s="2">
        <f t="shared" si="5"/>
        <v>-5.0790329460706033E-8</v>
      </c>
      <c r="AD14" s="2">
        <f t="shared" si="6"/>
        <v>9.765625E-4</v>
      </c>
      <c r="AF14" s="2">
        <v>10</v>
      </c>
      <c r="AG14" s="2">
        <f t="shared" si="13"/>
        <v>1780.2734375</v>
      </c>
      <c r="AH14" s="2">
        <v>-1.7490062328138265</v>
      </c>
      <c r="AI14" s="2">
        <f t="shared" si="14"/>
        <v>1798.828125</v>
      </c>
      <c r="AJ14" s="2">
        <v>10.472124091096475</v>
      </c>
      <c r="AK14" s="2">
        <f t="shared" si="9"/>
        <v>1789.55078125</v>
      </c>
      <c r="AL14" s="2">
        <v>4.3616610058668357</v>
      </c>
      <c r="AM14" s="2">
        <f t="shared" si="10"/>
        <v>-7.6285722846821198</v>
      </c>
      <c r="AN14" s="2">
        <f t="shared" si="11"/>
        <v>45.675855296734177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242.10458832237123</v>
      </c>
      <c r="L15" s="6" t="s">
        <v>7</v>
      </c>
      <c r="U15" s="2">
        <v>11</v>
      </c>
      <c r="V15" s="2">
        <f t="shared" si="7"/>
        <v>6.591796875E-2</v>
      </c>
      <c r="W15" s="2">
        <f t="shared" si="0"/>
        <v>1.4973286083906634E-4</v>
      </c>
      <c r="X15" s="2">
        <f t="shared" si="8"/>
        <v>6.640625E-2</v>
      </c>
      <c r="Y15" s="2">
        <f t="shared" si="1"/>
        <v>-3.3920629831080129E-4</v>
      </c>
      <c r="Z15" s="2">
        <f t="shared" si="3"/>
        <v>6.6162109375E-2</v>
      </c>
      <c r="AA15" s="2">
        <f t="shared" si="2"/>
        <v>-9.4736143370049986E-5</v>
      </c>
      <c r="AB15" s="2">
        <f t="shared" si="4"/>
        <v>-1.4185113771657532E-8</v>
      </c>
      <c r="AC15" s="2">
        <f t="shared" si="5"/>
        <v>3.2135096508796016E-8</v>
      </c>
      <c r="AD15" s="2">
        <f t="shared" si="6"/>
        <v>4.8828125E-4</v>
      </c>
      <c r="AF15" s="2">
        <v>11</v>
      </c>
      <c r="AG15" s="2">
        <f t="shared" si="13"/>
        <v>1780.2734375</v>
      </c>
      <c r="AH15" s="2">
        <v>-1.7490062328138265</v>
      </c>
      <c r="AI15" s="2">
        <f t="shared" si="14"/>
        <v>1789.55078125</v>
      </c>
      <c r="AJ15" s="2">
        <v>4.3616610058668357</v>
      </c>
      <c r="AK15" s="2">
        <f t="shared" si="9"/>
        <v>1784.912109375</v>
      </c>
      <c r="AL15" s="2">
        <v>1.3063503969033263</v>
      </c>
      <c r="AM15" s="2">
        <f t="shared" si="10"/>
        <v>-2.2848149864227336</v>
      </c>
      <c r="AN15" s="2">
        <f t="shared" si="11"/>
        <v>5.6978575861719021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133.61390503710959</v>
      </c>
      <c r="H16" s="6" t="s">
        <v>10</v>
      </c>
      <c r="J16" s="13" t="s">
        <v>53</v>
      </c>
      <c r="K16" s="6">
        <f xml:space="preserve"> $C$54 * 0.2138 * K4</f>
        <v>57.512696703185206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6.591796875E-2</v>
      </c>
      <c r="W16" s="2">
        <f t="shared" si="0"/>
        <v>1.4973286083906634E-4</v>
      </c>
      <c r="X16" s="2">
        <f t="shared" si="8"/>
        <v>6.6162109375E-2</v>
      </c>
      <c r="Y16" s="2">
        <f t="shared" si="1"/>
        <v>-9.4736143370049986E-5</v>
      </c>
      <c r="Z16" s="2">
        <f t="shared" si="3"/>
        <v>6.60400390625E-2</v>
      </c>
      <c r="AA16" s="2">
        <f t="shared" si="2"/>
        <v>2.7498502618350518E-5</v>
      </c>
      <c r="AB16" s="2">
        <f t="shared" si="4"/>
        <v>4.1174294658361794E-9</v>
      </c>
      <c r="AC16" s="2">
        <f t="shared" si="5"/>
        <v>-2.6051020865137497E-9</v>
      </c>
      <c r="AD16" s="2">
        <f t="shared" si="6"/>
        <v>2.44140625E-4</v>
      </c>
      <c r="AF16" s="2">
        <v>12</v>
      </c>
      <c r="AG16" s="2">
        <f t="shared" si="13"/>
        <v>1780.2734375</v>
      </c>
      <c r="AH16" s="2">
        <v>-1.7490062328138265</v>
      </c>
      <c r="AI16" s="2">
        <f t="shared" si="14"/>
        <v>1784.912109375</v>
      </c>
      <c r="AJ16" s="2">
        <v>1.3063503969033263</v>
      </c>
      <c r="AK16" s="2">
        <f t="shared" si="9"/>
        <v>1782.5927734375</v>
      </c>
      <c r="AL16" s="2">
        <v>-0.22131962030130126</v>
      </c>
      <c r="AM16" s="2">
        <f t="shared" si="10"/>
        <v>0.38708939535096537</v>
      </c>
      <c r="AN16" s="2">
        <f t="shared" si="11"/>
        <v>-0.28912097382309837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0.40157850869226797</v>
      </c>
      <c r="H17" s="6" t="s">
        <v>122</v>
      </c>
      <c r="J17" s="13" t="s">
        <v>77</v>
      </c>
      <c r="K17" s="6">
        <f xml:space="preserve"> $C$54 * 0.1149 * K4</f>
        <v>30.9083669373058</v>
      </c>
      <c r="L17" s="6" t="s">
        <v>7</v>
      </c>
      <c r="N17" s="6" t="s">
        <v>25</v>
      </c>
      <c r="O17" s="6">
        <f xml:space="preserve"> ACOS(O14)/PI()*180</f>
        <v>6.9727038000689117</v>
      </c>
      <c r="P17" s="6" t="s">
        <v>40</v>
      </c>
      <c r="U17" s="2">
        <v>13</v>
      </c>
      <c r="V17" s="2">
        <f t="shared" si="7"/>
        <v>6.60400390625E-2</v>
      </c>
      <c r="W17" s="2">
        <f t="shared" si="0"/>
        <v>2.7498502618350518E-5</v>
      </c>
      <c r="X17" s="2">
        <f t="shared" si="8"/>
        <v>6.6162109375E-2</v>
      </c>
      <c r="Y17" s="2">
        <f t="shared" si="1"/>
        <v>-9.4736143370049986E-5</v>
      </c>
      <c r="Z17" s="2">
        <f t="shared" si="3"/>
        <v>6.610107421875E-2</v>
      </c>
      <c r="AA17" s="2">
        <f t="shared" si="2"/>
        <v>-3.3618784410188729E-5</v>
      </c>
      <c r="AB17" s="2">
        <f t="shared" si="4"/>
        <v>-9.2446623112933632E-10</v>
      </c>
      <c r="AC17" s="2">
        <f t="shared" si="5"/>
        <v>3.1849139798104407E-9</v>
      </c>
      <c r="AD17" s="2">
        <f t="shared" si="6"/>
        <v>1.220703125E-4</v>
      </c>
      <c r="AF17" s="2">
        <v>13</v>
      </c>
      <c r="AG17" s="2">
        <f t="shared" si="13"/>
        <v>1782.5927734375</v>
      </c>
      <c r="AH17" s="2">
        <v>-0.22131962030130126</v>
      </c>
      <c r="AI17" s="2">
        <f t="shared" si="14"/>
        <v>1784.912109375</v>
      </c>
      <c r="AJ17" s="2">
        <v>1.3063503969033263</v>
      </c>
      <c r="AK17" s="2">
        <f t="shared" si="9"/>
        <v>1783.75244140625</v>
      </c>
      <c r="AL17" s="2">
        <v>0.54251473492195146</v>
      </c>
      <c r="AM17" s="2">
        <f t="shared" si="10"/>
        <v>-0.12006915514078739</v>
      </c>
      <c r="AN17" s="2">
        <f t="shared" si="11"/>
        <v>0.70871433929119421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4400.9860430756553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127.87261978070973</v>
      </c>
      <c r="L18" s="6" t="s">
        <v>7</v>
      </c>
      <c r="N18" s="6" t="s">
        <v>19</v>
      </c>
      <c r="O18" s="6">
        <f xml:space="preserve"> O13 / $C$18</f>
        <v>4400.9860430756553</v>
      </c>
      <c r="P18" s="6" t="s">
        <v>20</v>
      </c>
      <c r="U18" s="2">
        <v>14</v>
      </c>
      <c r="V18" s="2">
        <f t="shared" si="7"/>
        <v>6.60400390625E-2</v>
      </c>
      <c r="W18" s="2">
        <f t="shared" si="0"/>
        <v>2.7498502618350518E-5</v>
      </c>
      <c r="X18" s="2">
        <f t="shared" si="8"/>
        <v>6.610107421875E-2</v>
      </c>
      <c r="Y18" s="2">
        <f t="shared" si="1"/>
        <v>-3.3618784410188729E-5</v>
      </c>
      <c r="Z18" s="2">
        <f t="shared" si="3"/>
        <v>6.6070556640625E-2</v>
      </c>
      <c r="AA18" s="2">
        <f t="shared" si="2"/>
        <v>-3.0601319038342512E-6</v>
      </c>
      <c r="AB18" s="2">
        <f t="shared" si="4"/>
        <v>-8.4149045170084115E-11</v>
      </c>
      <c r="AC18" s="2">
        <f t="shared" si="5"/>
        <v>1.0287791474174408E-10</v>
      </c>
      <c r="AD18" s="2">
        <f t="shared" si="6"/>
        <v>6.103515625E-5</v>
      </c>
      <c r="AF18" s="2">
        <v>14</v>
      </c>
      <c r="AG18" s="2">
        <f t="shared" si="13"/>
        <v>1782.5927734375</v>
      </c>
      <c r="AH18" s="2">
        <v>-0.22131962030130126</v>
      </c>
      <c r="AI18" s="2">
        <f t="shared" si="14"/>
        <v>1783.75244140625</v>
      </c>
      <c r="AJ18" s="2">
        <v>0.54251473492195146</v>
      </c>
      <c r="AK18" s="2">
        <f t="shared" si="9"/>
        <v>1783.172607421875</v>
      </c>
      <c r="AL18" s="2">
        <v>0.16059810641354488</v>
      </c>
      <c r="AM18" s="2">
        <f t="shared" si="10"/>
        <v>-3.5543511932553729E-2</v>
      </c>
      <c r="AN18" s="2">
        <f t="shared" si="11"/>
        <v>8.7126839129911648E-2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56.042150669614522</v>
      </c>
      <c r="H19" s="6" t="s">
        <v>101</v>
      </c>
      <c r="J19" s="14" t="s">
        <v>61</v>
      </c>
      <c r="K19" s="6">
        <f xml:space="preserve"> $C$55 * C31 * $C$5</f>
        <v>19.968868558739299</v>
      </c>
      <c r="L19" s="6" t="s">
        <v>7</v>
      </c>
      <c r="N19" s="6" t="s">
        <v>26</v>
      </c>
      <c r="O19" s="6">
        <f>$C$7*2*PI()/60</f>
        <v>34.438781747862436</v>
      </c>
      <c r="P19" s="6" t="s">
        <v>27</v>
      </c>
      <c r="U19" s="2">
        <v>15</v>
      </c>
      <c r="V19" s="2">
        <f t="shared" si="7"/>
        <v>6.60400390625E-2</v>
      </c>
      <c r="W19" s="2">
        <f t="shared" si="0"/>
        <v>2.7498502618350518E-5</v>
      </c>
      <c r="X19" s="2">
        <f t="shared" si="8"/>
        <v>6.6070556640625E-2</v>
      </c>
      <c r="Y19" s="2">
        <f t="shared" si="1"/>
        <v>-3.0601319038342512E-6</v>
      </c>
      <c r="Z19" s="2">
        <f t="shared" si="3"/>
        <v>6.60552978515625E-2</v>
      </c>
      <c r="AA19" s="2">
        <f t="shared" si="2"/>
        <v>1.2219187605355675E-5</v>
      </c>
      <c r="AB19" s="2">
        <f t="shared" si="4"/>
        <v>3.360093623599892E-10</v>
      </c>
      <c r="AC19" s="2">
        <f t="shared" si="5"/>
        <v>-3.7392325830084945E-11</v>
      </c>
      <c r="AD19" s="2">
        <f t="shared" si="6"/>
        <v>3.0517578125E-5</v>
      </c>
      <c r="AF19" s="2">
        <v>15</v>
      </c>
      <c r="AG19" s="2">
        <f t="shared" si="13"/>
        <v>1782.5927734375</v>
      </c>
      <c r="AH19" s="2">
        <v>-0.22131962030130126</v>
      </c>
      <c r="AI19" s="2">
        <f t="shared" si="14"/>
        <v>1783.172607421875</v>
      </c>
      <c r="AJ19" s="2">
        <v>0.16059810641354488</v>
      </c>
      <c r="AK19" s="2">
        <f t="shared" si="9"/>
        <v>1782.8826904296875</v>
      </c>
      <c r="AL19" s="2">
        <v>-3.0362106688244239E-2</v>
      </c>
      <c r="AM19" s="2">
        <f t="shared" si="10"/>
        <v>6.7197299237898144E-3</v>
      </c>
      <c r="AN19" s="2">
        <f t="shared" si="11"/>
        <v>-4.8760968408580515E-3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8.0128052390719411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0.49815219768712993</v>
      </c>
      <c r="U20" s="2">
        <v>16</v>
      </c>
      <c r="V20" s="2">
        <f t="shared" si="7"/>
        <v>6.60552978515625E-2</v>
      </c>
      <c r="W20" s="2">
        <f t="shared" si="0"/>
        <v>1.2219187605355675E-5</v>
      </c>
      <c r="X20" s="2">
        <f t="shared" si="8"/>
        <v>6.6070556640625E-2</v>
      </c>
      <c r="Y20" s="2">
        <f t="shared" si="1"/>
        <v>-3.0601319038342512E-6</v>
      </c>
      <c r="Z20" s="2">
        <f t="shared" si="3"/>
        <v>6.606292724609375E-2</v>
      </c>
      <c r="AA20" s="2">
        <f t="shared" si="2"/>
        <v>4.5795284127764235E-6</v>
      </c>
      <c r="AB20" s="2">
        <f t="shared" si="4"/>
        <v>5.5958116819771819E-11</v>
      </c>
      <c r="AC20" s="2">
        <f t="shared" si="5"/>
        <v>-1.4013961000452564E-11</v>
      </c>
      <c r="AD20" s="2">
        <f t="shared" si="6"/>
        <v>1.52587890625E-5</v>
      </c>
      <c r="AF20" s="2">
        <v>16</v>
      </c>
      <c r="AG20" s="2">
        <f t="shared" si="13"/>
        <v>1782.8826904296875</v>
      </c>
      <c r="AH20" s="2">
        <v>-3.0362106688244239E-2</v>
      </c>
      <c r="AI20" s="2">
        <f t="shared" si="14"/>
        <v>1783.172607421875</v>
      </c>
      <c r="AJ20" s="2">
        <v>0.16059810641354488</v>
      </c>
      <c r="AK20" s="2">
        <f t="shared" si="9"/>
        <v>1783.0276489257812</v>
      </c>
      <c r="AL20" s="2">
        <v>6.5122112966946588E-2</v>
      </c>
      <c r="AM20" s="2">
        <f t="shared" si="10"/>
        <v>-1.9772445416663259E-3</v>
      </c>
      <c r="AN20" s="2">
        <f t="shared" si="11"/>
        <v>1.0458488028140579E-2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8.4180524570983919E-2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5.1688506373312564E-3</v>
      </c>
      <c r="U21" s="2">
        <v>17</v>
      </c>
      <c r="V21" s="2">
        <f t="shared" si="7"/>
        <v>6.606292724609375E-2</v>
      </c>
      <c r="W21" s="2">
        <f t="shared" si="0"/>
        <v>4.5795284127764235E-6</v>
      </c>
      <c r="X21" s="2">
        <f t="shared" si="8"/>
        <v>6.6070556640625E-2</v>
      </c>
      <c r="Y21" s="2">
        <f t="shared" si="1"/>
        <v>-3.0601319038342512E-6</v>
      </c>
      <c r="Z21" s="2">
        <f t="shared" si="3"/>
        <v>6.6066741943359375E-2</v>
      </c>
      <c r="AA21" s="2">
        <f t="shared" si="2"/>
        <v>7.5969839496980995E-7</v>
      </c>
      <c r="AB21" s="2">
        <f t="shared" si="4"/>
        <v>3.4790603849048902E-12</v>
      </c>
      <c r="AC21" s="2">
        <f t="shared" si="5"/>
        <v>-2.3247772957387893E-12</v>
      </c>
      <c r="AD21" s="2">
        <f t="shared" si="6"/>
        <v>7.62939453125E-6</v>
      </c>
      <c r="AF21" s="2">
        <v>17</v>
      </c>
      <c r="AG21" s="2">
        <f t="shared" si="13"/>
        <v>1782.8826904296875</v>
      </c>
      <c r="AH21" s="2">
        <v>-3.0362106688244239E-2</v>
      </c>
      <c r="AI21" s="2">
        <f t="shared" si="14"/>
        <v>1783.0276489257812</v>
      </c>
      <c r="AJ21" s="2">
        <v>6.5122112966946588E-2</v>
      </c>
      <c r="AK21" s="2">
        <f t="shared" si="9"/>
        <v>1782.9551696777344</v>
      </c>
      <c r="AL21" s="2">
        <v>1.7379547906330117E-2</v>
      </c>
      <c r="AM21" s="2">
        <f t="shared" si="10"/>
        <v>-5.2767968772544677E-4</v>
      </c>
      <c r="AN21" s="2">
        <f t="shared" si="11"/>
        <v>1.13179288207049E-3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224.16860267845809</v>
      </c>
      <c r="H22" s="25" t="s">
        <v>101</v>
      </c>
      <c r="J22" s="14" t="s">
        <v>112</v>
      </c>
      <c r="K22" s="6">
        <f>$C$55*(0.14*$G$12*1000/745.7)*0.453592</f>
        <v>12.786931241755642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6.6066741943359375E-2</v>
      </c>
      <c r="W22" s="2">
        <f t="shared" si="0"/>
        <v>7.5969839496980995E-7</v>
      </c>
      <c r="X22" s="2">
        <f t="shared" si="8"/>
        <v>6.6070556640625E-2</v>
      </c>
      <c r="Y22" s="2">
        <f t="shared" si="1"/>
        <v>-3.0601319038342512E-6</v>
      </c>
      <c r="Z22" s="2">
        <f t="shared" si="3"/>
        <v>6.6068649291992188E-2</v>
      </c>
      <c r="AA22" s="2">
        <f t="shared" si="2"/>
        <v>-1.1502167193006008E-6</v>
      </c>
      <c r="AB22" s="2">
        <f t="shared" si="4"/>
        <v>-8.7381779552010678E-13</v>
      </c>
      <c r="AC22" s="2">
        <f t="shared" si="5"/>
        <v>3.5198148790553338E-12</v>
      </c>
      <c r="AD22" s="2">
        <f t="shared" si="6"/>
        <v>3.814697265625E-6</v>
      </c>
      <c r="AF22" s="2">
        <v>18</v>
      </c>
      <c r="AG22" s="2">
        <f t="shared" si="13"/>
        <v>1782.8826904296875</v>
      </c>
      <c r="AH22" s="2">
        <v>-3.0362106688244239E-2</v>
      </c>
      <c r="AI22" s="2">
        <f t="shared" si="14"/>
        <v>1782.9551696777344</v>
      </c>
      <c r="AJ22" s="2">
        <v>1.7379547906330117E-2</v>
      </c>
      <c r="AK22" s="2">
        <f t="shared" si="9"/>
        <v>1782.9189300537109</v>
      </c>
      <c r="AL22" s="2">
        <v>-6.4913931994396989E-3</v>
      </c>
      <c r="AM22" s="2">
        <f t="shared" si="10"/>
        <v>1.9709237287673126E-4</v>
      </c>
      <c r="AN22" s="2">
        <f t="shared" si="11"/>
        <v>-1.1281747908848778E-4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38.226119812443798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16738.646363709089</v>
      </c>
      <c r="P23" s="6" t="s">
        <v>18</v>
      </c>
      <c r="U23" s="2">
        <v>19</v>
      </c>
      <c r="V23" s="2">
        <f t="shared" si="7"/>
        <v>6.6066741943359375E-2</v>
      </c>
      <c r="W23" s="2">
        <f t="shared" si="0"/>
        <v>7.5969839496980995E-7</v>
      </c>
      <c r="X23" s="2">
        <f t="shared" si="8"/>
        <v>6.6068649291992188E-2</v>
      </c>
      <c r="Y23" s="2">
        <f t="shared" si="1"/>
        <v>-1.1502167193006008E-6</v>
      </c>
      <c r="Z23" s="2">
        <f t="shared" si="3"/>
        <v>6.6067695617675781E-2</v>
      </c>
      <c r="AA23" s="2">
        <f t="shared" si="2"/>
        <v>-1.9525915338769462E-7</v>
      </c>
      <c r="AB23" s="2">
        <f t="shared" si="4"/>
        <v>-1.4833806543179554E-13</v>
      </c>
      <c r="AC23" s="2">
        <f t="shared" si="5"/>
        <v>2.2459034282300688E-13</v>
      </c>
      <c r="AD23" s="2">
        <f t="shared" si="6"/>
        <v>1.9073486328125E-6</v>
      </c>
      <c r="AF23" s="2">
        <v>19</v>
      </c>
      <c r="AG23" s="2">
        <f t="shared" si="13"/>
        <v>1782.9189300537109</v>
      </c>
      <c r="AH23" s="2">
        <v>-6.4913931994396989E-3</v>
      </c>
      <c r="AI23" s="2">
        <f t="shared" si="14"/>
        <v>1782.9551696777344</v>
      </c>
      <c r="AJ23" s="2">
        <v>1.7379547906330117E-2</v>
      </c>
      <c r="AK23" s="2">
        <f t="shared" si="9"/>
        <v>1782.9370498657227</v>
      </c>
      <c r="AL23" s="2">
        <v>5.4440489016087668E-3</v>
      </c>
      <c r="AM23" s="2">
        <f t="shared" si="10"/>
        <v>-3.5339462017320311E-5</v>
      </c>
      <c r="AN23" s="2">
        <f t="shared" si="11"/>
        <v>9.4615108689913421E-5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7.2150755846529311</v>
      </c>
      <c r="L24" s="6" t="s">
        <v>7</v>
      </c>
      <c r="N24" s="6" t="s">
        <v>31</v>
      </c>
      <c r="O24" s="18">
        <f>Z34</f>
        <v>6.6067500505596399E-2</v>
      </c>
      <c r="U24" s="2">
        <v>20</v>
      </c>
      <c r="V24" s="2">
        <f t="shared" si="7"/>
        <v>6.6066741943359375E-2</v>
      </c>
      <c r="W24" s="2">
        <f t="shared" si="0"/>
        <v>7.5969839496980995E-7</v>
      </c>
      <c r="X24" s="2">
        <f t="shared" si="8"/>
        <v>6.6067695617675781E-2</v>
      </c>
      <c r="Y24" s="2">
        <f t="shared" si="1"/>
        <v>-1.9525915338769462E-7</v>
      </c>
      <c r="Z24" s="2">
        <f t="shared" si="3"/>
        <v>6.6067218780517578E-2</v>
      </c>
      <c r="AA24" s="2">
        <f t="shared" si="2"/>
        <v>2.8221962299068704E-7</v>
      </c>
      <c r="AB24" s="2">
        <f t="shared" si="4"/>
        <v>2.1440179461500981E-13</v>
      </c>
      <c r="AC24" s="2">
        <f t="shared" si="5"/>
        <v>-5.5105964654555909E-14</v>
      </c>
      <c r="AD24" s="2">
        <f t="shared" si="6"/>
        <v>9.5367431640625E-7</v>
      </c>
      <c r="AF24" s="2">
        <v>20</v>
      </c>
      <c r="AG24" s="2">
        <f t="shared" si="13"/>
        <v>1782.9189300537109</v>
      </c>
      <c r="AH24" s="2">
        <v>-6.4913931994396989E-3</v>
      </c>
      <c r="AI24" s="2">
        <f t="shared" si="14"/>
        <v>1782.9370498657227</v>
      </c>
      <c r="AJ24" s="2">
        <v>5.4440489016087668E-3</v>
      </c>
      <c r="AK24" s="2">
        <f t="shared" si="9"/>
        <v>1782.9279899597168</v>
      </c>
      <c r="AL24" s="2">
        <v>-5.207126516779681E-4</v>
      </c>
      <c r="AM24" s="2">
        <f t="shared" si="10"/>
        <v>3.3801505659645748E-6</v>
      </c>
      <c r="AN24" s="2">
        <f t="shared" si="11"/>
        <v>-2.8347851394212307E-6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11.410782033565312</v>
      </c>
      <c r="L25" s="6" t="s">
        <v>7</v>
      </c>
      <c r="N25" s="6" t="s">
        <v>32</v>
      </c>
      <c r="O25" s="6">
        <f xml:space="preserve"> O19 * $C$9 * O24 - $C$8 * SIN(O17/180*PI())</f>
        <v>0.68717490491398614</v>
      </c>
      <c r="P25" s="6" t="s">
        <v>10</v>
      </c>
      <c r="U25" s="2">
        <v>21</v>
      </c>
      <c r="V25" s="2">
        <f t="shared" si="7"/>
        <v>6.6067218780517578E-2</v>
      </c>
      <c r="W25" s="2">
        <f t="shared" si="0"/>
        <v>2.8221962299068704E-7</v>
      </c>
      <c r="X25" s="2">
        <f t="shared" si="8"/>
        <v>6.6067695617675781E-2</v>
      </c>
      <c r="Y25" s="2">
        <f t="shared" si="1"/>
        <v>-1.9525915338769462E-7</v>
      </c>
      <c r="Z25" s="2">
        <f t="shared" si="3"/>
        <v>6.606745719909668E-2</v>
      </c>
      <c r="AA25" s="2">
        <f t="shared" si="2"/>
        <v>4.3480235356607722E-8</v>
      </c>
      <c r="AB25" s="2">
        <f t="shared" si="4"/>
        <v>1.2270975629888172E-14</v>
      </c>
      <c r="AC25" s="2">
        <f t="shared" si="5"/>
        <v>-8.48991394482893E-15</v>
      </c>
      <c r="AD25" s="2">
        <f t="shared" si="6"/>
        <v>4.76837158203125E-7</v>
      </c>
      <c r="AF25" s="2">
        <v>21</v>
      </c>
      <c r="AG25" s="2">
        <f t="shared" si="13"/>
        <v>1782.9279899597168</v>
      </c>
      <c r="AH25" s="2">
        <v>-5.207126516779681E-4</v>
      </c>
      <c r="AI25" s="2">
        <f t="shared" si="14"/>
        <v>1782.9370498657227</v>
      </c>
      <c r="AJ25" s="2">
        <v>5.4440489016087668E-3</v>
      </c>
      <c r="AK25" s="2">
        <f t="shared" si="9"/>
        <v>1782.9325199127197</v>
      </c>
      <c r="AL25" s="2">
        <v>2.4586997324149706E-3</v>
      </c>
      <c r="AM25" s="2">
        <f t="shared" si="10"/>
        <v>-1.2802760573457101E-6</v>
      </c>
      <c r="AN25" s="2">
        <f t="shared" si="11"/>
        <v>1.338528157763949E-5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27.958164625162283</v>
      </c>
      <c r="L26" s="6" t="s">
        <v>7</v>
      </c>
      <c r="N26" s="6" t="s">
        <v>33</v>
      </c>
      <c r="O26" s="6">
        <f xml:space="preserve"> 1/$C$21 - O23 * SQRT( (2*$C$47*PI()*$C$9^2) / O18^3 )</f>
        <v>0.77339952274331725</v>
      </c>
      <c r="U26" s="2">
        <v>22</v>
      </c>
      <c r="V26" s="2">
        <f t="shared" si="7"/>
        <v>6.606745719909668E-2</v>
      </c>
      <c r="W26" s="2">
        <f t="shared" si="0"/>
        <v>4.3480235356607722E-8</v>
      </c>
      <c r="X26" s="2">
        <f t="shared" si="8"/>
        <v>6.6067695617675781E-2</v>
      </c>
      <c r="Y26" s="2">
        <f t="shared" si="1"/>
        <v>-1.9525915338769462E-7</v>
      </c>
      <c r="Z26" s="2">
        <f t="shared" si="3"/>
        <v>6.606757640838623E-2</v>
      </c>
      <c r="AA26" s="2">
        <f t="shared" si="2"/>
        <v>-7.5889458883704464E-8</v>
      </c>
      <c r="AB26" s="2">
        <f t="shared" si="4"/>
        <v>-3.299691533349075E-15</v>
      </c>
      <c r="AC26" s="2">
        <f t="shared" si="5"/>
        <v>1.4818111492682393E-14</v>
      </c>
      <c r="AD26" s="2">
        <f t="shared" si="6"/>
        <v>2.384185791015625E-7</v>
      </c>
      <c r="AF26" s="2">
        <v>22</v>
      </c>
      <c r="AG26" s="2">
        <f t="shared" si="13"/>
        <v>1782.9279899597168</v>
      </c>
      <c r="AH26" s="2">
        <v>2.4586997324149706E-3</v>
      </c>
      <c r="AI26" s="2">
        <f t="shared" si="14"/>
        <v>1782.9325199127197</v>
      </c>
      <c r="AJ26" s="2">
        <v>5.4440489016087668E-3</v>
      </c>
      <c r="AK26" s="2">
        <f t="shared" si="9"/>
        <v>1782.9302549362183</v>
      </c>
      <c r="AL26" s="2">
        <v>3.9513738711320912E-3</v>
      </c>
      <c r="AM26" s="2">
        <f t="shared" si="10"/>
        <v>9.7152418796239784E-6</v>
      </c>
      <c r="AN26" s="2">
        <f t="shared" si="11"/>
        <v>2.1511472582982243E-5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3.8925403994198859E-3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6.606745719909668E-2</v>
      </c>
      <c r="W27" s="2">
        <f t="shared" si="0"/>
        <v>4.3480235356607722E-8</v>
      </c>
      <c r="X27" s="2">
        <f t="shared" si="8"/>
        <v>6.606757640838623E-2</v>
      </c>
      <c r="Y27" s="2">
        <f t="shared" si="1"/>
        <v>-7.5889458883704464E-8</v>
      </c>
      <c r="Z27" s="2">
        <f t="shared" si="3"/>
        <v>6.6067516803741455E-2</v>
      </c>
      <c r="AA27" s="2">
        <f t="shared" si="2"/>
        <v>-1.6204611735792795E-8</v>
      </c>
      <c r="AB27" s="2">
        <f t="shared" si="4"/>
        <v>-7.045803321347183E-16</v>
      </c>
      <c r="AC27" s="2">
        <f t="shared" si="5"/>
        <v>1.2297592160498422E-15</v>
      </c>
      <c r="AD27" s="2">
        <f t="shared" si="6"/>
        <v>1.1920928955078125E-7</v>
      </c>
      <c r="AF27" s="2">
        <v>23</v>
      </c>
      <c r="AG27" s="2">
        <f t="shared" si="13"/>
        <v>1782.9302549362183</v>
      </c>
      <c r="AH27" s="2">
        <v>3.9513738711320912E-3</v>
      </c>
      <c r="AI27" s="2">
        <f t="shared" si="14"/>
        <v>1782.9302549362183</v>
      </c>
      <c r="AJ27" s="2">
        <v>5.4440489016087668E-3</v>
      </c>
      <c r="AK27" s="2">
        <f t="shared" si="9"/>
        <v>1782.9302549362183</v>
      </c>
      <c r="AL27" s="2">
        <v>3.9513738711320912E-3</v>
      </c>
      <c r="AM27" s="2">
        <f t="shared" si="10"/>
        <v>1.5613355469465408E-5</v>
      </c>
      <c r="AN27" s="2">
        <f t="shared" si="11"/>
        <v>2.1511472582982243E-5</v>
      </c>
      <c r="AO27" s="2">
        <f t="shared" si="12"/>
        <v>0</v>
      </c>
    </row>
    <row r="28" spans="2:41" x14ac:dyDescent="0.2">
      <c r="F28" t="s">
        <v>19</v>
      </c>
      <c r="G28" s="6">
        <f xml:space="preserve"> $C$5 * $C$44 / $C$18</f>
        <v>4368.8546718905191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1.1500004132480173</v>
      </c>
      <c r="U28" s="2">
        <v>24</v>
      </c>
      <c r="V28" s="2">
        <f t="shared" si="7"/>
        <v>6.606745719909668E-2</v>
      </c>
      <c r="W28" s="2">
        <f t="shared" si="0"/>
        <v>4.3480235356607722E-8</v>
      </c>
      <c r="X28" s="2">
        <f t="shared" si="8"/>
        <v>6.6067516803741455E-2</v>
      </c>
      <c r="Y28" s="2">
        <f t="shared" si="1"/>
        <v>-1.6204611735792795E-8</v>
      </c>
      <c r="Z28" s="2">
        <f t="shared" si="3"/>
        <v>6.6067487001419067E-2</v>
      </c>
      <c r="AA28" s="2">
        <f t="shared" si="2"/>
        <v>1.3637811824285251E-8</v>
      </c>
      <c r="AB28" s="2">
        <f t="shared" si="4"/>
        <v>5.9297526786905042E-16</v>
      </c>
      <c r="AC28" s="2">
        <f t="shared" si="5"/>
        <v>-2.2099544553834654E-16</v>
      </c>
      <c r="AD28" s="2">
        <f t="shared" si="6"/>
        <v>5.9604644775390625E-8</v>
      </c>
      <c r="AF28" s="2">
        <v>24</v>
      </c>
      <c r="AG28" s="2">
        <f t="shared" si="13"/>
        <v>1782.9302549362183</v>
      </c>
      <c r="AH28" s="2">
        <v>4.7006778975173802E-3</v>
      </c>
      <c r="AI28" s="2">
        <f t="shared" si="14"/>
        <v>1782.9302549362183</v>
      </c>
      <c r="AJ28" s="2">
        <v>5.4440489016087668E-3</v>
      </c>
      <c r="AK28" s="2">
        <f t="shared" si="9"/>
        <v>1782.9302549362183</v>
      </c>
      <c r="AL28" s="2">
        <v>3.9513738711320912E-3</v>
      </c>
      <c r="AM28" s="2">
        <f t="shared" si="10"/>
        <v>1.8574135820858309E-5</v>
      </c>
      <c r="AN28" s="2">
        <f t="shared" si="11"/>
        <v>2.1511472582982243E-5</v>
      </c>
      <c r="AO28" s="2">
        <f t="shared" si="12"/>
        <v>0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38.826706897473493</v>
      </c>
      <c r="H29" t="s">
        <v>18</v>
      </c>
      <c r="U29" s="2">
        <v>25</v>
      </c>
      <c r="V29" s="2">
        <f t="shared" si="7"/>
        <v>6.6067487001419067E-2</v>
      </c>
      <c r="W29" s="2">
        <f t="shared" si="0"/>
        <v>1.3637811824285251E-8</v>
      </c>
      <c r="X29" s="2">
        <f t="shared" si="8"/>
        <v>6.6067516803741455E-2</v>
      </c>
      <c r="Y29" s="2">
        <f t="shared" si="1"/>
        <v>-1.6204611735792795E-8</v>
      </c>
      <c r="Z29" s="2">
        <f t="shared" si="3"/>
        <v>6.6067501902580261E-2</v>
      </c>
      <c r="AA29" s="2">
        <f t="shared" si="2"/>
        <v>-1.2833999557537723E-9</v>
      </c>
      <c r="AB29" s="2">
        <f t="shared" si="4"/>
        <v>-1.7502767091865963E-17</v>
      </c>
      <c r="AC29" s="2">
        <f t="shared" si="5"/>
        <v>2.0796997984723532E-17</v>
      </c>
      <c r="AD29" s="2">
        <f t="shared" si="6"/>
        <v>2.9802322387695312E-8</v>
      </c>
      <c r="AF29" s="2">
        <v>25</v>
      </c>
      <c r="AG29" s="2">
        <f t="shared" si="13"/>
        <v>1782.9302549362183</v>
      </c>
      <c r="AH29" s="2">
        <v>5.0723633723919193E-3</v>
      </c>
      <c r="AI29" s="2">
        <f t="shared" si="14"/>
        <v>1782.9302549362183</v>
      </c>
      <c r="AJ29" s="2">
        <v>5.4440489016087668E-3</v>
      </c>
      <c r="AK29" s="2">
        <f t="shared" si="9"/>
        <v>1782.9302549362183</v>
      </c>
      <c r="AL29" s="2">
        <v>3.9513738711320912E-3</v>
      </c>
      <c r="AM29" s="2">
        <f t="shared" si="10"/>
        <v>2.0042804094556888E-5</v>
      </c>
      <c r="AN29" s="2">
        <f t="shared" si="11"/>
        <v>2.1511472582982243E-5</v>
      </c>
      <c r="AO29" s="2">
        <f t="shared" si="12"/>
        <v>0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11.480079275411056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6.6067487001419067E-2</v>
      </c>
      <c r="W30" s="2">
        <f t="shared" si="0"/>
        <v>1.3637811824285251E-8</v>
      </c>
      <c r="X30" s="2">
        <f t="shared" si="8"/>
        <v>6.6067501902580261E-2</v>
      </c>
      <c r="Y30" s="2">
        <f t="shared" si="1"/>
        <v>-1.2833999557537723E-9</v>
      </c>
      <c r="Z30" s="2">
        <f t="shared" si="3"/>
        <v>6.6067494451999664E-2</v>
      </c>
      <c r="AA30" s="2">
        <f t="shared" si="2"/>
        <v>6.1772059273268454E-9</v>
      </c>
      <c r="AB30" s="2">
        <f t="shared" si="4"/>
        <v>8.4243572036742986E-17</v>
      </c>
      <c r="AC30" s="2">
        <f t="shared" si="5"/>
        <v>-7.9278258138132139E-18</v>
      </c>
      <c r="AD30" s="2">
        <f t="shared" si="6"/>
        <v>1.4901161193847656E-8</v>
      </c>
      <c r="AF30" s="2">
        <v>26</v>
      </c>
      <c r="AG30" s="2">
        <f t="shared" si="13"/>
        <v>1782.9302549362183</v>
      </c>
      <c r="AH30" s="2">
        <v>5.2582061296106986E-3</v>
      </c>
      <c r="AI30" s="2">
        <f t="shared" si="14"/>
        <v>1782.9302549362183</v>
      </c>
      <c r="AJ30" s="2">
        <v>5.4440489016087668E-3</v>
      </c>
      <c r="AK30" s="2">
        <f t="shared" si="9"/>
        <v>1782.9302549362183</v>
      </c>
      <c r="AL30" s="2">
        <v>3.9513738711320912E-3</v>
      </c>
      <c r="AM30" s="2">
        <f t="shared" si="10"/>
        <v>2.0777138309570317E-5</v>
      </c>
      <c r="AN30" s="2">
        <f t="shared" si="11"/>
        <v>2.1511472582982243E-5</v>
      </c>
      <c r="AO30" s="2">
        <f t="shared" si="12"/>
        <v>0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155.30682758989397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6.6067494451999664E-2</v>
      </c>
      <c r="W31" s="2">
        <f t="shared" si="0"/>
        <v>6.1772059273268454E-9</v>
      </c>
      <c r="X31" s="2">
        <f t="shared" si="8"/>
        <v>6.6067501902580261E-2</v>
      </c>
      <c r="Y31" s="2">
        <f t="shared" si="1"/>
        <v>-1.2833999557537723E-9</v>
      </c>
      <c r="Z31" s="2">
        <f t="shared" si="3"/>
        <v>6.6067498177289963E-2</v>
      </c>
      <c r="AA31" s="2">
        <f t="shared" si="2"/>
        <v>2.4469029857865365E-9</v>
      </c>
      <c r="AB31" s="2">
        <f t="shared" si="4"/>
        <v>1.511502362739435E-17</v>
      </c>
      <c r="AC31" s="2">
        <f t="shared" si="5"/>
        <v>-3.1403551836922143E-18</v>
      </c>
      <c r="AD31" s="2">
        <f t="shared" si="6"/>
        <v>7.4505805969238281E-9</v>
      </c>
      <c r="AF31" s="2">
        <v>27</v>
      </c>
      <c r="AG31" s="2">
        <f t="shared" si="13"/>
        <v>1782.9302549362183</v>
      </c>
      <c r="AH31" s="2">
        <v>5.3540941385108454E-3</v>
      </c>
      <c r="AI31" s="2">
        <f t="shared" si="14"/>
        <v>1782.9302549362183</v>
      </c>
      <c r="AJ31" s="2">
        <v>5.4440489016087668E-3</v>
      </c>
      <c r="AK31" s="2">
        <f t="shared" si="9"/>
        <v>1782.9302549362183</v>
      </c>
      <c r="AL31" s="2">
        <v>3.9513738711320912E-3</v>
      </c>
      <c r="AM31" s="2">
        <f t="shared" si="10"/>
        <v>2.1156027682493239E-5</v>
      </c>
      <c r="AN31" s="2">
        <f t="shared" si="11"/>
        <v>2.1511472582982243E-5</v>
      </c>
      <c r="AO31" s="2">
        <f t="shared" si="12"/>
        <v>0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479.34</v>
      </c>
      <c r="L32" s="6" t="s">
        <v>7</v>
      </c>
      <c r="U32" s="2">
        <v>28</v>
      </c>
      <c r="V32" s="2">
        <f t="shared" si="7"/>
        <v>6.6067498177289963E-2</v>
      </c>
      <c r="W32" s="2">
        <f t="shared" si="0"/>
        <v>2.4469029857865365E-9</v>
      </c>
      <c r="X32" s="2">
        <f t="shared" si="8"/>
        <v>6.6067501902580261E-2</v>
      </c>
      <c r="Y32" s="2">
        <f t="shared" si="1"/>
        <v>-1.2833999557537723E-9</v>
      </c>
      <c r="Z32" s="2">
        <f t="shared" si="3"/>
        <v>6.6067500039935112E-2</v>
      </c>
      <c r="AA32" s="2">
        <f t="shared" si="2"/>
        <v>5.8175152195527602E-10</v>
      </c>
      <c r="AB32" s="2">
        <f t="shared" si="4"/>
        <v>1.4234895360582268E-18</v>
      </c>
      <c r="AC32" s="2">
        <f t="shared" si="5"/>
        <v>-7.4661987753709094E-19</v>
      </c>
      <c r="AD32" s="2">
        <f t="shared" si="6"/>
        <v>3.7252902984619141E-9</v>
      </c>
      <c r="AF32" s="2">
        <v>28</v>
      </c>
      <c r="AG32" s="2">
        <f t="shared" si="13"/>
        <v>1782.9302549362183</v>
      </c>
      <c r="AH32" s="2">
        <v>5.3961048945438961E-3</v>
      </c>
      <c r="AI32" s="2">
        <f t="shared" si="14"/>
        <v>1782.9302549362183</v>
      </c>
      <c r="AJ32" s="2">
        <v>5.4440489016087668E-3</v>
      </c>
      <c r="AK32" s="2">
        <f t="shared" si="9"/>
        <v>1782.9302549362183</v>
      </c>
      <c r="AL32" s="2">
        <v>3.9513738711320912E-3</v>
      </c>
      <c r="AM32" s="2">
        <f t="shared" si="10"/>
        <v>2.132202788618874E-5</v>
      </c>
      <c r="AN32" s="2">
        <f t="shared" si="11"/>
        <v>2.1511472582982243E-5</v>
      </c>
      <c r="AO32" s="2">
        <f t="shared" si="12"/>
        <v>0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458.15</v>
      </c>
      <c r="L33" s="6" t="s">
        <v>7</v>
      </c>
      <c r="U33" s="2">
        <v>29</v>
      </c>
      <c r="V33" s="2">
        <f t="shared" si="7"/>
        <v>6.6067500039935112E-2</v>
      </c>
      <c r="W33" s="2">
        <f t="shared" si="0"/>
        <v>5.8175152195527602E-10</v>
      </c>
      <c r="X33" s="2">
        <f t="shared" si="8"/>
        <v>6.6067501902580261E-2</v>
      </c>
      <c r="Y33" s="2">
        <f t="shared" si="1"/>
        <v>-1.2833999557537723E-9</v>
      </c>
      <c r="Z33" s="2">
        <f t="shared" si="3"/>
        <v>6.6067500971257687E-2</v>
      </c>
      <c r="AA33" s="2">
        <f t="shared" si="2"/>
        <v>-3.5082421689924814E-10</v>
      </c>
      <c r="AB33" s="2">
        <f t="shared" si="4"/>
        <v>-2.0409252211990547E-19</v>
      </c>
      <c r="AC33" s="2">
        <f t="shared" si="5"/>
        <v>4.5024778444584688E-19</v>
      </c>
      <c r="AD33" s="2">
        <f t="shared" si="6"/>
        <v>1.862645149230957E-9</v>
      </c>
      <c r="AF33" s="2">
        <v>29</v>
      </c>
      <c r="AG33" s="2">
        <f t="shared" si="13"/>
        <v>1782.9302549362183</v>
      </c>
      <c r="AH33" s="2">
        <v>5.4200768979626446E-3</v>
      </c>
      <c r="AI33" s="2">
        <f t="shared" si="14"/>
        <v>1782.9302549362183</v>
      </c>
      <c r="AJ33" s="2">
        <v>5.4440489016087668E-3</v>
      </c>
      <c r="AK33" s="2">
        <f t="shared" si="9"/>
        <v>1782.9302549362183</v>
      </c>
      <c r="AL33" s="2">
        <v>3.9513738711320912E-3</v>
      </c>
      <c r="AM33" s="2">
        <f t="shared" si="10"/>
        <v>2.1416750234136273E-5</v>
      </c>
      <c r="AN33" s="2">
        <f t="shared" si="11"/>
        <v>2.1511472582982243E-5</v>
      </c>
      <c r="AO33" s="2">
        <f t="shared" si="12"/>
        <v>0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160.63</v>
      </c>
      <c r="L34" s="6" t="s">
        <v>7</v>
      </c>
      <c r="U34" s="2">
        <v>30</v>
      </c>
      <c r="V34" s="2">
        <f t="shared" si="7"/>
        <v>6.6067500039935112E-2</v>
      </c>
      <c r="W34" s="2">
        <f t="shared" si="0"/>
        <v>5.8175152195527602E-10</v>
      </c>
      <c r="X34" s="2">
        <f t="shared" si="8"/>
        <v>6.6067500971257687E-2</v>
      </c>
      <c r="Y34" s="2">
        <f t="shared" si="1"/>
        <v>-3.5082421689924814E-10</v>
      </c>
      <c r="Z34" s="2">
        <f t="shared" si="3"/>
        <v>6.6067500505596399E-2</v>
      </c>
      <c r="AA34" s="2">
        <f t="shared" si="2"/>
        <v>1.1546365252801394E-10</v>
      </c>
      <c r="AB34" s="2">
        <f t="shared" si="4"/>
        <v>6.7171155588687262E-20</v>
      </c>
      <c r="AC34" s="2">
        <f t="shared" si="5"/>
        <v>-4.0507445478467383E-20</v>
      </c>
      <c r="AD34" s="2">
        <f>X34-V34</f>
        <v>9.3132257461547852E-10</v>
      </c>
      <c r="AF34" s="2">
        <v>30</v>
      </c>
      <c r="AG34" s="2">
        <f t="shared" si="13"/>
        <v>1782.9302549362183</v>
      </c>
      <c r="AH34" s="2">
        <v>5.4350295240510604E-3</v>
      </c>
      <c r="AI34" s="2">
        <f t="shared" si="14"/>
        <v>1782.9302549362183</v>
      </c>
      <c r="AJ34" s="2">
        <v>5.4440489016087668E-3</v>
      </c>
      <c r="AK34" s="2">
        <f t="shared" si="9"/>
        <v>1782.9302549362183</v>
      </c>
      <c r="AL34" s="2">
        <v>3.9513738711320912E-3</v>
      </c>
      <c r="AM34" s="2">
        <f t="shared" si="10"/>
        <v>2.1475833650166846E-5</v>
      </c>
      <c r="AN34" s="2">
        <f t="shared" si="11"/>
        <v>2.1511472582982243E-5</v>
      </c>
      <c r="AO34" s="2">
        <f t="shared" si="12"/>
        <v>0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224.16860267845809</v>
      </c>
      <c r="H35" s="25" t="s">
        <v>101</v>
      </c>
      <c r="J35" s="15" t="s">
        <v>70</v>
      </c>
      <c r="K35" s="6">
        <f>ROUND(SUM(K23:K26),2)</f>
        <v>84.81</v>
      </c>
      <c r="L35" s="6" t="s">
        <v>7</v>
      </c>
      <c r="AF35" s="2">
        <v>31</v>
      </c>
      <c r="AG35" s="2">
        <f t="shared" si="13"/>
        <v>1782.9302549362183</v>
      </c>
      <c r="AH35" s="2">
        <v>5.4395392126025399E-3</v>
      </c>
      <c r="AI35" s="2">
        <f t="shared" si="14"/>
        <v>1782.9302549362183</v>
      </c>
      <c r="AJ35" s="2">
        <v>5.4440489016087668E-3</v>
      </c>
      <c r="AK35" s="2">
        <f t="shared" si="9"/>
        <v>1782.9302549362183</v>
      </c>
      <c r="AL35" s="2">
        <v>3.9513738711320912E-3</v>
      </c>
      <c r="AM35" s="2">
        <f t="shared" si="10"/>
        <v>2.1493653115676107E-5</v>
      </c>
      <c r="AN35" s="2">
        <f t="shared" si="11"/>
        <v>2.1511472582982243E-5</v>
      </c>
      <c r="AO35" s="2">
        <f t="shared" si="12"/>
        <v>0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1782.9299999999998</v>
      </c>
      <c r="L36" s="6" t="s">
        <v>7</v>
      </c>
      <c r="AF36" s="2">
        <v>32</v>
      </c>
      <c r="AG36" s="2">
        <f t="shared" si="13"/>
        <v>1782.9302549362183</v>
      </c>
      <c r="AH36" s="2">
        <v>5.4417940571056533E-3</v>
      </c>
      <c r="AI36" s="2">
        <f t="shared" si="14"/>
        <v>1782.9302549362183</v>
      </c>
      <c r="AJ36" s="2">
        <v>5.4440489016087668E-3</v>
      </c>
      <c r="AK36" s="2">
        <f t="shared" si="9"/>
        <v>1782.9302549362183</v>
      </c>
      <c r="AL36" s="2">
        <v>3.9513738711320912E-3</v>
      </c>
      <c r="AM36" s="2">
        <f t="shared" si="10"/>
        <v>2.1502562849329175E-5</v>
      </c>
      <c r="AN36" s="2">
        <f t="shared" si="11"/>
        <v>2.1511472582982243E-5</v>
      </c>
      <c r="AO36" s="2">
        <f t="shared" si="12"/>
        <v>0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1782.9302549362183</v>
      </c>
      <c r="AH37" s="2">
        <v>5.4429214792435232E-3</v>
      </c>
      <c r="AI37" s="2">
        <f t="shared" si="14"/>
        <v>1782.9302549362183</v>
      </c>
      <c r="AJ37" s="2">
        <v>5.4440489016087668E-3</v>
      </c>
      <c r="AK37" s="2">
        <f t="shared" si="9"/>
        <v>1782.9302549362183</v>
      </c>
      <c r="AL37" s="2">
        <v>3.9513738711320912E-3</v>
      </c>
      <c r="AM37" s="2">
        <f t="shared" si="10"/>
        <v>2.1507017715706488E-5</v>
      </c>
      <c r="AN37" s="2">
        <f t="shared" si="11"/>
        <v>2.1511472582982243E-5</v>
      </c>
      <c r="AO37" s="2">
        <f t="shared" si="12"/>
        <v>0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1782.9302549362183</v>
      </c>
      <c r="AH38" s="2">
        <v>5.4434851906535187E-3</v>
      </c>
      <c r="AI38" s="2">
        <f t="shared" si="14"/>
        <v>1782.9302549362183</v>
      </c>
      <c r="AJ38" s="2">
        <v>5.4440489016087668E-3</v>
      </c>
      <c r="AK38" s="2">
        <f t="shared" si="9"/>
        <v>1782.9302549362183</v>
      </c>
      <c r="AL38" s="2">
        <v>3.9513738711320912E-3</v>
      </c>
      <c r="AM38" s="2">
        <f t="shared" si="10"/>
        <v>2.1509245150242805E-5</v>
      </c>
      <c r="AN38" s="2">
        <f t="shared" si="11"/>
        <v>2.1511472582982243E-5</v>
      </c>
      <c r="AO38" s="2">
        <f t="shared" si="12"/>
        <v>0</v>
      </c>
    </row>
    <row r="39" spans="2:41" x14ac:dyDescent="0.2">
      <c r="J39" s="6" t="s">
        <v>57</v>
      </c>
      <c r="K39" s="6">
        <f>ROUND($C$13/$C$5 * 100, 2)</f>
        <v>33.65</v>
      </c>
      <c r="L39" s="6" t="s">
        <v>58</v>
      </c>
      <c r="AF39" s="2">
        <v>35</v>
      </c>
      <c r="AG39" s="2">
        <f t="shared" si="13"/>
        <v>1782.9302549362183</v>
      </c>
      <c r="AH39" s="2">
        <v>5.4437670462448295E-3</v>
      </c>
      <c r="AI39" s="2">
        <f t="shared" si="14"/>
        <v>1782.9302549362183</v>
      </c>
      <c r="AJ39" s="2">
        <v>5.4440489016087668E-3</v>
      </c>
      <c r="AK39" s="2">
        <f t="shared" si="9"/>
        <v>1782.9302549362183</v>
      </c>
      <c r="AL39" s="2">
        <v>3.9513738711320912E-3</v>
      </c>
      <c r="AM39" s="2">
        <f t="shared" si="10"/>
        <v>2.1510358867061741E-5</v>
      </c>
      <c r="AN39" s="2">
        <f t="shared" si="11"/>
        <v>2.1511472582982243E-5</v>
      </c>
      <c r="AO39" s="2">
        <f t="shared" si="12"/>
        <v>0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26.89</v>
      </c>
      <c r="L40" s="6" t="s">
        <v>58</v>
      </c>
      <c r="AF40" s="2">
        <v>36</v>
      </c>
      <c r="AG40" s="2">
        <f t="shared" si="13"/>
        <v>1782.9302549362183</v>
      </c>
      <c r="AH40" s="2">
        <v>5.443907973358364E-3</v>
      </c>
      <c r="AI40" s="2">
        <f t="shared" si="14"/>
        <v>1782.9302549362183</v>
      </c>
      <c r="AJ40" s="2">
        <v>5.4440489016087668E-3</v>
      </c>
      <c r="AK40" s="2">
        <f t="shared" si="9"/>
        <v>1782.9302549362183</v>
      </c>
      <c r="AL40" s="2">
        <v>3.9513738711320912E-3</v>
      </c>
      <c r="AM40" s="2">
        <f t="shared" si="10"/>
        <v>2.1510915722775896E-5</v>
      </c>
      <c r="AN40" s="2">
        <f t="shared" si="11"/>
        <v>2.1511472582982243E-5</v>
      </c>
      <c r="AO40" s="2">
        <f t="shared" si="12"/>
        <v>0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25.7</v>
      </c>
      <c r="L41" s="6" t="s">
        <v>58</v>
      </c>
      <c r="AF41" s="2">
        <v>37</v>
      </c>
      <c r="AG41" s="2">
        <f t="shared" si="13"/>
        <v>1782.9302549362183</v>
      </c>
      <c r="AH41" s="2">
        <v>5.4439784378246259E-3</v>
      </c>
      <c r="AI41" s="2">
        <f t="shared" si="14"/>
        <v>1782.9302549362183</v>
      </c>
      <c r="AJ41" s="2">
        <v>5.4440489016087668E-3</v>
      </c>
      <c r="AK41" s="2">
        <f t="shared" si="9"/>
        <v>1782.9302549362183</v>
      </c>
      <c r="AL41" s="2">
        <v>3.9513738711320912E-3</v>
      </c>
      <c r="AM41" s="2">
        <f t="shared" si="10"/>
        <v>2.1511194154226728E-5</v>
      </c>
      <c r="AN41" s="2">
        <f t="shared" si="11"/>
        <v>2.1511472582982243E-5</v>
      </c>
      <c r="AO41" s="2">
        <f t="shared" si="12"/>
        <v>0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9.01</v>
      </c>
      <c r="L42" s="6" t="s">
        <v>58</v>
      </c>
      <c r="AF42" s="2">
        <v>38</v>
      </c>
      <c r="AG42" s="2">
        <f t="shared" si="13"/>
        <v>1782.9302549362183</v>
      </c>
      <c r="AH42" s="2">
        <v>5.4440136693756358E-3</v>
      </c>
      <c r="AI42" s="2">
        <f t="shared" si="14"/>
        <v>1782.9302549362183</v>
      </c>
      <c r="AJ42" s="2">
        <v>5.4440489016087668E-3</v>
      </c>
      <c r="AK42" s="2">
        <f t="shared" si="9"/>
        <v>1782.9302549362183</v>
      </c>
      <c r="AL42" s="2">
        <v>3.9513738711320912E-3</v>
      </c>
      <c r="AM42" s="2">
        <f t="shared" si="10"/>
        <v>2.1511333367256825E-5</v>
      </c>
      <c r="AN42" s="2">
        <f t="shared" si="11"/>
        <v>2.1511472582982243E-5</v>
      </c>
      <c r="AO42" s="2">
        <f t="shared" si="12"/>
        <v>0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4.76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1782.9302549362183</v>
      </c>
      <c r="AH43" s="2">
        <v>5.4440312856058881E-3</v>
      </c>
      <c r="AI43" s="2">
        <f t="shared" si="14"/>
        <v>1782.9302549362183</v>
      </c>
      <c r="AJ43" s="2">
        <v>5.4440489016087668E-3</v>
      </c>
      <c r="AK43" s="2">
        <f t="shared" si="9"/>
        <v>1782.9302549362183</v>
      </c>
      <c r="AL43" s="2">
        <v>3.9513738711320912E-3</v>
      </c>
      <c r="AM43" s="2">
        <f t="shared" si="10"/>
        <v>2.1511402975568755E-5</v>
      </c>
      <c r="AN43" s="2">
        <f t="shared" si="11"/>
        <v>2.1511472582982243E-5</v>
      </c>
      <c r="AO43" s="2">
        <f t="shared" si="12"/>
        <v>0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1782.9302549362183</v>
      </c>
      <c r="AH44" s="2">
        <v>5.4440400931525801E-3</v>
      </c>
      <c r="AI44" s="2">
        <f t="shared" si="14"/>
        <v>1782.9302549362183</v>
      </c>
      <c r="AJ44" s="2">
        <v>5.4440489016087668E-3</v>
      </c>
      <c r="AK44" s="5">
        <f>(AG44+AI44)/2</f>
        <v>1782.9302549362183</v>
      </c>
      <c r="AL44" s="2">
        <v>3.9513738711320912E-3</v>
      </c>
      <c r="AM44" s="2">
        <f t="shared" si="10"/>
        <v>2.151143777747862E-5</v>
      </c>
      <c r="AN44" s="2">
        <f t="shared" si="11"/>
        <v>2.1511472582982243E-5</v>
      </c>
      <c r="AO44" s="2">
        <f t="shared" si="12"/>
        <v>0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1493.6099564751642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33.65</v>
      </c>
      <c r="L47" s="6" t="s">
        <v>58</v>
      </c>
      <c r="N47" s="6" t="s">
        <v>154</v>
      </c>
      <c r="O47" s="6">
        <f>0.377*O46^0.6945</f>
        <v>60.373879775251247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26.89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39.46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35" priority="1" operator="containsText" text="FALSE">
      <formula>NOT(ISERROR(SEARCH("FALSE",K28)))</formula>
    </cfRule>
    <cfRule type="containsText" dxfId="34" priority="2" operator="containsText" text="TRUE">
      <formula>NOT(ISERROR(SEARCH("TRUE",K28)))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NOT(ISERROR(SEARCH("YES",K28)))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2912-0727-5D49-BD7C-4F809A12D10B}">
  <dimension ref="B1:AO56"/>
  <sheetViews>
    <sheetView topLeftCell="B2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328.70235790513561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6.9990371649269828E-2</v>
      </c>
      <c r="X4" s="3">
        <v>1</v>
      </c>
      <c r="Y4" s="2">
        <f t="shared" ref="Y4:Y34" si="1" xml:space="preserve"> $O$20 * TAN($O$17/180*PI()) + $O$21 / (2 * SQRT($O$20^2 + X4^2)) - X4</f>
        <v>-0.93264829161168095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-0.43141147931610857</v>
      </c>
      <c r="AB4" s="2">
        <f>W4*AA4</f>
        <v>-3.0194649771095722E-2</v>
      </c>
      <c r="AC4" s="2">
        <f>Y4*AA4</f>
        <v>0.40235517916583668</v>
      </c>
      <c r="AD4" s="2">
        <f>X4-V4</f>
        <v>1</v>
      </c>
      <c r="AF4" s="2">
        <v>0</v>
      </c>
      <c r="AG4" s="2"/>
      <c r="AH4" s="2">
        <f>K27</f>
        <v>2.7761658811868983E-3</v>
      </c>
      <c r="AI4" s="2"/>
      <c r="AJ4" s="2">
        <f>K27</f>
        <v>2.7761658811868983E-3</v>
      </c>
      <c r="AK4" s="2"/>
      <c r="AL4" s="2">
        <f>K27</f>
        <v>2.7761658811868983E-3</v>
      </c>
      <c r="AM4" s="2"/>
      <c r="AN4" s="2"/>
      <c r="AO4" s="2"/>
    </row>
    <row r="5" spans="2:41" x14ac:dyDescent="0.2">
      <c r="B5" s="10" t="s">
        <v>37</v>
      </c>
      <c r="C5" s="10">
        <v>1631.7841775955001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82.175589476283903</v>
      </c>
      <c r="L5" s="6" t="s">
        <v>101</v>
      </c>
      <c r="N5" s="6" t="s">
        <v>114</v>
      </c>
      <c r="O5" s="6">
        <f xml:space="preserve"> $C$18 * 0.85 * ($C$5/$C$18 *2.20462/1000)^(2/3) * 0.3048^2</f>
        <v>0.29430647830910672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6.9990371649269828E-2</v>
      </c>
      <c r="X5" s="2">
        <f>IF(AC4&gt;0, Z4, X4)</f>
        <v>0.5</v>
      </c>
      <c r="Y5" s="2">
        <f t="shared" si="1"/>
        <v>-0.43141147931610857</v>
      </c>
      <c r="Z5" s="2">
        <f t="shared" ref="Z5:Z34" si="3" xml:space="preserve"> (V5 + X5)/2</f>
        <v>0.25</v>
      </c>
      <c r="AA5" s="2">
        <f t="shared" si="2"/>
        <v>-0.18051610792073072</v>
      </c>
      <c r="AB5" s="2">
        <f t="shared" ref="AB5:AB34" si="4">W5*AA5</f>
        <v>-1.2634389482051644E-2</v>
      </c>
      <c r="AC5" s="2">
        <f t="shared" ref="AC5:AC34" si="5">Y5*AA5</f>
        <v>7.7876721158468748E-2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-749.83433926091675</v>
      </c>
      <c r="AI5" s="3">
        <v>10000</v>
      </c>
      <c r="AJ5" s="2">
        <f t="dataTable" ref="AJ5:AJ44" dt2D="0" dtr="0" r1="C5" ca="1"/>
        <v>4547.4560246472665</v>
      </c>
      <c r="AK5" s="2">
        <f>(AG5+AI5)/2</f>
        <v>5250</v>
      </c>
      <c r="AL5" s="2">
        <f t="dataTable" ref="AL5:AL44" dt2D="0" dtr="0" r1="C5" ca="1"/>
        <v>2192.4202315470288</v>
      </c>
      <c r="AM5" s="2">
        <f>AH5*AL5</f>
        <v>-1643951.9757043326</v>
      </c>
      <c r="AN5" s="2">
        <f>AJ5*AL5</f>
        <v>9969934.590507092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6.9990371649269828E-2</v>
      </c>
      <c r="X6" s="2">
        <f t="shared" ref="X6:X34" si="8">IF(AC5&gt;0, Z5, X5)</f>
        <v>0.25</v>
      </c>
      <c r="Y6" s="2">
        <f t="shared" si="1"/>
        <v>-0.18051610792073072</v>
      </c>
      <c r="Z6" s="2">
        <f t="shared" si="3"/>
        <v>0.125</v>
      </c>
      <c r="AA6" s="2">
        <f t="shared" si="2"/>
        <v>-5.5153017717144606E-2</v>
      </c>
      <c r="AB6" s="2">
        <f t="shared" si="4"/>
        <v>-3.8601802076017144E-3</v>
      </c>
      <c r="AC6" s="2">
        <f t="shared" si="5"/>
        <v>9.9560080983820496E-3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-749.83433926091675</v>
      </c>
      <c r="AI6" s="2">
        <f>IF(AN5&gt;0, AK5, AI5)</f>
        <v>5250</v>
      </c>
      <c r="AJ6" s="2">
        <v>2192.4202315470288</v>
      </c>
      <c r="AK6" s="2">
        <f t="shared" ref="AK6:AK43" si="9">(AG6+AI6)/2</f>
        <v>2875</v>
      </c>
      <c r="AL6" s="2">
        <v>801.04569358998833</v>
      </c>
      <c r="AM6" s="2">
        <f t="shared" ref="AM6:AM44" si="10">AH6*AL6</f>
        <v>-600651.56837085169</v>
      </c>
      <c r="AN6" s="2">
        <f t="shared" ref="AN6:AN44" si="11">AJ6*AL6</f>
        <v>1756228.7850203125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328.866140954115</v>
      </c>
      <c r="D7" s="6" t="s">
        <v>125</v>
      </c>
      <c r="F7" t="s">
        <v>121</v>
      </c>
      <c r="G7" s="8">
        <f>$C$6*2*PI()/60*$C$9</f>
        <v>162.51463850850129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0.92458310164420277</v>
      </c>
      <c r="P7" s="6" t="s">
        <v>115</v>
      </c>
      <c r="U7" s="2">
        <v>3</v>
      </c>
      <c r="V7" s="2">
        <f t="shared" si="7"/>
        <v>0</v>
      </c>
      <c r="W7" s="2">
        <f t="shared" si="0"/>
        <v>6.9990371649269828E-2</v>
      </c>
      <c r="X7" s="2">
        <f t="shared" si="8"/>
        <v>0.125</v>
      </c>
      <c r="Y7" s="2">
        <f t="shared" si="1"/>
        <v>-5.5153017717144606E-2</v>
      </c>
      <c r="Z7" s="2">
        <f t="shared" si="3"/>
        <v>6.25E-2</v>
      </c>
      <c r="AA7" s="2">
        <f t="shared" si="2"/>
        <v>7.4532747590344006E-3</v>
      </c>
      <c r="AB7" s="2">
        <f t="shared" si="4"/>
        <v>5.2165747038893974E-4</v>
      </c>
      <c r="AC7" s="2">
        <f t="shared" si="5"/>
        <v>-4.1107059483577101E-4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-749.83433926091675</v>
      </c>
      <c r="AI7" s="2">
        <f t="shared" ref="AI7:AI44" si="14">IF(AN6&gt;0, AK6, AI6)</f>
        <v>2875</v>
      </c>
      <c r="AJ7" s="2">
        <v>801.04569358998833</v>
      </c>
      <c r="AK7" s="2">
        <f t="shared" si="9"/>
        <v>1687.5</v>
      </c>
      <c r="AL7" s="2">
        <v>37.856027263248052</v>
      </c>
      <c r="AM7" s="2">
        <f t="shared" si="10"/>
        <v>-28385.749189980852</v>
      </c>
      <c r="AN7" s="2">
        <f t="shared" si="11"/>
        <v>30324.407615650045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0.48669179910239274</v>
      </c>
      <c r="H8" s="6" t="s">
        <v>122</v>
      </c>
      <c r="J8" s="6" t="s">
        <v>96</v>
      </c>
      <c r="K8" s="6">
        <f xml:space="preserve"> $C$15 * (G12*G6 + G22*G15 + G31*G27 +G35*G34)/3600</f>
        <v>173.77801476060714</v>
      </c>
      <c r="L8" s="6" t="s">
        <v>102</v>
      </c>
      <c r="N8" s="6" t="s">
        <v>38</v>
      </c>
      <c r="O8" s="6">
        <f xml:space="preserve"> O4 *O7</f>
        <v>2096.4586997504916</v>
      </c>
      <c r="P8" s="6" t="s">
        <v>20</v>
      </c>
      <c r="U8" s="2">
        <v>4</v>
      </c>
      <c r="V8" s="2">
        <f t="shared" si="7"/>
        <v>6.25E-2</v>
      </c>
      <c r="W8" s="2">
        <f t="shared" si="0"/>
        <v>7.4532747590344006E-3</v>
      </c>
      <c r="X8" s="2">
        <f t="shared" si="8"/>
        <v>0.125</v>
      </c>
      <c r="Y8" s="2">
        <f t="shared" si="1"/>
        <v>-5.5153017717144606E-2</v>
      </c>
      <c r="Z8" s="2">
        <f t="shared" si="3"/>
        <v>9.375E-2</v>
      </c>
      <c r="AA8" s="2">
        <f t="shared" si="2"/>
        <v>-2.3841898844576617E-2</v>
      </c>
      <c r="AB8" s="2">
        <f t="shared" si="4"/>
        <v>-1.7770022286573434E-4</v>
      </c>
      <c r="AC8" s="2">
        <f t="shared" si="5"/>
        <v>1.3149526693853038E-3</v>
      </c>
      <c r="AD8" s="2">
        <f t="shared" si="6"/>
        <v>6.25E-2</v>
      </c>
      <c r="AF8" s="2">
        <v>4</v>
      </c>
      <c r="AG8" s="2">
        <f t="shared" si="13"/>
        <v>500</v>
      </c>
      <c r="AH8" s="2">
        <v>-749.83433926091675</v>
      </c>
      <c r="AI8" s="2">
        <f t="shared" si="14"/>
        <v>1687.5</v>
      </c>
      <c r="AJ8" s="2">
        <v>37.856027263248052</v>
      </c>
      <c r="AK8" s="2">
        <f t="shared" si="9"/>
        <v>1093.75</v>
      </c>
      <c r="AL8" s="2">
        <v>-363.66082980646081</v>
      </c>
      <c r="AM8" s="2">
        <f t="shared" si="10"/>
        <v>272685.37803300424</v>
      </c>
      <c r="AN8" s="2">
        <f t="shared" si="11"/>
        <v>-13766.754287728791</v>
      </c>
      <c r="AO8" s="2">
        <f t="shared" si="12"/>
        <v>1187.5</v>
      </c>
    </row>
    <row r="9" spans="2:41" x14ac:dyDescent="0.2">
      <c r="B9" s="6" t="s">
        <v>95</v>
      </c>
      <c r="C9" s="17">
        <v>3.8797512065130699</v>
      </c>
      <c r="D9" s="6" t="s">
        <v>8</v>
      </c>
      <c r="F9" t="s">
        <v>19</v>
      </c>
      <c r="G9" s="6">
        <f xml:space="preserve"> $C$5 * $C$44 / $C$18</f>
        <v>3998.4795611503764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2096.4586997504916</v>
      </c>
      <c r="P9" s="6" t="s">
        <v>20</v>
      </c>
      <c r="U9" s="2">
        <v>5</v>
      </c>
      <c r="V9" s="2">
        <f t="shared" si="7"/>
        <v>6.25E-2</v>
      </c>
      <c r="W9" s="2">
        <f t="shared" si="0"/>
        <v>7.4532747590344006E-3</v>
      </c>
      <c r="X9" s="2">
        <f t="shared" si="8"/>
        <v>9.375E-2</v>
      </c>
      <c r="Y9" s="2">
        <f t="shared" si="1"/>
        <v>-2.3841898844576617E-2</v>
      </c>
      <c r="Z9" s="2">
        <f t="shared" si="3"/>
        <v>7.8125E-2</v>
      </c>
      <c r="AA9" s="2">
        <f t="shared" si="2"/>
        <v>-8.1922147160894965E-3</v>
      </c>
      <c r="AB9" s="2">
        <f t="shared" si="4"/>
        <v>-6.1058827164020015E-5</v>
      </c>
      <c r="AC9" s="2">
        <f t="shared" si="5"/>
        <v>1.9531795457405774E-4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-363.66082980646081</v>
      </c>
      <c r="AI9" s="2">
        <f t="shared" si="14"/>
        <v>1687.5</v>
      </c>
      <c r="AJ9" s="2">
        <v>37.856027263248052</v>
      </c>
      <c r="AK9" s="2">
        <f t="shared" si="9"/>
        <v>1390.625</v>
      </c>
      <c r="AL9" s="2">
        <v>-163.56932520554392</v>
      </c>
      <c r="AM9" s="2">
        <f t="shared" si="10"/>
        <v>59483.756535130946</v>
      </c>
      <c r="AN9" s="2">
        <f t="shared" si="11"/>
        <v>-6192.0848344121578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41.433958885960926</v>
      </c>
      <c r="H10" s="6" t="s">
        <v>101</v>
      </c>
      <c r="N10" s="6" t="s">
        <v>113</v>
      </c>
      <c r="O10" s="6">
        <f>O7/(0.3048^2)/($C$5*2.20462/1000)^(2/3)</f>
        <v>4.2388858278697352</v>
      </c>
      <c r="U10" s="2">
        <v>6</v>
      </c>
      <c r="V10" s="2">
        <f t="shared" si="7"/>
        <v>6.25E-2</v>
      </c>
      <c r="W10" s="2">
        <f t="shared" si="0"/>
        <v>7.4532747590344006E-3</v>
      </c>
      <c r="X10" s="2">
        <f t="shared" si="8"/>
        <v>7.8125E-2</v>
      </c>
      <c r="Y10" s="2">
        <f t="shared" si="1"/>
        <v>-8.1922147160894965E-3</v>
      </c>
      <c r="Z10" s="2">
        <f t="shared" si="3"/>
        <v>7.03125E-2</v>
      </c>
      <c r="AA10" s="2">
        <f t="shared" si="2"/>
        <v>-3.6893414588314022E-4</v>
      </c>
      <c r="AB10" s="2">
        <f t="shared" si="4"/>
        <v>-2.7497675572567241E-6</v>
      </c>
      <c r="AC10" s="2">
        <f t="shared" si="5"/>
        <v>3.0223877391717704E-6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-163.56932520554392</v>
      </c>
      <c r="AI10" s="2">
        <f t="shared" si="14"/>
        <v>1687.5</v>
      </c>
      <c r="AJ10" s="2">
        <v>37.856027263248052</v>
      </c>
      <c r="AK10" s="2">
        <f t="shared" si="9"/>
        <v>1539.0625</v>
      </c>
      <c r="AL10" s="2">
        <v>-62.951417172139145</v>
      </c>
      <c r="AM10" s="2">
        <f t="shared" si="10"/>
        <v>10296.92082757949</v>
      </c>
      <c r="AN10" s="2">
        <f t="shared" si="11"/>
        <v>-2383.0905647286008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9.8456931311262998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6.25E-2</v>
      </c>
      <c r="W11" s="2">
        <f t="shared" si="0"/>
        <v>7.4532747590344006E-3</v>
      </c>
      <c r="X11" s="2">
        <f t="shared" si="8"/>
        <v>7.03125E-2</v>
      </c>
      <c r="Y11" s="2">
        <f t="shared" si="1"/>
        <v>-3.6893414588314022E-4</v>
      </c>
      <c r="Z11" s="2">
        <f t="shared" si="3"/>
        <v>6.640625E-2</v>
      </c>
      <c r="AA11" s="2">
        <f t="shared" si="2"/>
        <v>3.542305596310788E-3</v>
      </c>
      <c r="AB11" s="2">
        <f t="shared" si="4"/>
        <v>2.6401776889769496E-5</v>
      </c>
      <c r="AC11" s="2">
        <f t="shared" si="5"/>
        <v>-1.3068774896319883E-6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-62.951417172139145</v>
      </c>
      <c r="AI11" s="2">
        <f t="shared" si="14"/>
        <v>1687.5</v>
      </c>
      <c r="AJ11" s="2">
        <v>37.856027263248052</v>
      </c>
      <c r="AK11" s="2">
        <f t="shared" si="9"/>
        <v>1613.28125</v>
      </c>
      <c r="AL11" s="2">
        <v>-12.564528295334412</v>
      </c>
      <c r="AM11" s="2">
        <f t="shared" si="10"/>
        <v>790.95486229074288</v>
      </c>
      <c r="AN11" s="2">
        <f t="shared" si="11"/>
        <v>-475.6431256980311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165.73583554384371</v>
      </c>
      <c r="H12" s="25" t="s">
        <v>101</v>
      </c>
      <c r="J12" s="10" t="s">
        <v>79</v>
      </c>
      <c r="K12" s="6">
        <f>C5</f>
        <v>1631.7841775955001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6.640625E-2</v>
      </c>
      <c r="W12" s="2">
        <f t="shared" si="0"/>
        <v>3.542305596310788E-3</v>
      </c>
      <c r="X12" s="2">
        <f t="shared" si="8"/>
        <v>7.03125E-2</v>
      </c>
      <c r="Y12" s="2">
        <f t="shared" si="1"/>
        <v>-3.6893414588314022E-4</v>
      </c>
      <c r="Z12" s="2">
        <f t="shared" si="3"/>
        <v>6.8359375E-2</v>
      </c>
      <c r="AA12" s="2">
        <f t="shared" si="2"/>
        <v>1.5867193861347079E-3</v>
      </c>
      <c r="AB12" s="2">
        <f t="shared" si="4"/>
        <v>5.6206449612797936E-6</v>
      </c>
      <c r="AC12" s="2">
        <f t="shared" si="5"/>
        <v>-5.85394961479829E-7</v>
      </c>
      <c r="AD12" s="2">
        <f t="shared" si="6"/>
        <v>3.90625E-3</v>
      </c>
      <c r="AF12" s="2">
        <v>8</v>
      </c>
      <c r="AG12" s="2">
        <f t="shared" si="13"/>
        <v>1613.28125</v>
      </c>
      <c r="AH12" s="2">
        <v>-12.564528295334412</v>
      </c>
      <c r="AI12" s="2">
        <f t="shared" si="14"/>
        <v>1687.5</v>
      </c>
      <c r="AJ12" s="2">
        <v>37.856027263248052</v>
      </c>
      <c r="AK12" s="2">
        <f t="shared" si="9"/>
        <v>1650.390625</v>
      </c>
      <c r="AL12" s="2">
        <v>12.642303722351926</v>
      </c>
      <c r="AM12" s="2">
        <f t="shared" si="10"/>
        <v>-158.84458283770235</v>
      </c>
      <c r="AN12" s="2">
        <f t="shared" si="11"/>
        <v>478.58739438361681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365.07986294245194</v>
      </c>
      <c r="L13" s="6" t="s">
        <v>7</v>
      </c>
      <c r="N13" s="6" t="s">
        <v>74</v>
      </c>
      <c r="O13" s="6">
        <f xml:space="preserve"> SQRT( ($C$5*$C$50)^2 + O9^2)</f>
        <v>16129.216530067721</v>
      </c>
      <c r="P13" s="6" t="s">
        <v>20</v>
      </c>
      <c r="U13" s="2">
        <v>9</v>
      </c>
      <c r="V13" s="2">
        <f t="shared" si="7"/>
        <v>6.8359375E-2</v>
      </c>
      <c r="W13" s="2">
        <f t="shared" si="0"/>
        <v>1.5867193861347079E-3</v>
      </c>
      <c r="X13" s="2">
        <f t="shared" si="8"/>
        <v>7.03125E-2</v>
      </c>
      <c r="Y13" s="2">
        <f t="shared" si="1"/>
        <v>-3.6893414588314022E-4</v>
      </c>
      <c r="Z13" s="2">
        <f t="shared" si="3"/>
        <v>6.93359375E-2</v>
      </c>
      <c r="AA13" s="2">
        <f t="shared" si="2"/>
        <v>6.0890101472935165E-4</v>
      </c>
      <c r="AB13" s="2">
        <f t="shared" si="4"/>
        <v>9.6615504430815751E-7</v>
      </c>
      <c r="AC13" s="2">
        <f t="shared" si="5"/>
        <v>-2.2464437579655073E-7</v>
      </c>
      <c r="AD13" s="2">
        <f t="shared" si="6"/>
        <v>1.953125E-3</v>
      </c>
      <c r="AF13" s="2">
        <v>9</v>
      </c>
      <c r="AG13" s="2">
        <f t="shared" si="13"/>
        <v>1613.28125</v>
      </c>
      <c r="AH13" s="2">
        <v>-12.564528295334412</v>
      </c>
      <c r="AI13" s="2">
        <f t="shared" si="14"/>
        <v>1650.390625</v>
      </c>
      <c r="AJ13" s="2">
        <v>12.642303722351926</v>
      </c>
      <c r="AK13" s="2">
        <f t="shared" si="9"/>
        <v>1631.8359375</v>
      </c>
      <c r="AL13" s="2">
        <v>3.7933093586616451E-2</v>
      </c>
      <c r="AM13" s="2">
        <f t="shared" si="10"/>
        <v>-0.4766114276986107</v>
      </c>
      <c r="AN13" s="2">
        <f t="shared" si="11"/>
        <v>0.47956169025040513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116.41404562851467</v>
      </c>
      <c r="L14" s="6" t="s">
        <v>7</v>
      </c>
      <c r="N14" s="6" t="s">
        <v>75</v>
      </c>
      <c r="O14" s="6">
        <f>$C$5*$C$50/O13</f>
        <v>0.9915167529673915</v>
      </c>
      <c r="U14" s="2">
        <v>10</v>
      </c>
      <c r="V14" s="2">
        <f t="shared" si="7"/>
        <v>6.93359375E-2</v>
      </c>
      <c r="W14" s="2">
        <f t="shared" si="0"/>
        <v>6.0890101472935165E-4</v>
      </c>
      <c r="X14" s="2">
        <f t="shared" si="8"/>
        <v>7.03125E-2</v>
      </c>
      <c r="Y14" s="2">
        <f t="shared" si="1"/>
        <v>-3.6893414588314022E-4</v>
      </c>
      <c r="Z14" s="2">
        <f t="shared" si="3"/>
        <v>6.982421875E-2</v>
      </c>
      <c r="AA14" s="2">
        <f t="shared" si="2"/>
        <v>1.1998553046863036E-4</v>
      </c>
      <c r="AB14" s="2">
        <f t="shared" si="4"/>
        <v>7.3059311255188563E-8</v>
      </c>
      <c r="AC14" s="2">
        <f t="shared" si="5"/>
        <v>-4.4266759201779641E-8</v>
      </c>
      <c r="AD14" s="2">
        <f t="shared" si="6"/>
        <v>9.765625E-4</v>
      </c>
      <c r="AF14" s="2">
        <v>10</v>
      </c>
      <c r="AG14" s="2">
        <f t="shared" si="13"/>
        <v>1613.28125</v>
      </c>
      <c r="AH14" s="2">
        <v>-12.564528295334412</v>
      </c>
      <c r="AI14" s="2">
        <f t="shared" si="14"/>
        <v>1631.8359375</v>
      </c>
      <c r="AJ14" s="2">
        <v>3.7933093586616451E-2</v>
      </c>
      <c r="AK14" s="2">
        <f t="shared" si="9"/>
        <v>1622.55859375</v>
      </c>
      <c r="AL14" s="2">
        <v>-6.263548936802863</v>
      </c>
      <c r="AM14" s="2">
        <f t="shared" si="10"/>
        <v>78.698537845671339</v>
      </c>
      <c r="AN14" s="2">
        <f t="shared" si="11"/>
        <v>-0.23759578800409498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230.72341165560115</v>
      </c>
      <c r="L15" s="6" t="s">
        <v>7</v>
      </c>
      <c r="U15" s="2">
        <v>11</v>
      </c>
      <c r="V15" s="2">
        <f t="shared" si="7"/>
        <v>6.982421875E-2</v>
      </c>
      <c r="W15" s="2">
        <f t="shared" si="0"/>
        <v>1.1998553046863036E-4</v>
      </c>
      <c r="X15" s="2">
        <f t="shared" si="8"/>
        <v>7.03125E-2</v>
      </c>
      <c r="Y15" s="2">
        <f t="shared" si="1"/>
        <v>-3.6893414588314022E-4</v>
      </c>
      <c r="Z15" s="2">
        <f t="shared" si="3"/>
        <v>7.0068359375E-2</v>
      </c>
      <c r="AA15" s="2">
        <f t="shared" si="2"/>
        <v>-1.2447378402323517E-4</v>
      </c>
      <c r="AB15" s="2">
        <f t="shared" si="4"/>
        <v>-1.4935053005465597E-8</v>
      </c>
      <c r="AC15" s="2">
        <f t="shared" si="5"/>
        <v>4.5922629193454733E-8</v>
      </c>
      <c r="AD15" s="2">
        <f t="shared" si="6"/>
        <v>4.8828125E-4</v>
      </c>
      <c r="AF15" s="2">
        <v>11</v>
      </c>
      <c r="AG15" s="2">
        <f t="shared" si="13"/>
        <v>1622.55859375</v>
      </c>
      <c r="AH15" s="2">
        <v>-6.263548936802863</v>
      </c>
      <c r="AI15" s="2">
        <f t="shared" si="14"/>
        <v>1631.8359375</v>
      </c>
      <c r="AJ15" s="2">
        <v>3.7933093586616451E-2</v>
      </c>
      <c r="AK15" s="2">
        <f t="shared" si="9"/>
        <v>1627.197265625</v>
      </c>
      <c r="AL15" s="2">
        <v>-3.1128686054805712</v>
      </c>
      <c r="AM15" s="2">
        <f t="shared" si="10"/>
        <v>19.497604844264842</v>
      </c>
      <c r="AN15" s="2">
        <f t="shared" si="11"/>
        <v>-0.11808073613453475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133.61390503710959</v>
      </c>
      <c r="H16" s="6" t="s">
        <v>10</v>
      </c>
      <c r="J16" s="13" t="s">
        <v>53</v>
      </c>
      <c r="K16" s="6">
        <f xml:space="preserve"> $C$54 * 0.2138 * K4</f>
        <v>56.221251296094394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6.982421875E-2</v>
      </c>
      <c r="W16" s="2">
        <f t="shared" si="0"/>
        <v>1.1998553046863036E-4</v>
      </c>
      <c r="X16" s="2">
        <f t="shared" si="8"/>
        <v>7.0068359375E-2</v>
      </c>
      <c r="Y16" s="2">
        <f t="shared" si="1"/>
        <v>-1.2447378402323517E-4</v>
      </c>
      <c r="Z16" s="2">
        <f t="shared" si="3"/>
        <v>6.99462890625E-2</v>
      </c>
      <c r="AA16" s="2">
        <f t="shared" si="2"/>
        <v>-2.2439958153042117E-6</v>
      </c>
      <c r="AB16" s="2">
        <f t="shared" si="4"/>
        <v>-2.6924702826866252E-10</v>
      </c>
      <c r="AC16" s="2">
        <f t="shared" si="5"/>
        <v>2.7931865046321996E-10</v>
      </c>
      <c r="AD16" s="2">
        <f t="shared" si="6"/>
        <v>2.44140625E-4</v>
      </c>
      <c r="AF16" s="2">
        <v>12</v>
      </c>
      <c r="AG16" s="2">
        <f t="shared" si="13"/>
        <v>1627.197265625</v>
      </c>
      <c r="AH16" s="2">
        <v>-3.1128686054805712</v>
      </c>
      <c r="AI16" s="2">
        <f t="shared" si="14"/>
        <v>1631.8359375</v>
      </c>
      <c r="AJ16" s="2">
        <v>3.7933093586616451E-2</v>
      </c>
      <c r="AK16" s="2">
        <f t="shared" si="9"/>
        <v>1629.5166015625</v>
      </c>
      <c r="AL16" s="2">
        <v>-1.5374803072033956</v>
      </c>
      <c r="AM16" s="2">
        <f t="shared" si="10"/>
        <v>4.7859741798380746</v>
      </c>
      <c r="AN16" s="2">
        <f t="shared" si="11"/>
        <v>-5.8321384380726218E-2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0.40157850869226797</v>
      </c>
      <c r="H17" s="6" t="s">
        <v>122</v>
      </c>
      <c r="J17" s="13" t="s">
        <v>77</v>
      </c>
      <c r="K17" s="6">
        <f xml:space="preserve"> $C$54 * 0.1149 * K4</f>
        <v>30.214320738640065</v>
      </c>
      <c r="L17" s="6" t="s">
        <v>7</v>
      </c>
      <c r="N17" s="6" t="s">
        <v>25</v>
      </c>
      <c r="O17" s="6">
        <f xml:space="preserve"> ACOS(O14)/PI()*180</f>
        <v>7.4683761734180099</v>
      </c>
      <c r="P17" s="6" t="s">
        <v>40</v>
      </c>
      <c r="U17" s="2">
        <v>13</v>
      </c>
      <c r="V17" s="2">
        <f t="shared" si="7"/>
        <v>6.982421875E-2</v>
      </c>
      <c r="W17" s="2">
        <f t="shared" si="0"/>
        <v>1.1998553046863036E-4</v>
      </c>
      <c r="X17" s="2">
        <f t="shared" si="8"/>
        <v>6.99462890625E-2</v>
      </c>
      <c r="Y17" s="2">
        <f t="shared" si="1"/>
        <v>-2.2439958153042117E-6</v>
      </c>
      <c r="Z17" s="2">
        <f t="shared" si="3"/>
        <v>6.988525390625E-2</v>
      </c>
      <c r="AA17" s="2">
        <f t="shared" si="2"/>
        <v>5.8870800072274854E-5</v>
      </c>
      <c r="AB17" s="2">
        <f t="shared" si="4"/>
        <v>7.0636441757845807E-9</v>
      </c>
      <c r="AC17" s="2">
        <f t="shared" si="5"/>
        <v>-1.3210582900579565E-10</v>
      </c>
      <c r="AD17" s="2">
        <f t="shared" si="6"/>
        <v>1.220703125E-4</v>
      </c>
      <c r="AF17" s="2">
        <v>13</v>
      </c>
      <c r="AG17" s="2">
        <f t="shared" si="13"/>
        <v>1629.5166015625</v>
      </c>
      <c r="AH17" s="2">
        <v>-1.5374803072033956</v>
      </c>
      <c r="AI17" s="2">
        <f t="shared" si="14"/>
        <v>1631.8359375</v>
      </c>
      <c r="AJ17" s="2">
        <v>3.7933093586616451E-2</v>
      </c>
      <c r="AK17" s="2">
        <f t="shared" si="9"/>
        <v>1630.67626953125</v>
      </c>
      <c r="AL17" s="2">
        <v>-0.74977816037721823</v>
      </c>
      <c r="AM17" s="2">
        <f t="shared" si="10"/>
        <v>1.1527691563511622</v>
      </c>
      <c r="AN17" s="2">
        <f t="shared" si="11"/>
        <v>-2.8441405126790137E-2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4032.3041325169302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126.25177464860235</v>
      </c>
      <c r="L18" s="6" t="s">
        <v>7</v>
      </c>
      <c r="N18" s="6" t="s">
        <v>19</v>
      </c>
      <c r="O18" s="6">
        <f xml:space="preserve"> O13 / $C$18</f>
        <v>4032.3041325169302</v>
      </c>
      <c r="P18" s="6" t="s">
        <v>20</v>
      </c>
      <c r="U18" s="2">
        <v>14</v>
      </c>
      <c r="V18" s="2">
        <f t="shared" si="7"/>
        <v>6.988525390625E-2</v>
      </c>
      <c r="W18" s="2">
        <f t="shared" si="0"/>
        <v>5.8870800072274854E-5</v>
      </c>
      <c r="X18" s="2">
        <f t="shared" si="8"/>
        <v>6.99462890625E-2</v>
      </c>
      <c r="Y18" s="2">
        <f t="shared" si="1"/>
        <v>-2.2439958153042117E-6</v>
      </c>
      <c r="Z18" s="2">
        <f t="shared" si="3"/>
        <v>6.9915771484375E-2</v>
      </c>
      <c r="AA18" s="2">
        <f t="shared" si="2"/>
        <v>2.8313410314256826E-5</v>
      </c>
      <c r="AB18" s="2">
        <f t="shared" si="4"/>
        <v>1.6668331179748982E-9</v>
      </c>
      <c r="AC18" s="2">
        <f t="shared" si="5"/>
        <v>-6.3535174262183426E-11</v>
      </c>
      <c r="AD18" s="2">
        <f t="shared" si="6"/>
        <v>6.103515625E-5</v>
      </c>
      <c r="AF18" s="2">
        <v>14</v>
      </c>
      <c r="AG18" s="2">
        <f t="shared" si="13"/>
        <v>1630.67626953125</v>
      </c>
      <c r="AH18" s="2">
        <v>-0.74977816037721823</v>
      </c>
      <c r="AI18" s="2">
        <f t="shared" si="14"/>
        <v>1631.8359375</v>
      </c>
      <c r="AJ18" s="2">
        <v>3.7933093586616451E-2</v>
      </c>
      <c r="AK18" s="2">
        <f t="shared" si="9"/>
        <v>1631.256103515625</v>
      </c>
      <c r="AL18" s="2">
        <v>-0.35592084937661639</v>
      </c>
      <c r="AM18" s="2">
        <f t="shared" si="10"/>
        <v>0.2668616796854964</v>
      </c>
      <c r="AN18" s="2">
        <f t="shared" si="11"/>
        <v>-1.3501178888831207E-2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54.7837263175226</v>
      </c>
      <c r="H19" s="6" t="s">
        <v>101</v>
      </c>
      <c r="J19" s="14" t="s">
        <v>61</v>
      </c>
      <c r="K19" s="6">
        <f xml:space="preserve"> $C$55 * C31 * $C$5</f>
        <v>18.275982789069605</v>
      </c>
      <c r="L19" s="6" t="s">
        <v>7</v>
      </c>
      <c r="N19" s="6" t="s">
        <v>26</v>
      </c>
      <c r="O19" s="6">
        <f>$C$7*2*PI()/60</f>
        <v>34.438781747862436</v>
      </c>
      <c r="P19" s="6" t="s">
        <v>27</v>
      </c>
      <c r="U19" s="2">
        <v>15</v>
      </c>
      <c r="V19" s="2">
        <f t="shared" si="7"/>
        <v>6.9915771484375E-2</v>
      </c>
      <c r="W19" s="2">
        <f t="shared" si="0"/>
        <v>2.8313410314256826E-5</v>
      </c>
      <c r="X19" s="2">
        <f t="shared" si="8"/>
        <v>6.99462890625E-2</v>
      </c>
      <c r="Y19" s="2">
        <f t="shared" si="1"/>
        <v>-2.2439958153042117E-6</v>
      </c>
      <c r="Z19" s="2">
        <f t="shared" si="3"/>
        <v>6.99310302734375E-2</v>
      </c>
      <c r="AA19" s="2">
        <f t="shared" si="2"/>
        <v>1.3034709295839386E-5</v>
      </c>
      <c r="AB19" s="2">
        <f t="shared" si="4"/>
        <v>3.6905707262015822E-10</v>
      </c>
      <c r="AC19" s="2">
        <f t="shared" si="5"/>
        <v>-2.9249833113570492E-11</v>
      </c>
      <c r="AD19" s="2">
        <f t="shared" si="6"/>
        <v>3.0517578125E-5</v>
      </c>
      <c r="AF19" s="2">
        <v>15</v>
      </c>
      <c r="AG19" s="2">
        <f t="shared" si="13"/>
        <v>1631.256103515625</v>
      </c>
      <c r="AH19" s="2">
        <v>-0.35592084937661639</v>
      </c>
      <c r="AI19" s="2">
        <f t="shared" si="14"/>
        <v>1631.8359375</v>
      </c>
      <c r="AJ19" s="2">
        <v>3.7933093586616451E-2</v>
      </c>
      <c r="AK19" s="2">
        <f t="shared" si="9"/>
        <v>1631.5460205078125</v>
      </c>
      <c r="AL19" s="2">
        <v>-0.15899456898364406</v>
      </c>
      <c r="AM19" s="2">
        <f t="shared" si="10"/>
        <v>5.6589482038927622E-2</v>
      </c>
      <c r="AN19" s="2">
        <f t="shared" si="11"/>
        <v>-6.0311558650203156E-3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7.510193050763017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0.49760649812993213</v>
      </c>
      <c r="U20" s="2">
        <v>16</v>
      </c>
      <c r="V20" s="2">
        <f t="shared" si="7"/>
        <v>6.99310302734375E-2</v>
      </c>
      <c r="W20" s="2">
        <f t="shared" si="0"/>
        <v>1.3034709295839386E-5</v>
      </c>
      <c r="X20" s="2">
        <f t="shared" si="8"/>
        <v>6.99462890625E-2</v>
      </c>
      <c r="Y20" s="2">
        <f t="shared" si="1"/>
        <v>-2.2439958153042117E-6</v>
      </c>
      <c r="Z20" s="2">
        <f t="shared" si="3"/>
        <v>6.993865966796875E-2</v>
      </c>
      <c r="AA20" s="2">
        <f t="shared" si="2"/>
        <v>5.3953572518444792E-6</v>
      </c>
      <c r="AB20" s="2">
        <f t="shared" si="4"/>
        <v>7.0326913324991675E-11</v>
      </c>
      <c r="AC20" s="2">
        <f t="shared" si="5"/>
        <v>-1.2107159095210244E-11</v>
      </c>
      <c r="AD20" s="2">
        <f t="shared" si="6"/>
        <v>1.52587890625E-5</v>
      </c>
      <c r="AF20" s="2">
        <v>16</v>
      </c>
      <c r="AG20" s="2">
        <f t="shared" si="13"/>
        <v>1631.5460205078125</v>
      </c>
      <c r="AH20" s="2">
        <v>-0.15899456898364406</v>
      </c>
      <c r="AI20" s="2">
        <f t="shared" si="14"/>
        <v>1631.8359375</v>
      </c>
      <c r="AJ20" s="2">
        <v>3.7933093586616451E-2</v>
      </c>
      <c r="AK20" s="2">
        <f t="shared" si="9"/>
        <v>1631.6909790039062</v>
      </c>
      <c r="AL20" s="2">
        <v>-6.0532584802331257E-2</v>
      </c>
      <c r="AM20" s="2">
        <f t="shared" si="10"/>
        <v>9.6243522301125411E-3</v>
      </c>
      <c r="AN20" s="2">
        <f t="shared" si="11"/>
        <v>-2.2961882043466284E-3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7.7128505699100278E-2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4.735842736439985E-3</v>
      </c>
      <c r="U21" s="2">
        <v>17</v>
      </c>
      <c r="V21" s="2">
        <f t="shared" si="7"/>
        <v>6.993865966796875E-2</v>
      </c>
      <c r="W21" s="2">
        <f t="shared" si="0"/>
        <v>5.3953572518444792E-6</v>
      </c>
      <c r="X21" s="2">
        <f t="shared" si="8"/>
        <v>6.99462890625E-2</v>
      </c>
      <c r="Y21" s="2">
        <f t="shared" si="1"/>
        <v>-2.2439958153042117E-6</v>
      </c>
      <c r="Z21" s="2">
        <f t="shared" si="3"/>
        <v>6.9942474365234375E-2</v>
      </c>
      <c r="AA21" s="2">
        <f t="shared" si="2"/>
        <v>1.5756808461608873E-6</v>
      </c>
      <c r="AB21" s="2">
        <f t="shared" si="4"/>
        <v>8.5013610799265886E-12</v>
      </c>
      <c r="AC21" s="2">
        <f t="shared" si="5"/>
        <v>-3.5358212250400303E-12</v>
      </c>
      <c r="AD21" s="2">
        <f t="shared" si="6"/>
        <v>7.62939453125E-6</v>
      </c>
      <c r="AF21" s="2">
        <v>17</v>
      </c>
      <c r="AG21" s="2">
        <f t="shared" si="13"/>
        <v>1631.6909790039062</v>
      </c>
      <c r="AH21" s="2">
        <v>-6.0532584802331257E-2</v>
      </c>
      <c r="AI21" s="2">
        <f t="shared" si="14"/>
        <v>1631.8359375</v>
      </c>
      <c r="AJ21" s="2">
        <v>3.7933093586616451E-2</v>
      </c>
      <c r="AK21" s="2">
        <f t="shared" si="9"/>
        <v>1631.7634582519531</v>
      </c>
      <c r="AL21" s="2">
        <v>-1.1300207380600114E-2</v>
      </c>
      <c r="AM21" s="2">
        <f t="shared" si="10"/>
        <v>6.8403076155010593E-4</v>
      </c>
      <c r="AN21" s="2">
        <f t="shared" si="11"/>
        <v>-4.2865182411647808E-4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219.1349052700904</v>
      </c>
      <c r="H22" s="25" t="s">
        <v>101</v>
      </c>
      <c r="J22" s="14" t="s">
        <v>112</v>
      </c>
      <c r="K22" s="6">
        <f>$C$55*(0.14*$G$12*1000/745.7)*0.453592</f>
        <v>11.291085290320977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6.9942474365234375E-2</v>
      </c>
      <c r="W22" s="2">
        <f t="shared" si="0"/>
        <v>1.5756808461608873E-6</v>
      </c>
      <c r="X22" s="2">
        <f t="shared" si="8"/>
        <v>6.99462890625E-2</v>
      </c>
      <c r="Y22" s="2">
        <f t="shared" si="1"/>
        <v>-2.2439958153042117E-6</v>
      </c>
      <c r="Z22" s="2">
        <f t="shared" si="3"/>
        <v>6.9944381713867188E-2</v>
      </c>
      <c r="AA22" s="2">
        <f t="shared" si="2"/>
        <v>-3.3415745259723906E-7</v>
      </c>
      <c r="AB22" s="2">
        <f t="shared" si="4"/>
        <v>-5.2652549765938422E-13</v>
      </c>
      <c r="AC22" s="2">
        <f t="shared" si="5"/>
        <v>7.498479252809199E-13</v>
      </c>
      <c r="AD22" s="2">
        <f t="shared" si="6"/>
        <v>3.814697265625E-6</v>
      </c>
      <c r="AF22" s="2">
        <v>18</v>
      </c>
      <c r="AG22" s="2">
        <f t="shared" si="13"/>
        <v>1631.7634582519531</v>
      </c>
      <c r="AH22" s="2">
        <v>-1.1300207380600114E-2</v>
      </c>
      <c r="AI22" s="2">
        <f t="shared" si="14"/>
        <v>1631.8359375</v>
      </c>
      <c r="AJ22" s="2">
        <v>3.7933093586616451E-2</v>
      </c>
      <c r="AK22" s="2">
        <f t="shared" si="9"/>
        <v>1631.7996978759766</v>
      </c>
      <c r="AL22" s="2">
        <v>1.3316327660504612E-2</v>
      </c>
      <c r="AM22" s="2">
        <f t="shared" si="10"/>
        <v>-1.5047726411172366E-4</v>
      </c>
      <c r="AN22" s="2">
        <f t="shared" si="11"/>
        <v>5.0512950337597078E-4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34.985452767647523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16719.01046865997</v>
      </c>
      <c r="P23" s="6" t="s">
        <v>18</v>
      </c>
      <c r="U23" s="2">
        <v>19</v>
      </c>
      <c r="V23" s="2">
        <f t="shared" si="7"/>
        <v>6.9942474365234375E-2</v>
      </c>
      <c r="W23" s="2">
        <f t="shared" si="0"/>
        <v>1.5756808461608873E-6</v>
      </c>
      <c r="X23" s="2">
        <f t="shared" si="8"/>
        <v>6.9944381713867188E-2</v>
      </c>
      <c r="Y23" s="2">
        <f t="shared" si="1"/>
        <v>-3.3415745259723906E-7</v>
      </c>
      <c r="Z23" s="2">
        <f t="shared" si="3"/>
        <v>6.9943428039550781E-2</v>
      </c>
      <c r="AA23" s="2">
        <f t="shared" si="2"/>
        <v>6.2076170477542991E-7</v>
      </c>
      <c r="AB23" s="2">
        <f t="shared" si="4"/>
        <v>9.7812232824482437E-13</v>
      </c>
      <c r="AC23" s="2">
        <f t="shared" si="5"/>
        <v>-2.0743214993767702E-13</v>
      </c>
      <c r="AD23" s="2">
        <f t="shared" si="6"/>
        <v>1.9073486328125E-6</v>
      </c>
      <c r="AF23" s="2">
        <v>19</v>
      </c>
      <c r="AG23" s="2">
        <f t="shared" si="13"/>
        <v>1631.7634582519531</v>
      </c>
      <c r="AH23" s="2">
        <v>-1.1300207380600114E-2</v>
      </c>
      <c r="AI23" s="2">
        <f t="shared" si="14"/>
        <v>1631.7996978759766</v>
      </c>
      <c r="AJ23" s="2">
        <v>1.3316327660504612E-2</v>
      </c>
      <c r="AK23" s="2">
        <f t="shared" si="9"/>
        <v>1631.7815780639648</v>
      </c>
      <c r="AL23" s="2">
        <v>1.0080312795253121E-3</v>
      </c>
      <c r="AM23" s="2">
        <f t="shared" si="10"/>
        <v>-1.1390962504767709E-5</v>
      </c>
      <c r="AN23" s="2">
        <f t="shared" si="11"/>
        <v>1.342327481019677E-5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6.9638883233347233</v>
      </c>
      <c r="L24" s="6" t="s">
        <v>7</v>
      </c>
      <c r="N24" s="6" t="s">
        <v>31</v>
      </c>
      <c r="O24" s="18">
        <f>Z34</f>
        <v>6.9944047834724188E-2</v>
      </c>
      <c r="U24" s="2">
        <v>20</v>
      </c>
      <c r="V24" s="2">
        <f t="shared" si="7"/>
        <v>6.9943428039550781E-2</v>
      </c>
      <c r="W24" s="2">
        <f t="shared" si="0"/>
        <v>6.2076170477542991E-7</v>
      </c>
      <c r="X24" s="2">
        <f t="shared" si="8"/>
        <v>6.9944381713867188E-2</v>
      </c>
      <c r="Y24" s="2">
        <f t="shared" si="1"/>
        <v>-3.3415745259723906E-7</v>
      </c>
      <c r="Z24" s="2">
        <f t="shared" si="3"/>
        <v>6.9943904876708984E-2</v>
      </c>
      <c r="AA24" s="2">
        <f t="shared" si="2"/>
        <v>1.4330212809443577E-7</v>
      </c>
      <c r="AB24" s="2">
        <f t="shared" si="4"/>
        <v>8.8956473333848981E-14</v>
      </c>
      <c r="AC24" s="2">
        <f t="shared" si="5"/>
        <v>-4.7885474075799902E-14</v>
      </c>
      <c r="AD24" s="2">
        <f t="shared" si="6"/>
        <v>9.5367431640625E-7</v>
      </c>
      <c r="AF24" s="2">
        <v>20</v>
      </c>
      <c r="AG24" s="2">
        <f t="shared" si="13"/>
        <v>1631.7634582519531</v>
      </c>
      <c r="AH24" s="2">
        <v>-1.1300207380600114E-2</v>
      </c>
      <c r="AI24" s="2">
        <f t="shared" si="14"/>
        <v>1631.7815780639648</v>
      </c>
      <c r="AJ24" s="2">
        <v>1.0080312795253121E-3</v>
      </c>
      <c r="AK24" s="2">
        <f t="shared" si="9"/>
        <v>1631.772518157959</v>
      </c>
      <c r="AL24" s="2">
        <v>-5.1438620873796026E-3</v>
      </c>
      <c r="AM24" s="2">
        <f t="shared" si="10"/>
        <v>5.8126708324596092E-5</v>
      </c>
      <c r="AN24" s="2">
        <f t="shared" si="11"/>
        <v>-5.1851738816430034E-6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10.4434187366112</v>
      </c>
      <c r="L25" s="6" t="s">
        <v>7</v>
      </c>
      <c r="N25" s="6" t="s">
        <v>32</v>
      </c>
      <c r="O25" s="6">
        <f xml:space="preserve"> O19 * $C$9 * O24 - $C$8 * SIN(O17/180*PI())</f>
        <v>0.62962859954786232</v>
      </c>
      <c r="P25" s="6" t="s">
        <v>10</v>
      </c>
      <c r="U25" s="2">
        <v>21</v>
      </c>
      <c r="V25" s="2">
        <f t="shared" si="7"/>
        <v>6.9943904876708984E-2</v>
      </c>
      <c r="W25" s="2">
        <f t="shared" si="0"/>
        <v>1.4330212809443577E-7</v>
      </c>
      <c r="X25" s="2">
        <f t="shared" si="8"/>
        <v>6.9944381713867188E-2</v>
      </c>
      <c r="Y25" s="2">
        <f t="shared" si="1"/>
        <v>-3.3415745259723906E-7</v>
      </c>
      <c r="Z25" s="2">
        <f t="shared" si="3"/>
        <v>6.9944143295288086E-2</v>
      </c>
      <c r="AA25" s="2">
        <f t="shared" si="2"/>
        <v>-9.5427661744862391E-8</v>
      </c>
      <c r="AB25" s="2">
        <f t="shared" si="4"/>
        <v>-1.3674987007114759E-14</v>
      </c>
      <c r="AC25" s="2">
        <f t="shared" si="5"/>
        <v>3.1887864355974219E-14</v>
      </c>
      <c r="AD25" s="2">
        <f t="shared" si="6"/>
        <v>4.76837158203125E-7</v>
      </c>
      <c r="AF25" s="2">
        <v>21</v>
      </c>
      <c r="AG25" s="2">
        <f t="shared" si="13"/>
        <v>1631.772518157959</v>
      </c>
      <c r="AH25" s="2">
        <v>-5.1438620873796026E-3</v>
      </c>
      <c r="AI25" s="2">
        <f t="shared" si="14"/>
        <v>1631.7815780639648</v>
      </c>
      <c r="AJ25" s="2">
        <v>1.0080312795253121E-3</v>
      </c>
      <c r="AK25" s="2">
        <f t="shared" si="9"/>
        <v>1631.7770481109619</v>
      </c>
      <c r="AL25" s="2">
        <v>-2.0656840199535509E-3</v>
      </c>
      <c r="AM25" s="2">
        <f t="shared" si="10"/>
        <v>1.0625593714744961E-5</v>
      </c>
      <c r="AN25" s="2">
        <f t="shared" si="11"/>
        <v>-2.0822741057287684E-6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24.916906612730351</v>
      </c>
      <c r="L26" s="6" t="s">
        <v>7</v>
      </c>
      <c r="N26" s="6" t="s">
        <v>33</v>
      </c>
      <c r="O26" s="6">
        <f xml:space="preserve"> 1/$C$21 - O23 * SQRT( (2*$C$47*PI()*$C$9^2) / O18^3 )</f>
        <v>0.69562514495906447</v>
      </c>
      <c r="U26" s="2">
        <v>22</v>
      </c>
      <c r="V26" s="2">
        <f t="shared" si="7"/>
        <v>6.9943904876708984E-2</v>
      </c>
      <c r="W26" s="2">
        <f t="shared" si="0"/>
        <v>1.4330212809443577E-7</v>
      </c>
      <c r="X26" s="2">
        <f t="shared" si="8"/>
        <v>6.9944143295288086E-2</v>
      </c>
      <c r="Y26" s="2">
        <f t="shared" si="1"/>
        <v>-9.5427661744862391E-8</v>
      </c>
      <c r="Z26" s="2">
        <f t="shared" si="3"/>
        <v>6.9944024085998535E-2</v>
      </c>
      <c r="AA26" s="2">
        <f t="shared" si="2"/>
        <v>2.3937233292747884E-8</v>
      </c>
      <c r="AB26" s="2">
        <f t="shared" si="4"/>
        <v>3.4302564715437496E-15</v>
      </c>
      <c r="AC26" s="2">
        <f t="shared" si="5"/>
        <v>-2.2842742017682037E-15</v>
      </c>
      <c r="AD26" s="2">
        <f t="shared" si="6"/>
        <v>2.384185791015625E-7</v>
      </c>
      <c r="AF26" s="2">
        <v>22</v>
      </c>
      <c r="AG26" s="2">
        <f t="shared" si="13"/>
        <v>1631.7770481109619</v>
      </c>
      <c r="AH26" s="2">
        <v>-2.0656840199535509E-3</v>
      </c>
      <c r="AI26" s="2">
        <f t="shared" si="14"/>
        <v>1631.7815780639648</v>
      </c>
      <c r="AJ26" s="2">
        <v>1.0080312795253121E-3</v>
      </c>
      <c r="AK26" s="2">
        <f t="shared" si="9"/>
        <v>1631.7793130874634</v>
      </c>
      <c r="AL26" s="2">
        <v>-5.2882681893606787E-4</v>
      </c>
      <c r="AM26" s="2">
        <f t="shared" si="10"/>
        <v>1.0923891091991052E-6</v>
      </c>
      <c r="AN26" s="2">
        <f t="shared" si="11"/>
        <v>-5.3307397493942504E-7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2.7761658811868983E-3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6.9944024085998535E-2</v>
      </c>
      <c r="W27" s="2">
        <f t="shared" si="0"/>
        <v>2.3937233292747884E-8</v>
      </c>
      <c r="X27" s="2">
        <f t="shared" si="8"/>
        <v>6.9944143295288086E-2</v>
      </c>
      <c r="Y27" s="2">
        <f t="shared" si="1"/>
        <v>-9.5427661744862391E-8</v>
      </c>
      <c r="Z27" s="2">
        <f t="shared" si="3"/>
        <v>6.9944083690643311E-2</v>
      </c>
      <c r="AA27" s="2">
        <f t="shared" si="2"/>
        <v>-3.5745214205240572E-8</v>
      </c>
      <c r="AB27" s="2">
        <f t="shared" si="4"/>
        <v>-8.5564153153008916E-16</v>
      </c>
      <c r="AC27" s="2">
        <f t="shared" si="5"/>
        <v>3.4110822101753474E-15</v>
      </c>
      <c r="AD27" s="2">
        <f t="shared" si="6"/>
        <v>1.1920928955078125E-7</v>
      </c>
      <c r="AF27" s="2">
        <v>23</v>
      </c>
      <c r="AG27" s="2">
        <f t="shared" si="13"/>
        <v>1631.7793130874634</v>
      </c>
      <c r="AH27" s="2">
        <v>-5.2882681893606787E-4</v>
      </c>
      <c r="AI27" s="2">
        <f t="shared" si="14"/>
        <v>1631.7815780639648</v>
      </c>
      <c r="AJ27" s="2">
        <v>1.0080312795253121E-3</v>
      </c>
      <c r="AK27" s="2">
        <f t="shared" si="9"/>
        <v>1631.7804455757141</v>
      </c>
      <c r="AL27" s="2">
        <v>2.3960211774465279E-4</v>
      </c>
      <c r="AM27" s="2">
        <f t="shared" si="10"/>
        <v>-1.2670802573724992E-7</v>
      </c>
      <c r="AN27" s="2">
        <f t="shared" si="11"/>
        <v>2.4152642932711685E-7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3998.4795611503764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1.1500000400777854</v>
      </c>
      <c r="U28" s="2">
        <v>24</v>
      </c>
      <c r="V28" s="2">
        <f t="shared" si="7"/>
        <v>6.9944024085998535E-2</v>
      </c>
      <c r="W28" s="2">
        <f t="shared" si="0"/>
        <v>2.3937233292747884E-8</v>
      </c>
      <c r="X28" s="2">
        <f t="shared" si="8"/>
        <v>6.9944083690643311E-2</v>
      </c>
      <c r="Y28" s="2">
        <f t="shared" si="1"/>
        <v>-3.5745214205240572E-8</v>
      </c>
      <c r="Z28" s="2">
        <f t="shared" si="3"/>
        <v>6.9944053888320923E-2</v>
      </c>
      <c r="AA28" s="2">
        <f t="shared" si="2"/>
        <v>-5.9039904493074502E-9</v>
      </c>
      <c r="AB28" s="2">
        <f t="shared" si="4"/>
        <v>-1.4132519674322783E-16</v>
      </c>
      <c r="AC28" s="2">
        <f t="shared" si="5"/>
        <v>2.1103940327618934E-16</v>
      </c>
      <c r="AD28" s="2">
        <f t="shared" si="6"/>
        <v>5.9604644775390625E-8</v>
      </c>
      <c r="AF28" s="2">
        <v>24</v>
      </c>
      <c r="AG28" s="2">
        <f t="shared" si="13"/>
        <v>1631.7793130874634</v>
      </c>
      <c r="AH28" s="2">
        <v>-5.2882681893606787E-4</v>
      </c>
      <c r="AI28" s="2">
        <f t="shared" si="14"/>
        <v>1631.7804455757141</v>
      </c>
      <c r="AJ28" s="2">
        <v>2.3960211774465279E-4</v>
      </c>
      <c r="AK28" s="2">
        <f t="shared" si="9"/>
        <v>1631.7798793315887</v>
      </c>
      <c r="AL28" s="2">
        <v>-1.4461237879004329E-4</v>
      </c>
      <c r="AM28" s="2">
        <f t="shared" si="10"/>
        <v>7.6474904254316293E-8</v>
      </c>
      <c r="AN28" s="2">
        <f t="shared" si="11"/>
        <v>-3.4649432210186283E-8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33.995503699857203</v>
      </c>
      <c r="H29" t="s">
        <v>18</v>
      </c>
      <c r="U29" s="2">
        <v>25</v>
      </c>
      <c r="V29" s="2">
        <f t="shared" si="7"/>
        <v>6.9944024085998535E-2</v>
      </c>
      <c r="W29" s="2">
        <f t="shared" si="0"/>
        <v>2.3937233292747884E-8</v>
      </c>
      <c r="X29" s="2">
        <f t="shared" si="8"/>
        <v>6.9944053888320923E-2</v>
      </c>
      <c r="Y29" s="2">
        <f t="shared" si="1"/>
        <v>-5.9039904493074502E-9</v>
      </c>
      <c r="Z29" s="2">
        <f t="shared" si="3"/>
        <v>6.9944038987159729E-2</v>
      </c>
      <c r="AA29" s="2">
        <f t="shared" si="2"/>
        <v>9.0166214217202167E-9</v>
      </c>
      <c r="AB29" s="2">
        <f t="shared" si="4"/>
        <v>2.1583297048410494E-16</v>
      </c>
      <c r="AC29" s="2">
        <f t="shared" si="5"/>
        <v>-5.3234046758857121E-17</v>
      </c>
      <c r="AD29" s="2">
        <f t="shared" si="6"/>
        <v>2.9802322387695312E-8</v>
      </c>
      <c r="AF29" s="2">
        <v>25</v>
      </c>
      <c r="AG29" s="2">
        <f t="shared" si="13"/>
        <v>1631.7798793315887</v>
      </c>
      <c r="AH29" s="2">
        <v>-1.4461237879004329E-4</v>
      </c>
      <c r="AI29" s="2">
        <f t="shared" si="14"/>
        <v>1631.7804455757141</v>
      </c>
      <c r="AJ29" s="2">
        <v>2.3960211774465279E-4</v>
      </c>
      <c r="AK29" s="2">
        <f t="shared" si="9"/>
        <v>1631.7801624536514</v>
      </c>
      <c r="AL29" s="2">
        <v>4.9728051862985012E-5</v>
      </c>
      <c r="AM29" s="2">
        <f t="shared" si="10"/>
        <v>-7.1912918725009067E-9</v>
      </c>
      <c r="AN29" s="2">
        <f t="shared" si="11"/>
        <v>1.1914946537687135E-8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12.000000000017314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6.9944038987159729E-2</v>
      </c>
      <c r="W30" s="2">
        <f t="shared" si="0"/>
        <v>9.0166214217202167E-9</v>
      </c>
      <c r="X30" s="2">
        <f t="shared" si="8"/>
        <v>6.9944053888320923E-2</v>
      </c>
      <c r="Y30" s="2">
        <f t="shared" si="1"/>
        <v>-5.9039904493074502E-9</v>
      </c>
      <c r="Z30" s="2">
        <f t="shared" si="3"/>
        <v>6.9944046437740326E-2</v>
      </c>
      <c r="AA30" s="2">
        <f t="shared" si="2"/>
        <v>1.5563154931452772E-9</v>
      </c>
      <c r="AB30" s="2">
        <f t="shared" si="4"/>
        <v>1.4032707614448769E-17</v>
      </c>
      <c r="AC30" s="2">
        <f t="shared" si="5"/>
        <v>-9.1884718076389305E-18</v>
      </c>
      <c r="AD30" s="2">
        <f t="shared" si="6"/>
        <v>1.4901161193847656E-8</v>
      </c>
      <c r="AF30" s="2">
        <v>26</v>
      </c>
      <c r="AG30" s="2">
        <f t="shared" si="13"/>
        <v>1631.7798793315887</v>
      </c>
      <c r="AH30" s="2">
        <v>-1.4461237879004329E-4</v>
      </c>
      <c r="AI30" s="2">
        <f t="shared" si="14"/>
        <v>1631.7801624536514</v>
      </c>
      <c r="AJ30" s="2">
        <v>4.9728051862985012E-5</v>
      </c>
      <c r="AK30" s="2">
        <f t="shared" si="9"/>
        <v>1631.7800208926201</v>
      </c>
      <c r="AL30" s="2">
        <v>-4.9675354375722236E-5</v>
      </c>
      <c r="AM30" s="2">
        <f t="shared" si="10"/>
        <v>7.1836711635115786E-9</v>
      </c>
      <c r="AN30" s="2">
        <f t="shared" si="11"/>
        <v>-2.4702585987080747E-9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135.98201479942881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6.9944046437740326E-2</v>
      </c>
      <c r="W31" s="2">
        <f t="shared" si="0"/>
        <v>1.5563154931452772E-9</v>
      </c>
      <c r="X31" s="2">
        <f t="shared" si="8"/>
        <v>6.9944053888320923E-2</v>
      </c>
      <c r="Y31" s="2">
        <f t="shared" si="1"/>
        <v>-5.9039904493074502E-9</v>
      </c>
      <c r="Z31" s="2">
        <f t="shared" si="3"/>
        <v>6.9944050163030624E-2</v>
      </c>
      <c r="AA31" s="2">
        <f t="shared" si="2"/>
        <v>-2.1738374711421926E-9</v>
      </c>
      <c r="AB31" s="2">
        <f t="shared" si="4"/>
        <v>-3.3831769359183437E-18</v>
      </c>
      <c r="AC31" s="2">
        <f t="shared" si="5"/>
        <v>1.2834315667970165E-17</v>
      </c>
      <c r="AD31" s="2">
        <f t="shared" si="6"/>
        <v>7.4505805969238281E-9</v>
      </c>
      <c r="AF31" s="2">
        <v>27</v>
      </c>
      <c r="AG31" s="2">
        <f t="shared" si="13"/>
        <v>1631.7800208926201</v>
      </c>
      <c r="AH31" s="2">
        <v>-4.9675354375722236E-5</v>
      </c>
      <c r="AI31" s="2">
        <f t="shared" si="14"/>
        <v>1631.7801624536514</v>
      </c>
      <c r="AJ31" s="2">
        <v>4.9728051862985012E-5</v>
      </c>
      <c r="AK31" s="2">
        <f t="shared" si="9"/>
        <v>1631.7800916731358</v>
      </c>
      <c r="AL31" s="2">
        <v>-2.2068402358854655E-6</v>
      </c>
      <c r="AM31" s="2">
        <f t="shared" si="10"/>
        <v>1.0962557076821295E-10</v>
      </c>
      <c r="AN31" s="2">
        <f t="shared" si="11"/>
        <v>-1.0974186570343451E-10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365.08</v>
      </c>
      <c r="L32" s="6" t="s">
        <v>7</v>
      </c>
      <c r="U32" s="2">
        <v>28</v>
      </c>
      <c r="V32" s="2">
        <f t="shared" si="7"/>
        <v>6.9944046437740326E-2</v>
      </c>
      <c r="W32" s="2">
        <f t="shared" si="0"/>
        <v>1.5563154931452772E-9</v>
      </c>
      <c r="X32" s="2">
        <f t="shared" si="8"/>
        <v>6.9944050163030624E-2</v>
      </c>
      <c r="Y32" s="2">
        <f t="shared" si="1"/>
        <v>-2.1738374711421926E-9</v>
      </c>
      <c r="Z32" s="2">
        <f t="shared" si="3"/>
        <v>6.9944048300385475E-2</v>
      </c>
      <c r="AA32" s="2">
        <f t="shared" si="2"/>
        <v>-3.0876098899845772E-10</v>
      </c>
      <c r="AB32" s="2">
        <f t="shared" si="4"/>
        <v>-4.8052951085715823E-19</v>
      </c>
      <c r="AC32" s="2">
        <f t="shared" si="5"/>
        <v>6.7119620751176968E-19</v>
      </c>
      <c r="AD32" s="2">
        <f t="shared" si="6"/>
        <v>3.7252902984619141E-9</v>
      </c>
      <c r="AF32" s="2">
        <v>28</v>
      </c>
      <c r="AG32" s="2">
        <f t="shared" si="13"/>
        <v>1631.7800916731358</v>
      </c>
      <c r="AH32" s="2">
        <v>-2.2068402358854655E-6</v>
      </c>
      <c r="AI32" s="2">
        <f t="shared" si="14"/>
        <v>1631.7801624536514</v>
      </c>
      <c r="AJ32" s="2">
        <v>4.9728051862985012E-5</v>
      </c>
      <c r="AK32" s="2">
        <f t="shared" si="9"/>
        <v>1631.7801270633936</v>
      </c>
      <c r="AL32" s="2">
        <v>2.5993794224632438E-5</v>
      </c>
      <c r="AM32" s="2">
        <f t="shared" si="10"/>
        <v>-5.7364150978246101E-11</v>
      </c>
      <c r="AN32" s="2">
        <f t="shared" si="11"/>
        <v>1.2926207473182822E-9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433.57</v>
      </c>
      <c r="L33" s="6" t="s">
        <v>7</v>
      </c>
      <c r="U33" s="2">
        <v>29</v>
      </c>
      <c r="V33" s="2">
        <f t="shared" si="7"/>
        <v>6.9944046437740326E-2</v>
      </c>
      <c r="W33" s="2">
        <f t="shared" si="0"/>
        <v>1.5563154931452772E-9</v>
      </c>
      <c r="X33" s="2">
        <f t="shared" si="8"/>
        <v>6.9944048300385475E-2</v>
      </c>
      <c r="Y33" s="2">
        <f t="shared" si="1"/>
        <v>-3.0876098899845772E-10</v>
      </c>
      <c r="Z33" s="2">
        <f t="shared" si="3"/>
        <v>6.9944047369062901E-2</v>
      </c>
      <c r="AA33" s="2">
        <f t="shared" si="2"/>
        <v>6.2377725207340973E-10</v>
      </c>
      <c r="AB33" s="2">
        <f t="shared" si="4"/>
        <v>9.7079420167343453E-19</v>
      </c>
      <c r="AC33" s="2">
        <f t="shared" si="5"/>
        <v>-1.9259808126492625E-19</v>
      </c>
      <c r="AD33" s="2">
        <f t="shared" si="6"/>
        <v>1.862645149230957E-9</v>
      </c>
      <c r="AF33" s="2">
        <v>29</v>
      </c>
      <c r="AG33" s="2">
        <f t="shared" si="13"/>
        <v>1631.7800916731358</v>
      </c>
      <c r="AH33" s="2">
        <v>-2.2068402358854655E-6</v>
      </c>
      <c r="AI33" s="2">
        <f t="shared" si="14"/>
        <v>1631.7801270633936</v>
      </c>
      <c r="AJ33" s="2">
        <v>2.5993794224632438E-5</v>
      </c>
      <c r="AK33" s="2">
        <f t="shared" si="9"/>
        <v>1631.7801093682647</v>
      </c>
      <c r="AL33" s="2">
        <v>1.1893476766999811E-5</v>
      </c>
      <c r="AM33" s="2">
        <f t="shared" si="10"/>
        <v>-2.6247003073984167E-11</v>
      </c>
      <c r="AN33" s="2">
        <f t="shared" si="11"/>
        <v>3.0915658769683977E-10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155.82</v>
      </c>
      <c r="L34" s="6" t="s">
        <v>7</v>
      </c>
      <c r="U34" s="2">
        <v>30</v>
      </c>
      <c r="V34" s="2">
        <f t="shared" si="7"/>
        <v>6.9944047369062901E-2</v>
      </c>
      <c r="W34" s="2">
        <f t="shared" si="0"/>
        <v>6.2377725207340973E-10</v>
      </c>
      <c r="X34" s="2">
        <f t="shared" si="8"/>
        <v>6.9944048300385475E-2</v>
      </c>
      <c r="Y34" s="2">
        <f t="shared" si="1"/>
        <v>-3.0876098899845772E-10</v>
      </c>
      <c r="Z34" s="2">
        <f t="shared" si="3"/>
        <v>6.9944047834724188E-2</v>
      </c>
      <c r="AA34" s="2">
        <f t="shared" si="2"/>
        <v>1.57508131537476E-10</v>
      </c>
      <c r="AB34" s="2">
        <f t="shared" si="4"/>
        <v>9.8249989469663946E-20</v>
      </c>
      <c r="AC34" s="2">
        <f t="shared" si="5"/>
        <v>-4.863236646881026E-20</v>
      </c>
      <c r="AD34" s="2">
        <f>X34-V34</f>
        <v>9.3132257461547852E-10</v>
      </c>
      <c r="AF34" s="2">
        <v>30</v>
      </c>
      <c r="AG34" s="2">
        <f t="shared" si="13"/>
        <v>1631.7800916731358</v>
      </c>
      <c r="AH34" s="2">
        <v>-2.2068402358854655E-6</v>
      </c>
      <c r="AI34" s="2">
        <f t="shared" si="14"/>
        <v>1631.7801093682647</v>
      </c>
      <c r="AJ34" s="2">
        <v>1.1893476766999811E-5</v>
      </c>
      <c r="AK34" s="2">
        <f t="shared" si="9"/>
        <v>1631.7801005207002</v>
      </c>
      <c r="AL34" s="2">
        <v>7.0765067903266754E-6</v>
      </c>
      <c r="AM34" s="2">
        <f t="shared" si="10"/>
        <v>-1.5616719914409619E-11</v>
      </c>
      <c r="AN34" s="2">
        <f t="shared" si="11"/>
        <v>8.4164269102266716E-11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219.1349052700904</v>
      </c>
      <c r="H35" s="25" t="s">
        <v>101</v>
      </c>
      <c r="J35" s="15" t="s">
        <v>70</v>
      </c>
      <c r="K35" s="6">
        <f>ROUND(SUM(K23:K26),2)</f>
        <v>77.31</v>
      </c>
      <c r="L35" s="6" t="s">
        <v>7</v>
      </c>
      <c r="AF35" s="2">
        <v>31</v>
      </c>
      <c r="AG35" s="2">
        <f t="shared" si="13"/>
        <v>1631.7800916731358</v>
      </c>
      <c r="AH35" s="2">
        <v>-2.2068402358854655E-6</v>
      </c>
      <c r="AI35" s="2">
        <f t="shared" si="14"/>
        <v>1631.7801005207002</v>
      </c>
      <c r="AJ35" s="2">
        <v>7.0765067903266754E-6</v>
      </c>
      <c r="AK35" s="2">
        <f t="shared" si="9"/>
        <v>1631.780096096918</v>
      </c>
      <c r="AL35" s="2">
        <v>4.6680218019901076E-6</v>
      </c>
      <c r="AM35" s="2">
        <f t="shared" si="10"/>
        <v>-1.0301578334622345E-11</v>
      </c>
      <c r="AN35" s="2">
        <f t="shared" si="11"/>
        <v>3.303328797917596E-11</v>
      </c>
      <c r="AO35" s="2">
        <f t="shared" si="12"/>
        <v>8.8475644588470459E-6</v>
      </c>
    </row>
    <row r="36" spans="2:41" x14ac:dyDescent="0.2">
      <c r="B36" s="6" t="s">
        <v>3</v>
      </c>
      <c r="C36" s="17">
        <v>700</v>
      </c>
      <c r="D36" s="6" t="s">
        <v>4</v>
      </c>
      <c r="J36" s="10" t="s">
        <v>59</v>
      </c>
      <c r="K36" s="10">
        <f>SUM(K31:K35)</f>
        <v>1631.7799999999997</v>
      </c>
      <c r="L36" s="6" t="s">
        <v>7</v>
      </c>
      <c r="AF36" s="2">
        <v>32</v>
      </c>
      <c r="AG36" s="2">
        <f t="shared" si="13"/>
        <v>1631.7800916731358</v>
      </c>
      <c r="AH36" s="2">
        <v>-2.2068402358854655E-6</v>
      </c>
      <c r="AI36" s="2">
        <f t="shared" si="14"/>
        <v>1631.780096096918</v>
      </c>
      <c r="AJ36" s="2">
        <v>4.6680218019901076E-6</v>
      </c>
      <c r="AK36" s="2">
        <f t="shared" si="9"/>
        <v>1631.7800938850269</v>
      </c>
      <c r="AL36" s="2">
        <v>3.4637796488823369E-6</v>
      </c>
      <c r="AM36" s="2">
        <f t="shared" si="10"/>
        <v>-7.6440082973947713E-12</v>
      </c>
      <c r="AN36" s="2">
        <f t="shared" si="11"/>
        <v>1.6168998918272389E-11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1631.7800916731358</v>
      </c>
      <c r="AH37" s="2">
        <v>-2.2068402358854655E-6</v>
      </c>
      <c r="AI37" s="2">
        <f t="shared" si="14"/>
        <v>1631.7800938850269</v>
      </c>
      <c r="AJ37" s="2">
        <v>3.4637796488823369E-6</v>
      </c>
      <c r="AK37" s="2">
        <f t="shared" si="9"/>
        <v>1631.7800927790813</v>
      </c>
      <c r="AL37" s="2">
        <v>2.8616584586416138E-6</v>
      </c>
      <c r="AM37" s="2">
        <f t="shared" si="10"/>
        <v>-6.3152230278922967E-12</v>
      </c>
      <c r="AN37" s="2">
        <f t="shared" si="11"/>
        <v>9.9121543310948186E-12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1631.7800916731358</v>
      </c>
      <c r="AH38" s="2">
        <v>-2.2068402358854655E-6</v>
      </c>
      <c r="AI38" s="2">
        <f t="shared" si="14"/>
        <v>1631.7800927790813</v>
      </c>
      <c r="AJ38" s="2">
        <v>2.8616584586416138E-6</v>
      </c>
      <c r="AK38" s="2">
        <f t="shared" si="9"/>
        <v>1631.7800922261085</v>
      </c>
      <c r="AL38" s="2">
        <v>2.5605972950870637E-6</v>
      </c>
      <c r="AM38" s="2">
        <f t="shared" si="10"/>
        <v>-5.6508291386976206E-12</v>
      </c>
      <c r="AN38" s="2">
        <f t="shared" si="11"/>
        <v>7.3275549086607323E-12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36.770000000000003</v>
      </c>
      <c r="L39" s="6" t="s">
        <v>58</v>
      </c>
      <c r="AF39" s="2">
        <v>35</v>
      </c>
      <c r="AG39" s="2">
        <f t="shared" si="13"/>
        <v>1631.7800916731358</v>
      </c>
      <c r="AH39" s="2">
        <v>-2.2068402358854655E-6</v>
      </c>
      <c r="AI39" s="2">
        <f t="shared" si="14"/>
        <v>1631.7800922261085</v>
      </c>
      <c r="AJ39" s="2">
        <v>2.5605972950870637E-6</v>
      </c>
      <c r="AK39" s="2">
        <f t="shared" si="9"/>
        <v>1631.7800919496221</v>
      </c>
      <c r="AL39" s="2">
        <v>2.4100675091176527E-6</v>
      </c>
      <c r="AM39" s="2">
        <f t="shared" si="10"/>
        <v>-5.3186339503210969E-12</v>
      </c>
      <c r="AN39" s="2">
        <f t="shared" si="11"/>
        <v>6.1712123448238786E-12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22.37</v>
      </c>
      <c r="L40" s="6" t="s">
        <v>58</v>
      </c>
      <c r="AF40" s="2">
        <v>36</v>
      </c>
      <c r="AG40" s="2">
        <f t="shared" si="13"/>
        <v>1631.7800916731358</v>
      </c>
      <c r="AH40" s="2">
        <v>-2.2068402358854655E-6</v>
      </c>
      <c r="AI40" s="2">
        <f t="shared" si="14"/>
        <v>1631.7800919496221</v>
      </c>
      <c r="AJ40" s="2">
        <v>2.4100675091176527E-6</v>
      </c>
      <c r="AK40" s="2">
        <f t="shared" si="9"/>
        <v>1631.780091811379</v>
      </c>
      <c r="AL40" s="2">
        <v>2.334802275072434E-6</v>
      </c>
      <c r="AM40" s="2">
        <f t="shared" si="10"/>
        <v>-5.1525356034667718E-12</v>
      </c>
      <c r="AN40" s="2">
        <f t="shared" si="11"/>
        <v>5.6270311033660495E-12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26.57</v>
      </c>
      <c r="L41" s="6" t="s">
        <v>58</v>
      </c>
      <c r="AF41" s="2">
        <v>37</v>
      </c>
      <c r="AG41" s="2">
        <f t="shared" si="13"/>
        <v>1631.7800916731358</v>
      </c>
      <c r="AH41" s="2">
        <v>-2.2068402358854655E-6</v>
      </c>
      <c r="AI41" s="2">
        <f t="shared" si="14"/>
        <v>1631.780091811379</v>
      </c>
      <c r="AJ41" s="2">
        <v>2.334802275072434E-6</v>
      </c>
      <c r="AK41" s="2">
        <f t="shared" si="9"/>
        <v>1631.7800917422574</v>
      </c>
      <c r="AL41" s="2">
        <v>-2.1692080736102071E-6</v>
      </c>
      <c r="AM41" s="2">
        <f t="shared" si="10"/>
        <v>4.7870956568506056E-12</v>
      </c>
      <c r="AN41" s="2">
        <f t="shared" si="11"/>
        <v>-5.0646719453706033E-12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9.5500000000000007</v>
      </c>
      <c r="L42" s="6" t="s">
        <v>58</v>
      </c>
      <c r="AF42" s="2">
        <v>38</v>
      </c>
      <c r="AG42" s="2">
        <f t="shared" si="13"/>
        <v>1631.7800917422574</v>
      </c>
      <c r="AH42" s="2">
        <v>-2.1692080736102071E-6</v>
      </c>
      <c r="AI42" s="2">
        <f t="shared" si="14"/>
        <v>1631.780091811379</v>
      </c>
      <c r="AJ42" s="2">
        <v>2.334802275072434E-6</v>
      </c>
      <c r="AK42" s="2">
        <f t="shared" si="9"/>
        <v>1631.7800917768182</v>
      </c>
      <c r="AL42" s="2">
        <v>-2.150391537725227E-6</v>
      </c>
      <c r="AM42" s="2">
        <f t="shared" si="10"/>
        <v>4.6646466850566305E-12</v>
      </c>
      <c r="AN42" s="2">
        <f t="shared" si="11"/>
        <v>-5.0207390545773696E-12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1631.7800917768182</v>
      </c>
      <c r="AH43" s="2">
        <v>-2.150391537725227E-6</v>
      </c>
      <c r="AI43" s="2">
        <f t="shared" si="14"/>
        <v>1631.780091811379</v>
      </c>
      <c r="AJ43" s="2">
        <v>2.334802275072434E-6</v>
      </c>
      <c r="AK43" s="2">
        <f t="shared" si="9"/>
        <v>1631.7800917940986</v>
      </c>
      <c r="AL43" s="2">
        <v>2.3253942345036194E-6</v>
      </c>
      <c r="AM43" s="2">
        <f t="shared" si="10"/>
        <v>-5.0005080837516151E-12</v>
      </c>
      <c r="AN43" s="2">
        <f t="shared" si="11"/>
        <v>5.4293357491593716E-12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1631.7800917768182</v>
      </c>
      <c r="AH44" s="2">
        <v>-2.150391537725227E-6</v>
      </c>
      <c r="AI44" s="2">
        <f t="shared" si="14"/>
        <v>1631.7800917940986</v>
      </c>
      <c r="AJ44" s="2">
        <v>2.334802275072434E-6</v>
      </c>
      <c r="AK44" s="5">
        <f>(AG44+AI44)/2</f>
        <v>1631.7800917854584</v>
      </c>
      <c r="AL44" s="2">
        <v>2.3206898731586989E-6</v>
      </c>
      <c r="AM44" s="2">
        <f t="shared" si="10"/>
        <v>-4.9903918649250964E-12</v>
      </c>
      <c r="AN44" s="2">
        <f t="shared" si="11"/>
        <v>5.4183519955884884E-12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1318.8838737134085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36.770000000000003</v>
      </c>
      <c r="L47" s="6" t="s">
        <v>58</v>
      </c>
      <c r="N47" s="6" t="s">
        <v>154</v>
      </c>
      <c r="O47" s="6">
        <f>0.377*O46^0.6945</f>
        <v>55.376410939039204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22.37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40.86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7:L7"/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38:L38"/>
    <mergeCell ref="B40:D40"/>
    <mergeCell ref="B46:D46"/>
    <mergeCell ref="J46:L46"/>
    <mergeCell ref="B52:D52"/>
  </mergeCells>
  <conditionalFormatting sqref="K28">
    <cfRule type="containsText" dxfId="29" priority="1" operator="containsText" text="FALSE">
      <formula>NOT(ISERROR(SEARCH("FALSE",K28)))</formula>
    </cfRule>
    <cfRule type="containsText" dxfId="28" priority="2" operator="containsText" text="TRUE">
      <formula>NOT(ISERROR(SEARCH("TRUE",K28)))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NOT(ISERROR(SEARCH("YES",K28)))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7D87-B951-4841-B7CA-13CC46090773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582.18067953345599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5.0171535680612375E-2</v>
      </c>
      <c r="X4" s="3">
        <v>1</v>
      </c>
      <c r="Y4" s="2">
        <f t="shared" ref="Y4:Y34" si="1" xml:space="preserve"> $O$20 * TAN($O$17/180*PI()) + $O$21 / (2 * SQRT($O$20^2 + X4^2)) - X4</f>
        <v>-0.95457819920404685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-0.45234471500191681</v>
      </c>
      <c r="AB4" s="2">
        <f>W4*AA4</f>
        <v>-2.2694829008655104E-2</v>
      </c>
      <c r="AC4" s="2">
        <f>Y4*AA4</f>
        <v>0.43179840346599752</v>
      </c>
      <c r="AD4" s="2">
        <f>X4-V4</f>
        <v>1</v>
      </c>
      <c r="AF4" s="2">
        <v>0</v>
      </c>
      <c r="AG4" s="2"/>
      <c r="AH4" s="2">
        <f>K27</f>
        <v>2.7689994844877219E-3</v>
      </c>
      <c r="AI4" s="2"/>
      <c r="AJ4" s="2">
        <f>K27</f>
        <v>2.7689994844877219E-3</v>
      </c>
      <c r="AK4" s="2"/>
      <c r="AL4" s="2">
        <f>K27</f>
        <v>2.7689994844877219E-3</v>
      </c>
      <c r="AM4" s="2"/>
      <c r="AN4" s="2"/>
      <c r="AO4" s="2"/>
    </row>
    <row r="5" spans="2:41" x14ac:dyDescent="0.2">
      <c r="B5" s="10" t="s">
        <v>37</v>
      </c>
      <c r="C5" s="10">
        <v>2977.0098799365601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145.545169883364</v>
      </c>
      <c r="L5" s="6" t="s">
        <v>101</v>
      </c>
      <c r="N5" s="6" t="s">
        <v>114</v>
      </c>
      <c r="O5" s="6">
        <f xml:space="preserve"> $C$18 * 0.85 * ($C$5/$C$18 *2.20462/1000)^(2/3) * 0.3048^2</f>
        <v>0.43941835517074712</v>
      </c>
      <c r="P5" s="6" t="s">
        <v>115</v>
      </c>
      <c r="U5" s="2">
        <v>1</v>
      </c>
      <c r="V5" s="2">
        <f>IF(AB4&gt;0, Z4, V4)</f>
        <v>0</v>
      </c>
      <c r="W5" s="2">
        <f t="shared" si="0"/>
        <v>5.0171535680612375E-2</v>
      </c>
      <c r="X5" s="2">
        <f>IF(AC4&gt;0, Z4, X4)</f>
        <v>0.5</v>
      </c>
      <c r="Y5" s="2">
        <f t="shared" si="1"/>
        <v>-0.45234471500191681</v>
      </c>
      <c r="Z5" s="2">
        <f t="shared" ref="Z5:Z34" si="3" xml:space="preserve"> (V5 + X5)/2</f>
        <v>0.25</v>
      </c>
      <c r="AA5" s="2">
        <f t="shared" si="2"/>
        <v>-0.20073531960168786</v>
      </c>
      <c r="AB5" s="2">
        <f t="shared" ref="AB5:AB34" si="4">W5*AA5</f>
        <v>-1.0071199249755211E-2</v>
      </c>
      <c r="AC5" s="2">
        <f t="shared" ref="AC5:AC34" si="5">Y5*AA5</f>
        <v>9.0801560936044176E-2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-1260.2752185052418</v>
      </c>
      <c r="AI5" s="3">
        <v>10000</v>
      </c>
      <c r="AJ5" s="2">
        <f t="dataTable" ref="AJ5:AJ44" dt2D="0" dtr="0" r1="C5"/>
        <v>1623.0987407948387</v>
      </c>
      <c r="AK5" s="2">
        <f>(AG5+AI5)/2</f>
        <v>5250</v>
      </c>
      <c r="AL5" s="2">
        <f t="dataTable" ref="AL5:AL44" dt2D="0" dtr="0" r1="C5" ca="1"/>
        <v>842.25713136323566</v>
      </c>
      <c r="AM5" s="2">
        <f>AH5*AL5</f>
        <v>-1061475.7902664</v>
      </c>
      <c r="AN5" s="2">
        <f>AJ5*AL5</f>
        <v>1367066.489341141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5.0171535680612375E-2</v>
      </c>
      <c r="X6" s="2">
        <f t="shared" ref="X6:X34" si="8">IF(AC5&gt;0, Z5, X5)</f>
        <v>0.25</v>
      </c>
      <c r="Y6" s="2">
        <f t="shared" si="1"/>
        <v>-0.20073531960168786</v>
      </c>
      <c r="Z6" s="2">
        <f t="shared" si="3"/>
        <v>0.125</v>
      </c>
      <c r="AA6" s="2">
        <f t="shared" si="2"/>
        <v>-7.5084920538637606E-2</v>
      </c>
      <c r="AB6" s="2">
        <f t="shared" si="4"/>
        <v>-3.7671257698802018E-3</v>
      </c>
      <c r="AC6" s="2">
        <f t="shared" si="5"/>
        <v>1.5072195521590757E-2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-1260.2752185052418</v>
      </c>
      <c r="AI6" s="2">
        <f>IF(AN5&gt;0, AK5, AI5)</f>
        <v>5250</v>
      </c>
      <c r="AJ6" s="2">
        <v>842.25713136323566</v>
      </c>
      <c r="AK6" s="2">
        <f t="shared" ref="AK6:AK43" si="9">(AG6+AI6)/2</f>
        <v>2875</v>
      </c>
      <c r="AL6" s="2">
        <v>-45.216997505029667</v>
      </c>
      <c r="AM6" s="2">
        <f t="shared" ref="AM6:AM44" si="10">AH6*AL6</f>
        <v>56985.861410802238</v>
      </c>
      <c r="AN6" s="2">
        <f t="shared" ref="AN6:AN44" si="11">AJ6*AL6</f>
        <v>-38084.338607444872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328.86616358013998</v>
      </c>
      <c r="D7" s="6" t="s">
        <v>125</v>
      </c>
      <c r="F7" t="s">
        <v>121</v>
      </c>
      <c r="G7" s="8">
        <f>$C$6*2*PI()/60*$C$9</f>
        <v>162.51463592679659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1.0696949785058432</v>
      </c>
      <c r="P7" s="6" t="s">
        <v>115</v>
      </c>
      <c r="U7" s="2">
        <v>3</v>
      </c>
      <c r="V7" s="2">
        <f t="shared" si="7"/>
        <v>0</v>
      </c>
      <c r="W7" s="2">
        <f t="shared" si="0"/>
        <v>5.0171535680612375E-2</v>
      </c>
      <c r="X7" s="2">
        <f t="shared" si="8"/>
        <v>0.125</v>
      </c>
      <c r="Y7" s="2">
        <f t="shared" si="1"/>
        <v>-7.5084920538637606E-2</v>
      </c>
      <c r="Z7" s="2">
        <f t="shared" si="3"/>
        <v>6.25E-2</v>
      </c>
      <c r="AA7" s="2">
        <f t="shared" si="2"/>
        <v>-1.2394791056485978E-2</v>
      </c>
      <c r="AB7" s="2">
        <f t="shared" si="4"/>
        <v>-6.2186570174422142E-4</v>
      </c>
      <c r="AC7" s="2">
        <f t="shared" si="5"/>
        <v>9.3066190156926569E-4</v>
      </c>
      <c r="AD7" s="2">
        <f t="shared" si="6"/>
        <v>0.125</v>
      </c>
      <c r="AF7" s="2">
        <v>3</v>
      </c>
      <c r="AG7" s="2">
        <f t="shared" ref="AG7:AG44" si="13">IF(AM6&gt;0, AK6, AG6)</f>
        <v>2875</v>
      </c>
      <c r="AH7" s="2">
        <v>-45.216997505029667</v>
      </c>
      <c r="AI7" s="2">
        <f t="shared" ref="AI7:AI44" si="14">IF(AN6&gt;0, AK6, AI6)</f>
        <v>5250</v>
      </c>
      <c r="AJ7" s="2">
        <v>842.25713136323566</v>
      </c>
      <c r="AK7" s="2">
        <f t="shared" si="9"/>
        <v>4062.5</v>
      </c>
      <c r="AL7" s="2">
        <v>442.27741007906525</v>
      </c>
      <c r="AM7" s="2">
        <f t="shared" si="10"/>
        <v>-19998.456548076076</v>
      </c>
      <c r="AN7" s="2">
        <f t="shared" si="11"/>
        <v>372511.30267995491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0.48669179137081531</v>
      </c>
      <c r="H8" s="6" t="s">
        <v>122</v>
      </c>
      <c r="J8" s="6" t="s">
        <v>96</v>
      </c>
      <c r="K8" s="6">
        <f xml:space="preserve"> $C$15 * (G12*G6 + G22*G15 + G31*G27 +G35*G34)/3600</f>
        <v>228.41874742140632</v>
      </c>
      <c r="L8" s="6" t="s">
        <v>102</v>
      </c>
      <c r="N8" s="6" t="s">
        <v>38</v>
      </c>
      <c r="O8" s="6">
        <f xml:space="preserve"> O4 *O7</f>
        <v>2425.4946253938501</v>
      </c>
      <c r="P8" s="6" t="s">
        <v>20</v>
      </c>
      <c r="U8" s="2">
        <v>4</v>
      </c>
      <c r="V8" s="2">
        <f t="shared" si="7"/>
        <v>0</v>
      </c>
      <c r="W8" s="2">
        <f t="shared" si="0"/>
        <v>5.0171535680612375E-2</v>
      </c>
      <c r="X8" s="2">
        <f t="shared" si="8"/>
        <v>6.25E-2</v>
      </c>
      <c r="Y8" s="2">
        <f t="shared" si="1"/>
        <v>-1.2394791056485978E-2</v>
      </c>
      <c r="Z8" s="2">
        <f t="shared" si="3"/>
        <v>3.125E-2</v>
      </c>
      <c r="AA8" s="2">
        <f t="shared" si="2"/>
        <v>1.8904808999117187E-2</v>
      </c>
      <c r="AB8" s="2">
        <f t="shared" si="4"/>
        <v>9.4848329923436989E-4</v>
      </c>
      <c r="AC8" s="2">
        <f t="shared" si="5"/>
        <v>-2.3432115750683335E-4</v>
      </c>
      <c r="AD8" s="2">
        <f t="shared" si="6"/>
        <v>6.25E-2</v>
      </c>
      <c r="AF8" s="2">
        <v>4</v>
      </c>
      <c r="AG8" s="2">
        <f t="shared" si="13"/>
        <v>2875</v>
      </c>
      <c r="AH8" s="2">
        <v>-45.216997505029667</v>
      </c>
      <c r="AI8" s="2">
        <f t="shared" si="14"/>
        <v>4062.5</v>
      </c>
      <c r="AJ8" s="2">
        <v>442.27741007906525</v>
      </c>
      <c r="AK8" s="2">
        <f t="shared" si="9"/>
        <v>3468.75</v>
      </c>
      <c r="AL8" s="2">
        <v>209.51442036677236</v>
      </c>
      <c r="AM8" s="2">
        <f t="shared" si="10"/>
        <v>-9473.6130229920818</v>
      </c>
      <c r="AN8" s="2">
        <f t="shared" si="11"/>
        <v>92663.495214032635</v>
      </c>
      <c r="AO8" s="2">
        <f t="shared" si="12"/>
        <v>1187.5</v>
      </c>
    </row>
    <row r="9" spans="2:41" x14ac:dyDescent="0.2">
      <c r="B9" s="6" t="s">
        <v>95</v>
      </c>
      <c r="C9" s="17">
        <v>3.87975114487941</v>
      </c>
      <c r="D9" s="6" t="s">
        <v>8</v>
      </c>
      <c r="F9" t="s">
        <v>19</v>
      </c>
      <c r="G9" s="6">
        <f xml:space="preserve"> $C$5 * $C$44 / $C$18</f>
        <v>7294.7840294721937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2425.4946253938501</v>
      </c>
      <c r="P9" s="6" t="s">
        <v>20</v>
      </c>
      <c r="U9" s="2">
        <v>5</v>
      </c>
      <c r="V9" s="2">
        <f t="shared" si="7"/>
        <v>3.125E-2</v>
      </c>
      <c r="W9" s="2">
        <f t="shared" si="0"/>
        <v>1.8904808999117187E-2</v>
      </c>
      <c r="X9" s="2">
        <f t="shared" si="8"/>
        <v>6.25E-2</v>
      </c>
      <c r="Y9" s="2">
        <f t="shared" si="1"/>
        <v>-1.2394791056485978E-2</v>
      </c>
      <c r="Z9" s="2">
        <f t="shared" si="3"/>
        <v>4.6875E-2</v>
      </c>
      <c r="AA9" s="2">
        <f t="shared" si="2"/>
        <v>3.2590373495622188E-3</v>
      </c>
      <c r="AB9" s="2">
        <f t="shared" si="4"/>
        <v>6.1611478614462858E-5</v>
      </c>
      <c r="AC9" s="2">
        <f t="shared" si="5"/>
        <v>-4.0395086993107557E-5</v>
      </c>
      <c r="AD9" s="2">
        <f t="shared" si="6"/>
        <v>3.125E-2</v>
      </c>
      <c r="AF9" s="2">
        <v>5</v>
      </c>
      <c r="AG9" s="2">
        <f t="shared" si="13"/>
        <v>2875</v>
      </c>
      <c r="AH9" s="2">
        <v>-45.216997505029667</v>
      </c>
      <c r="AI9" s="2">
        <f t="shared" si="14"/>
        <v>3468.75</v>
      </c>
      <c r="AJ9" s="2">
        <v>209.51442036677236</v>
      </c>
      <c r="AK9" s="2">
        <f t="shared" si="9"/>
        <v>3171.875</v>
      </c>
      <c r="AL9" s="2">
        <v>84.758532699564967</v>
      </c>
      <c r="AM9" s="2">
        <f t="shared" si="10"/>
        <v>-3832.5263616062048</v>
      </c>
      <c r="AN9" s="2">
        <f t="shared" si="11"/>
        <v>17758.134849687474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97.030113255575998</v>
      </c>
      <c r="H10" s="6" t="s">
        <v>101</v>
      </c>
      <c r="N10" s="6" t="s">
        <v>113</v>
      </c>
      <c r="O10" s="6">
        <f>O7/(0.3048^2)/($C$5*2.20462/1000)^(2/3)</f>
        <v>3.2846367864620545</v>
      </c>
      <c r="U10" s="2">
        <v>6</v>
      </c>
      <c r="V10" s="2">
        <f t="shared" si="7"/>
        <v>4.6875E-2</v>
      </c>
      <c r="W10" s="2">
        <f t="shared" si="0"/>
        <v>3.2590373495622188E-3</v>
      </c>
      <c r="X10" s="2">
        <f t="shared" si="8"/>
        <v>6.25E-2</v>
      </c>
      <c r="Y10" s="2">
        <f t="shared" si="1"/>
        <v>-1.2394791056485978E-2</v>
      </c>
      <c r="Z10" s="2">
        <f t="shared" si="3"/>
        <v>5.46875E-2</v>
      </c>
      <c r="AA10" s="2">
        <f t="shared" si="2"/>
        <v>-4.5668835735816343E-3</v>
      </c>
      <c r="AB10" s="2">
        <f t="shared" si="4"/>
        <v>-1.4883644137404724E-5</v>
      </c>
      <c r="AC10" s="2">
        <f t="shared" si="5"/>
        <v>5.6605567673842366E-5</v>
      </c>
      <c r="AD10" s="2">
        <f t="shared" si="6"/>
        <v>1.5625E-2</v>
      </c>
      <c r="AF10" s="2">
        <v>6</v>
      </c>
      <c r="AG10" s="2">
        <f t="shared" si="13"/>
        <v>2875</v>
      </c>
      <c r="AH10" s="2">
        <v>-45.216997505029667</v>
      </c>
      <c r="AI10" s="2">
        <f t="shared" si="14"/>
        <v>3171.875</v>
      </c>
      <c r="AJ10" s="2">
        <v>84.758532699564967</v>
      </c>
      <c r="AK10" s="2">
        <f t="shared" si="9"/>
        <v>3023.4375</v>
      </c>
      <c r="AL10" s="2">
        <v>20.393321460026527</v>
      </c>
      <c r="AM10" s="2">
        <f t="shared" si="10"/>
        <v>-922.12476557728746</v>
      </c>
      <c r="AN10" s="2">
        <f t="shared" si="11"/>
        <v>1728.5080038223985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7.6703246550252819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4.6875E-2</v>
      </c>
      <c r="W11" s="2">
        <f t="shared" si="0"/>
        <v>3.2590373495622188E-3</v>
      </c>
      <c r="X11" s="2">
        <f t="shared" si="8"/>
        <v>5.46875E-2</v>
      </c>
      <c r="Y11" s="2">
        <f t="shared" si="1"/>
        <v>-4.5668835735816343E-3</v>
      </c>
      <c r="Z11" s="2">
        <f t="shared" si="3"/>
        <v>5.078125E-2</v>
      </c>
      <c r="AA11" s="2">
        <f t="shared" si="2"/>
        <v>-6.5367290638405906E-4</v>
      </c>
      <c r="AB11" s="2">
        <f t="shared" si="4"/>
        <v>-2.1303444163025364E-6</v>
      </c>
      <c r="AC11" s="2">
        <f t="shared" si="5"/>
        <v>2.985248058660725E-6</v>
      </c>
      <c r="AD11" s="2">
        <f t="shared" si="6"/>
        <v>7.8125E-3</v>
      </c>
      <c r="AF11" s="2">
        <v>7</v>
      </c>
      <c r="AG11" s="2">
        <f t="shared" si="13"/>
        <v>2875</v>
      </c>
      <c r="AH11" s="2">
        <v>-45.216997505029667</v>
      </c>
      <c r="AI11" s="2">
        <f t="shared" si="14"/>
        <v>3023.4375</v>
      </c>
      <c r="AJ11" s="2">
        <v>20.393321460026527</v>
      </c>
      <c r="AK11" s="2">
        <f t="shared" si="9"/>
        <v>2949.21875</v>
      </c>
      <c r="AL11" s="2">
        <v>-12.260278123727403</v>
      </c>
      <c r="AM11" s="2">
        <f t="shared" si="10"/>
        <v>554.37296533155177</v>
      </c>
      <c r="AN11" s="2">
        <f t="shared" si="11"/>
        <v>-250.02779296650382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388.12045302230399</v>
      </c>
      <c r="H12" s="25" t="s">
        <v>101</v>
      </c>
      <c r="J12" s="10" t="s">
        <v>79</v>
      </c>
      <c r="K12" s="6">
        <f>C5</f>
        <v>2977.0098799365601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4.6875E-2</v>
      </c>
      <c r="W12" s="2">
        <f t="shared" si="0"/>
        <v>3.2590373495622188E-3</v>
      </c>
      <c r="X12" s="2">
        <f t="shared" si="8"/>
        <v>5.078125E-2</v>
      </c>
      <c r="Y12" s="2">
        <f t="shared" si="1"/>
        <v>-6.5367290638405906E-4</v>
      </c>
      <c r="Z12" s="2">
        <f t="shared" si="3"/>
        <v>4.8828125E-2</v>
      </c>
      <c r="AA12" s="2">
        <f t="shared" si="2"/>
        <v>1.3027449950565734E-3</v>
      </c>
      <c r="AB12" s="2">
        <f t="shared" si="4"/>
        <v>4.2456945958446204E-6</v>
      </c>
      <c r="AC12" s="2">
        <f t="shared" si="5"/>
        <v>-8.5156910719591701E-7</v>
      </c>
      <c r="AD12" s="2">
        <f t="shared" si="6"/>
        <v>3.90625E-3</v>
      </c>
      <c r="AF12" s="2">
        <v>8</v>
      </c>
      <c r="AG12" s="2">
        <f t="shared" si="13"/>
        <v>2949.21875</v>
      </c>
      <c r="AH12" s="2">
        <v>-12.260278123727403</v>
      </c>
      <c r="AI12" s="2">
        <f t="shared" si="14"/>
        <v>3023.4375</v>
      </c>
      <c r="AJ12" s="2">
        <v>20.393321460026527</v>
      </c>
      <c r="AK12" s="2">
        <f t="shared" si="9"/>
        <v>2986.328125</v>
      </c>
      <c r="AL12" s="2">
        <v>4.1049280834927231</v>
      </c>
      <c r="AM12" s="2">
        <f t="shared" si="10"/>
        <v>-50.327559981520089</v>
      </c>
      <c r="AN12" s="2">
        <f t="shared" si="11"/>
        <v>83.713117976957719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1343.6396907141548</v>
      </c>
      <c r="L13" s="6" t="s">
        <v>7</v>
      </c>
      <c r="N13" s="6" t="s">
        <v>74</v>
      </c>
      <c r="O13" s="6">
        <f xml:space="preserve"> SQRT( ($C$5*$C$50)^2 + O9^2)</f>
        <v>29276.989888265733</v>
      </c>
      <c r="P13" s="6" t="s">
        <v>20</v>
      </c>
      <c r="U13" s="2">
        <v>9</v>
      </c>
      <c r="V13" s="2">
        <f t="shared" si="7"/>
        <v>4.8828125E-2</v>
      </c>
      <c r="W13" s="2">
        <f t="shared" si="0"/>
        <v>1.3027449950565734E-3</v>
      </c>
      <c r="X13" s="2">
        <f t="shared" si="8"/>
        <v>5.078125E-2</v>
      </c>
      <c r="Y13" s="2">
        <f t="shared" si="1"/>
        <v>-6.5367290638405906E-4</v>
      </c>
      <c r="Z13" s="2">
        <f t="shared" si="3"/>
        <v>4.98046875E-2</v>
      </c>
      <c r="AA13" s="2">
        <f t="shared" si="2"/>
        <v>3.2455171056320481E-4</v>
      </c>
      <c r="AB13" s="2">
        <f t="shared" si="4"/>
        <v>4.2280811657326471E-7</v>
      </c>
      <c r="AC13" s="2">
        <f t="shared" si="5"/>
        <v>-2.1215065991576802E-7</v>
      </c>
      <c r="AD13" s="2">
        <f t="shared" si="6"/>
        <v>1.953125E-3</v>
      </c>
      <c r="AF13" s="2">
        <v>9</v>
      </c>
      <c r="AG13" s="2">
        <f t="shared" si="13"/>
        <v>2949.21875</v>
      </c>
      <c r="AH13" s="2">
        <v>-12.260278123727403</v>
      </c>
      <c r="AI13" s="2">
        <f t="shared" si="14"/>
        <v>2986.328125</v>
      </c>
      <c r="AJ13" s="2">
        <v>4.1049280834927231</v>
      </c>
      <c r="AK13" s="2">
        <f t="shared" si="9"/>
        <v>2967.7734375</v>
      </c>
      <c r="AL13" s="2">
        <v>-4.0681290613206329</v>
      </c>
      <c r="AM13" s="2">
        <f t="shared" si="10"/>
        <v>49.876393735009053</v>
      </c>
      <c r="AN13" s="2">
        <f t="shared" si="11"/>
        <v>-16.699377231087958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216.33712315081959</v>
      </c>
      <c r="L14" s="6" t="s">
        <v>7</v>
      </c>
      <c r="N14" s="6" t="s">
        <v>75</v>
      </c>
      <c r="O14" s="6">
        <f>$C$5*$C$50/O13</f>
        <v>0.99656232420525392</v>
      </c>
      <c r="U14" s="2">
        <v>10</v>
      </c>
      <c r="V14" s="2">
        <f t="shared" si="7"/>
        <v>4.98046875E-2</v>
      </c>
      <c r="W14" s="2">
        <f t="shared" si="0"/>
        <v>3.2455171056320481E-4</v>
      </c>
      <c r="X14" s="2">
        <f t="shared" si="8"/>
        <v>5.078125E-2</v>
      </c>
      <c r="Y14" s="2">
        <f t="shared" si="1"/>
        <v>-6.5367290638405906E-4</v>
      </c>
      <c r="Z14" s="2">
        <f t="shared" si="3"/>
        <v>5.029296875E-2</v>
      </c>
      <c r="AA14" s="2">
        <f t="shared" si="2"/>
        <v>-1.6455668480048341E-4</v>
      </c>
      <c r="AB14" s="2">
        <f t="shared" si="4"/>
        <v>-5.3407153536607014E-8</v>
      </c>
      <c r="AC14" s="2">
        <f t="shared" si="5"/>
        <v>1.0756624641845751E-7</v>
      </c>
      <c r="AD14" s="2">
        <f t="shared" si="6"/>
        <v>9.765625E-4</v>
      </c>
      <c r="AF14" s="2">
        <v>10</v>
      </c>
      <c r="AG14" s="2">
        <f t="shared" si="13"/>
        <v>2967.7734375</v>
      </c>
      <c r="AH14" s="2">
        <v>-4.0681290613206329</v>
      </c>
      <c r="AI14" s="2">
        <f t="shared" si="14"/>
        <v>2986.328125</v>
      </c>
      <c r="AJ14" s="2">
        <v>4.1049280834927231</v>
      </c>
      <c r="AK14" s="2">
        <f t="shared" si="9"/>
        <v>2977.05078125</v>
      </c>
      <c r="AL14" s="2">
        <v>2.0787449457657203E-2</v>
      </c>
      <c r="AM14" s="2">
        <f t="shared" si="10"/>
        <v>-8.4566027249429104E-2</v>
      </c>
      <c r="AN14" s="2">
        <f t="shared" si="11"/>
        <v>8.5330985062922624E-2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320.30553782516637</v>
      </c>
      <c r="L15" s="6" t="s">
        <v>7</v>
      </c>
      <c r="U15" s="2">
        <v>11</v>
      </c>
      <c r="V15" s="2">
        <f t="shared" si="7"/>
        <v>4.98046875E-2</v>
      </c>
      <c r="W15" s="2">
        <f t="shared" si="0"/>
        <v>3.2455171056320481E-4</v>
      </c>
      <c r="X15" s="2">
        <f t="shared" si="8"/>
        <v>5.029296875E-2</v>
      </c>
      <c r="Y15" s="2">
        <f t="shared" si="1"/>
        <v>-1.6455668480048341E-4</v>
      </c>
      <c r="Z15" s="2">
        <f t="shared" si="3"/>
        <v>5.0048828125E-2</v>
      </c>
      <c r="AA15" s="2">
        <f t="shared" si="2"/>
        <v>7.9998491592112031E-5</v>
      </c>
      <c r="AB15" s="2">
        <f t="shared" si="4"/>
        <v>2.5963647288696119E-8</v>
      </c>
      <c r="AC15" s="2">
        <f t="shared" si="5"/>
        <v>-1.3164286565437302E-8</v>
      </c>
      <c r="AD15" s="2">
        <f t="shared" si="6"/>
        <v>4.8828125E-4</v>
      </c>
      <c r="AF15" s="2">
        <v>11</v>
      </c>
      <c r="AG15" s="2">
        <f t="shared" si="13"/>
        <v>2967.7734375</v>
      </c>
      <c r="AH15" s="2">
        <v>-4.0681290613206329</v>
      </c>
      <c r="AI15" s="2">
        <f t="shared" si="14"/>
        <v>2977.05078125</v>
      </c>
      <c r="AJ15" s="2">
        <v>2.0787449457657203E-2</v>
      </c>
      <c r="AK15" s="2">
        <f t="shared" si="9"/>
        <v>2972.412109375</v>
      </c>
      <c r="AL15" s="2">
        <v>-2.0230739514681773</v>
      </c>
      <c r="AM15" s="2">
        <f t="shared" si="10"/>
        <v>8.2301259351684593</v>
      </c>
      <c r="AN15" s="2">
        <f t="shared" si="11"/>
        <v>-4.2054547515247578E-2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133.61391210717196</v>
      </c>
      <c r="H16" s="6" t="s">
        <v>10</v>
      </c>
      <c r="J16" s="13" t="s">
        <v>53</v>
      </c>
      <c r="K16" s="6">
        <f xml:space="preserve"> $C$54 * 0.2138 * K4</f>
        <v>99.576183427402313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5.0048828125E-2</v>
      </c>
      <c r="W16" s="2">
        <f t="shared" si="0"/>
        <v>7.9998491592112031E-5</v>
      </c>
      <c r="X16" s="2">
        <f t="shared" si="8"/>
        <v>5.029296875E-2</v>
      </c>
      <c r="Y16" s="2">
        <f t="shared" si="1"/>
        <v>-1.6455668480048341E-4</v>
      </c>
      <c r="Z16" s="2">
        <f t="shared" si="3"/>
        <v>5.01708984375E-2</v>
      </c>
      <c r="AA16" s="2">
        <f t="shared" si="2"/>
        <v>-4.2278851980506738E-5</v>
      </c>
      <c r="AB16" s="2">
        <f t="shared" si="4"/>
        <v>-3.3822443846867174E-9</v>
      </c>
      <c r="AC16" s="2">
        <f t="shared" si="5"/>
        <v>6.9572677190825414E-9</v>
      </c>
      <c r="AD16" s="2">
        <f t="shared" si="6"/>
        <v>2.44140625E-4</v>
      </c>
      <c r="AF16" s="2">
        <v>12</v>
      </c>
      <c r="AG16" s="2">
        <f t="shared" si="13"/>
        <v>2972.412109375</v>
      </c>
      <c r="AH16" s="2">
        <v>-2.0230739514681773</v>
      </c>
      <c r="AI16" s="2">
        <f t="shared" si="14"/>
        <v>2977.05078125</v>
      </c>
      <c r="AJ16" s="2">
        <v>2.0787449457657203E-2</v>
      </c>
      <c r="AK16" s="2">
        <f t="shared" si="9"/>
        <v>2974.7314453125</v>
      </c>
      <c r="AL16" s="2">
        <v>-1.0009886427869787</v>
      </c>
      <c r="AM16" s="2">
        <f t="shared" si="10"/>
        <v>2.0250740489378209</v>
      </c>
      <c r="AN16" s="2">
        <f t="shared" si="11"/>
        <v>-2.0808000819623203E-2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0.40157852994144183</v>
      </c>
      <c r="H17" s="6" t="s">
        <v>122</v>
      </c>
      <c r="J17" s="13" t="s">
        <v>77</v>
      </c>
      <c r="K17" s="6">
        <f xml:space="preserve"> $C$54 * 0.1149 * K4</f>
        <v>53.514048062715275</v>
      </c>
      <c r="L17" s="6" t="s">
        <v>7</v>
      </c>
      <c r="N17" s="6" t="s">
        <v>25</v>
      </c>
      <c r="O17" s="6">
        <f xml:space="preserve"> ACOS(O14)/PI()*180</f>
        <v>4.752198582900828</v>
      </c>
      <c r="P17" s="6" t="s">
        <v>40</v>
      </c>
      <c r="U17" s="2">
        <v>13</v>
      </c>
      <c r="V17" s="2">
        <f t="shared" si="7"/>
        <v>5.0048828125E-2</v>
      </c>
      <c r="W17" s="2">
        <f t="shared" si="0"/>
        <v>7.9998491592112031E-5</v>
      </c>
      <c r="X17" s="2">
        <f t="shared" si="8"/>
        <v>5.01708984375E-2</v>
      </c>
      <c r="Y17" s="2">
        <f t="shared" si="1"/>
        <v>-4.2278851980506738E-5</v>
      </c>
      <c r="Z17" s="2">
        <f t="shared" si="3"/>
        <v>5.010986328125E-2</v>
      </c>
      <c r="AA17" s="2">
        <f t="shared" si="2"/>
        <v>1.8859880968488674E-5</v>
      </c>
      <c r="AB17" s="2">
        <f t="shared" si="4"/>
        <v>1.5087620290858749E-9</v>
      </c>
      <c r="AC17" s="2">
        <f t="shared" si="5"/>
        <v>-7.9737411583670874E-10</v>
      </c>
      <c r="AD17" s="2">
        <f t="shared" si="6"/>
        <v>1.220703125E-4</v>
      </c>
      <c r="AF17" s="2">
        <v>13</v>
      </c>
      <c r="AG17" s="2">
        <f t="shared" si="13"/>
        <v>2974.7314453125</v>
      </c>
      <c r="AH17" s="2">
        <v>-1.0009886427869787</v>
      </c>
      <c r="AI17" s="2">
        <f t="shared" si="14"/>
        <v>2977.05078125</v>
      </c>
      <c r="AJ17" s="2">
        <v>2.0787449457657203E-2</v>
      </c>
      <c r="AK17" s="2">
        <f t="shared" si="9"/>
        <v>2975.89111328125</v>
      </c>
      <c r="AL17" s="2">
        <v>-0.49006409883713786</v>
      </c>
      <c r="AM17" s="2">
        <f t="shared" si="10"/>
        <v>0.49054859717361043</v>
      </c>
      <c r="AN17" s="2">
        <f t="shared" si="11"/>
        <v>-1.0187182685589328E-2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7319.2474720664331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137.66971705924308</v>
      </c>
      <c r="L18" s="6" t="s">
        <v>7</v>
      </c>
      <c r="N18" s="6" t="s">
        <v>19</v>
      </c>
      <c r="O18" s="6">
        <f xml:space="preserve"> O13 / $C$18</f>
        <v>7319.2474720664331</v>
      </c>
      <c r="P18" s="6" t="s">
        <v>20</v>
      </c>
      <c r="U18" s="2">
        <v>14</v>
      </c>
      <c r="V18" s="2">
        <f t="shared" si="7"/>
        <v>5.010986328125E-2</v>
      </c>
      <c r="W18" s="2">
        <f t="shared" si="0"/>
        <v>1.8859880968488674E-5</v>
      </c>
      <c r="X18" s="2">
        <f t="shared" si="8"/>
        <v>5.01708984375E-2</v>
      </c>
      <c r="Y18" s="2">
        <f t="shared" si="1"/>
        <v>-4.2278851980506738E-5</v>
      </c>
      <c r="Z18" s="2">
        <f t="shared" si="3"/>
        <v>5.0140380859375E-2</v>
      </c>
      <c r="AA18" s="2">
        <f t="shared" si="2"/>
        <v>-1.170947021618407E-5</v>
      </c>
      <c r="AB18" s="2">
        <f t="shared" si="4"/>
        <v>-2.2083921448129489E-10</v>
      </c>
      <c r="AC18" s="2">
        <f t="shared" si="5"/>
        <v>4.9506295804019851E-10</v>
      </c>
      <c r="AD18" s="2">
        <f t="shared" si="6"/>
        <v>6.103515625E-5</v>
      </c>
      <c r="AF18" s="2">
        <v>14</v>
      </c>
      <c r="AG18" s="2">
        <f t="shared" si="13"/>
        <v>2975.89111328125</v>
      </c>
      <c r="AH18" s="2">
        <v>-0.49006409883713786</v>
      </c>
      <c r="AI18" s="2">
        <f t="shared" si="14"/>
        <v>2977.05078125</v>
      </c>
      <c r="AJ18" s="2">
        <v>2.0787449457657203E-2</v>
      </c>
      <c r="AK18" s="2">
        <f t="shared" si="9"/>
        <v>2976.470947265625</v>
      </c>
      <c r="AL18" s="2">
        <v>-0.23462239311629673</v>
      </c>
      <c r="AM18" s="2">
        <f t="shared" si="10"/>
        <v>0.11498001164955066</v>
      </c>
      <c r="AN18" s="2">
        <f t="shared" si="11"/>
        <v>-4.8772011385395976E-3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67.113219682031399</v>
      </c>
      <c r="H19" s="6" t="s">
        <v>101</v>
      </c>
      <c r="J19" s="14" t="s">
        <v>61</v>
      </c>
      <c r="K19" s="6">
        <f xml:space="preserve"> $C$55 * C31 * $C$5</f>
        <v>33.34251065528948</v>
      </c>
      <c r="L19" s="6" t="s">
        <v>7</v>
      </c>
      <c r="N19" s="6" t="s">
        <v>26</v>
      </c>
      <c r="O19" s="6">
        <f>$C$7*2*PI()/60</f>
        <v>34.438784117254237</v>
      </c>
      <c r="P19" s="6" t="s">
        <v>27</v>
      </c>
      <c r="U19" s="2">
        <v>15</v>
      </c>
      <c r="V19" s="2">
        <f t="shared" si="7"/>
        <v>5.010986328125E-2</v>
      </c>
      <c r="W19" s="2">
        <f t="shared" si="0"/>
        <v>1.8859880968488674E-5</v>
      </c>
      <c r="X19" s="2">
        <f t="shared" si="8"/>
        <v>5.0140380859375E-2</v>
      </c>
      <c r="Y19" s="2">
        <f t="shared" si="1"/>
        <v>-1.170947021618407E-5</v>
      </c>
      <c r="Z19" s="2">
        <f t="shared" si="3"/>
        <v>5.01251220703125E-2</v>
      </c>
      <c r="AA19" s="2">
        <f t="shared" si="2"/>
        <v>3.5752091987126255E-6</v>
      </c>
      <c r="AB19" s="2">
        <f t="shared" si="4"/>
        <v>6.7428019925165889E-11</v>
      </c>
      <c r="AC19" s="2">
        <f t="shared" si="5"/>
        <v>-4.1863805628952806E-11</v>
      </c>
      <c r="AD19" s="2">
        <f t="shared" si="6"/>
        <v>3.0517578125E-5</v>
      </c>
      <c r="AF19" s="2">
        <v>15</v>
      </c>
      <c r="AG19" s="2">
        <f t="shared" si="13"/>
        <v>2976.470947265625</v>
      </c>
      <c r="AH19" s="2">
        <v>-0.23462239311629673</v>
      </c>
      <c r="AI19" s="2">
        <f t="shared" si="14"/>
        <v>2977.05078125</v>
      </c>
      <c r="AJ19" s="2">
        <v>2.0787449457657203E-2</v>
      </c>
      <c r="AK19" s="2">
        <f t="shared" si="9"/>
        <v>2976.7608642578125</v>
      </c>
      <c r="AL19" s="2">
        <v>-0.10691122195703429</v>
      </c>
      <c r="AM19" s="2">
        <f t="shared" si="10"/>
        <v>2.5083766746546953E-2</v>
      </c>
      <c r="AN19" s="2">
        <f t="shared" si="11"/>
        <v>-2.2224116228882211E-3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11.127759893689635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0.5001386618955268</v>
      </c>
      <c r="U20" s="2">
        <v>16</v>
      </c>
      <c r="V20" s="2">
        <f t="shared" si="7"/>
        <v>5.01251220703125E-2</v>
      </c>
      <c r="W20" s="2">
        <f t="shared" si="0"/>
        <v>3.5752091987126255E-6</v>
      </c>
      <c r="X20" s="2">
        <f t="shared" si="8"/>
        <v>5.0140380859375E-2</v>
      </c>
      <c r="Y20" s="2">
        <f t="shared" si="1"/>
        <v>-1.170947021618407E-5</v>
      </c>
      <c r="Z20" s="2">
        <f t="shared" si="3"/>
        <v>5.013275146484375E-2</v>
      </c>
      <c r="AA20" s="2">
        <f t="shared" si="2"/>
        <v>-4.0671295531077845E-6</v>
      </c>
      <c r="AB20" s="2">
        <f t="shared" si="4"/>
        <v>-1.4540838990626921E-11</v>
      </c>
      <c r="AC20" s="2">
        <f t="shared" si="5"/>
        <v>4.7623932367477631E-11</v>
      </c>
      <c r="AD20" s="2">
        <f t="shared" si="6"/>
        <v>1.52587890625E-5</v>
      </c>
      <c r="AF20" s="2">
        <v>16</v>
      </c>
      <c r="AG20" s="2">
        <f t="shared" si="13"/>
        <v>2976.7608642578125</v>
      </c>
      <c r="AH20" s="2">
        <v>-0.10691122195703429</v>
      </c>
      <c r="AI20" s="2">
        <f t="shared" si="14"/>
        <v>2977.05078125</v>
      </c>
      <c r="AJ20" s="2">
        <v>2.0787449457657203E-2</v>
      </c>
      <c r="AK20" s="2">
        <f t="shared" si="9"/>
        <v>2976.9058227539062</v>
      </c>
      <c r="AL20" s="2">
        <v>-4.306258833503307E-2</v>
      </c>
      <c r="AM20" s="2">
        <f t="shared" si="10"/>
        <v>4.6038739395311157E-3</v>
      </c>
      <c r="AN20" s="2">
        <f t="shared" si="11"/>
        <v>-8.9516137853039854E-4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0.14000000000089038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8.596276786334121E-3</v>
      </c>
      <c r="U21" s="2">
        <v>17</v>
      </c>
      <c r="V21" s="2">
        <f t="shared" si="7"/>
        <v>5.01251220703125E-2</v>
      </c>
      <c r="W21" s="2">
        <f t="shared" si="0"/>
        <v>3.5752091987126255E-6</v>
      </c>
      <c r="X21" s="2">
        <f t="shared" si="8"/>
        <v>5.013275146484375E-2</v>
      </c>
      <c r="Y21" s="2">
        <f t="shared" si="1"/>
        <v>-4.0671295531077845E-6</v>
      </c>
      <c r="Z21" s="2">
        <f t="shared" si="3"/>
        <v>5.0128936767578125E-2</v>
      </c>
      <c r="AA21" s="2">
        <f t="shared" si="2"/>
        <v>-2.4595993829146234E-7</v>
      </c>
      <c r="AB21" s="2">
        <f t="shared" si="4"/>
        <v>-8.7935823389442593E-13</v>
      </c>
      <c r="AC21" s="2">
        <f t="shared" si="5"/>
        <v>1.0003509339057734E-12</v>
      </c>
      <c r="AD21" s="2">
        <f t="shared" si="6"/>
        <v>7.62939453125E-6</v>
      </c>
      <c r="AF21" s="2">
        <v>17</v>
      </c>
      <c r="AG21" s="2">
        <f t="shared" si="13"/>
        <v>2976.9058227539062</v>
      </c>
      <c r="AH21" s="2">
        <v>-4.306258833503307E-2</v>
      </c>
      <c r="AI21" s="2">
        <f t="shared" si="14"/>
        <v>2977.05078125</v>
      </c>
      <c r="AJ21" s="2">
        <v>2.0787449457657203E-2</v>
      </c>
      <c r="AK21" s="2">
        <f t="shared" si="9"/>
        <v>2976.9783020019531</v>
      </c>
      <c r="AL21" s="2">
        <v>-1.1146804827603773E-2</v>
      </c>
      <c r="AM21" s="2">
        <f t="shared" si="10"/>
        <v>4.8001026754206056E-4</v>
      </c>
      <c r="AN21" s="2">
        <f t="shared" si="11"/>
        <v>-2.3171364196818275E-4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268.4528787281256</v>
      </c>
      <c r="H22" s="25" t="s">
        <v>101</v>
      </c>
      <c r="J22" s="14" t="s">
        <v>112</v>
      </c>
      <c r="K22" s="6">
        <f>$C$55*(0.14*$G$12*1000/745.7)*0.453592</f>
        <v>26.44148215509831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5.01251220703125E-2</v>
      </c>
      <c r="W22" s="2">
        <f t="shared" si="0"/>
        <v>3.5752091987126255E-6</v>
      </c>
      <c r="X22" s="2">
        <f t="shared" si="8"/>
        <v>5.0128936767578125E-2</v>
      </c>
      <c r="Y22" s="2">
        <f t="shared" si="1"/>
        <v>-2.4595993829146234E-7</v>
      </c>
      <c r="Z22" s="2">
        <f t="shared" si="3"/>
        <v>5.0127029418945312E-2</v>
      </c>
      <c r="AA22" s="2">
        <f t="shared" si="2"/>
        <v>1.6646246899371109E-6</v>
      </c>
      <c r="AB22" s="2">
        <f t="shared" si="4"/>
        <v>5.9513815038673106E-12</v>
      </c>
      <c r="AC22" s="2">
        <f t="shared" si="5"/>
        <v>-4.0943098601537642E-13</v>
      </c>
      <c r="AD22" s="2">
        <f t="shared" si="6"/>
        <v>3.814697265625E-6</v>
      </c>
      <c r="AF22" s="2">
        <v>18</v>
      </c>
      <c r="AG22" s="2">
        <f t="shared" si="13"/>
        <v>2976.9783020019531</v>
      </c>
      <c r="AH22" s="2">
        <v>-1.1146804827603773E-2</v>
      </c>
      <c r="AI22" s="2">
        <f t="shared" si="14"/>
        <v>2977.05078125</v>
      </c>
      <c r="AJ22" s="2">
        <v>2.0787449457657203E-2</v>
      </c>
      <c r="AK22" s="2">
        <f t="shared" si="9"/>
        <v>2977.0145416259766</v>
      </c>
      <c r="AL22" s="2">
        <v>4.8202783791566617E-3</v>
      </c>
      <c r="AM22" s="2">
        <f t="shared" si="10"/>
        <v>-5.3730702307177572E-5</v>
      </c>
      <c r="AN22" s="2">
        <f t="shared" si="11"/>
        <v>1.002012931785569E-4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63.827091825839858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16810.309162825113</v>
      </c>
      <c r="P23" s="6" t="s">
        <v>18</v>
      </c>
      <c r="U23" s="2">
        <v>19</v>
      </c>
      <c r="V23" s="2">
        <f t="shared" si="7"/>
        <v>5.0127029418945312E-2</v>
      </c>
      <c r="W23" s="2">
        <f t="shared" si="0"/>
        <v>1.6646246899371109E-6</v>
      </c>
      <c r="X23" s="2">
        <f t="shared" si="8"/>
        <v>5.0128936767578125E-2</v>
      </c>
      <c r="Y23" s="2">
        <f t="shared" si="1"/>
        <v>-2.4595993829146234E-7</v>
      </c>
      <c r="Z23" s="2">
        <f t="shared" si="3"/>
        <v>5.0127983093261719E-2</v>
      </c>
      <c r="AA23" s="2">
        <f t="shared" si="2"/>
        <v>7.0933239075532395E-7</v>
      </c>
      <c r="AB23" s="2">
        <f t="shared" si="4"/>
        <v>1.1807722110234308E-12</v>
      </c>
      <c r="AC23" s="2">
        <f t="shared" si="5"/>
        <v>-1.7446735105831494E-13</v>
      </c>
      <c r="AD23" s="2">
        <f t="shared" si="6"/>
        <v>1.9073486328125E-6</v>
      </c>
      <c r="AF23" s="2">
        <v>19</v>
      </c>
      <c r="AG23" s="2">
        <f t="shared" si="13"/>
        <v>2976.9783020019531</v>
      </c>
      <c r="AH23" s="2">
        <v>-1.1146804827603773E-2</v>
      </c>
      <c r="AI23" s="2">
        <f t="shared" si="14"/>
        <v>2977.0145416259766</v>
      </c>
      <c r="AJ23" s="2">
        <v>4.8202783791566617E-3</v>
      </c>
      <c r="AK23" s="2">
        <f t="shared" si="9"/>
        <v>2976.9964218139648</v>
      </c>
      <c r="AL23" s="2">
        <v>-3.1542142819489527E-3</v>
      </c>
      <c r="AM23" s="2">
        <f t="shared" si="10"/>
        <v>3.5159410985325355E-5</v>
      </c>
      <c r="AN23" s="2">
        <f t="shared" si="11"/>
        <v>-1.520419090650569E-5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8.8572483317191804</v>
      </c>
      <c r="L24" s="6" t="s">
        <v>7</v>
      </c>
      <c r="N24" s="6" t="s">
        <v>31</v>
      </c>
      <c r="O24" s="18">
        <f>Z34</f>
        <v>5.0128691364079714E-2</v>
      </c>
      <c r="U24" s="2">
        <v>20</v>
      </c>
      <c r="V24" s="2">
        <f t="shared" si="7"/>
        <v>5.0127983093261719E-2</v>
      </c>
      <c r="W24" s="2">
        <f t="shared" si="0"/>
        <v>7.0933239075532395E-7</v>
      </c>
      <c r="X24" s="2">
        <f t="shared" si="8"/>
        <v>5.0128936767578125E-2</v>
      </c>
      <c r="Y24" s="2">
        <f t="shared" si="1"/>
        <v>-2.4595993829146234E-7</v>
      </c>
      <c r="Z24" s="2">
        <f t="shared" si="3"/>
        <v>5.0128459930419922E-2</v>
      </c>
      <c r="AA24" s="2">
        <f t="shared" si="2"/>
        <v>2.3168622996505572E-7</v>
      </c>
      <c r="AB24" s="2">
        <f t="shared" si="4"/>
        <v>1.6434254740620075E-13</v>
      </c>
      <c r="AC24" s="2">
        <f t="shared" si="5"/>
        <v>-5.6985530825186665E-14</v>
      </c>
      <c r="AD24" s="2">
        <f t="shared" si="6"/>
        <v>9.5367431640625E-7</v>
      </c>
      <c r="AF24" s="2">
        <v>20</v>
      </c>
      <c r="AG24" s="2">
        <f t="shared" si="13"/>
        <v>2976.9964218139648</v>
      </c>
      <c r="AH24" s="2">
        <v>-3.1542142819489527E-3</v>
      </c>
      <c r="AI24" s="2">
        <f t="shared" si="14"/>
        <v>2977.0145416259766</v>
      </c>
      <c r="AJ24" s="2">
        <v>4.8202783791566617E-3</v>
      </c>
      <c r="AK24" s="2">
        <f t="shared" si="9"/>
        <v>2977.0054817199707</v>
      </c>
      <c r="AL24" s="2">
        <v>8.3302931670914404E-4</v>
      </c>
      <c r="AM24" s="2">
        <f t="shared" si="10"/>
        <v>-2.6275529680461596E-6</v>
      </c>
      <c r="AN24" s="2">
        <f t="shared" si="11"/>
        <v>4.0154332045367346E-6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19.052863231593985</v>
      </c>
      <c r="L25" s="6" t="s">
        <v>7</v>
      </c>
      <c r="N25" s="6" t="s">
        <v>32</v>
      </c>
      <c r="O25" s="6">
        <f xml:space="preserve"> O19 * $C$9 * O24 - $C$8 * SIN(O17/180*PI())</f>
        <v>1.1425391333839148</v>
      </c>
      <c r="P25" s="6" t="s">
        <v>10</v>
      </c>
      <c r="U25" s="2">
        <v>21</v>
      </c>
      <c r="V25" s="2">
        <f t="shared" si="7"/>
        <v>5.0128459930419922E-2</v>
      </c>
      <c r="W25" s="2">
        <f t="shared" si="0"/>
        <v>2.3168622996505572E-7</v>
      </c>
      <c r="X25" s="2">
        <f t="shared" si="8"/>
        <v>5.0128936767578125E-2</v>
      </c>
      <c r="Y25" s="2">
        <f t="shared" si="1"/>
        <v>-2.4595993829146234E-7</v>
      </c>
      <c r="Z25" s="2">
        <f t="shared" si="3"/>
        <v>5.0128698348999023E-2</v>
      </c>
      <c r="AA25" s="2">
        <f t="shared" si="2"/>
        <v>-7.136853226452633E-9</v>
      </c>
      <c r="AB25" s="2">
        <f t="shared" si="4"/>
        <v>-1.6535106178507546E-15</v>
      </c>
      <c r="AC25" s="2">
        <f t="shared" si="5"/>
        <v>1.7553799791735135E-15</v>
      </c>
      <c r="AD25" s="2">
        <f t="shared" si="6"/>
        <v>4.76837158203125E-7</v>
      </c>
      <c r="AF25" s="2">
        <v>21</v>
      </c>
      <c r="AG25" s="2">
        <f t="shared" si="13"/>
        <v>2976.9964218139648</v>
      </c>
      <c r="AH25" s="2">
        <v>-3.1542142819489527E-3</v>
      </c>
      <c r="AI25" s="2">
        <f t="shared" si="14"/>
        <v>2977.0054817199707</v>
      </c>
      <c r="AJ25" s="2">
        <v>8.3302931670914404E-4</v>
      </c>
      <c r="AK25" s="2">
        <f t="shared" si="9"/>
        <v>2977.0009517669678</v>
      </c>
      <c r="AL25" s="2">
        <v>-1.1605931654230517E-3</v>
      </c>
      <c r="AM25" s="2">
        <f t="shared" si="10"/>
        <v>3.6607595379097331E-6</v>
      </c>
      <c r="AN25" s="2">
        <f t="shared" si="11"/>
        <v>-9.6680813156966731E-7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54.443614498033405</v>
      </c>
      <c r="L26" s="6" t="s">
        <v>7</v>
      </c>
      <c r="N26" s="6" t="s">
        <v>33</v>
      </c>
      <c r="O26" s="6">
        <f xml:space="preserve"> 1/$C$21 - O23 * SQRT( (2*$C$47*PI()*$C$9^2) / O18^3 )</f>
        <v>1.0711425676232018</v>
      </c>
      <c r="U26" s="2">
        <v>22</v>
      </c>
      <c r="V26" s="2">
        <f t="shared" si="7"/>
        <v>5.0128459930419922E-2</v>
      </c>
      <c r="W26" s="2">
        <f t="shared" si="0"/>
        <v>2.3168622996505572E-7</v>
      </c>
      <c r="X26" s="2">
        <f t="shared" si="8"/>
        <v>5.0128698348999023E-2</v>
      </c>
      <c r="Y26" s="2">
        <f t="shared" si="1"/>
        <v>-7.136853226452633E-9</v>
      </c>
      <c r="Z26" s="2">
        <f t="shared" si="3"/>
        <v>5.0128579139709473E-2</v>
      </c>
      <c r="AA26" s="2">
        <f t="shared" si="2"/>
        <v>1.1227468860175449E-7</v>
      </c>
      <c r="AB26" s="2">
        <f t="shared" si="4"/>
        <v>2.6012499322641112E-14</v>
      </c>
      <c r="AC26" s="2">
        <f t="shared" si="5"/>
        <v>-8.0128797359639618E-16</v>
      </c>
      <c r="AD26" s="2">
        <f t="shared" si="6"/>
        <v>2.384185791015625E-7</v>
      </c>
      <c r="AF26" s="2">
        <v>22</v>
      </c>
      <c r="AG26" s="2">
        <f t="shared" si="13"/>
        <v>2977.0009517669678</v>
      </c>
      <c r="AH26" s="2">
        <v>-1.1605931654230517E-3</v>
      </c>
      <c r="AI26" s="2">
        <f t="shared" si="14"/>
        <v>2977.0054817199707</v>
      </c>
      <c r="AJ26" s="2">
        <v>8.3302931670914404E-4</v>
      </c>
      <c r="AK26" s="2">
        <f t="shared" si="9"/>
        <v>2977.0032167434692</v>
      </c>
      <c r="AL26" s="2">
        <v>-1.5472214727196842E-4</v>
      </c>
      <c r="AM26" s="2">
        <f t="shared" si="10"/>
        <v>1.7956946666342541E-7</v>
      </c>
      <c r="AN26" s="2">
        <f t="shared" si="11"/>
        <v>-1.2888808462173941E-7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2.7689994844877219E-3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5.0128579139709473E-2</v>
      </c>
      <c r="W27" s="2">
        <f t="shared" si="0"/>
        <v>1.1227468860175449E-7</v>
      </c>
      <c r="X27" s="2">
        <f t="shared" si="8"/>
        <v>5.0128698348999023E-2</v>
      </c>
      <c r="Y27" s="2">
        <f t="shared" si="1"/>
        <v>-7.136853226452633E-9</v>
      </c>
      <c r="Z27" s="2">
        <f t="shared" si="3"/>
        <v>5.0128638744354248E-2</v>
      </c>
      <c r="AA27" s="2">
        <f t="shared" si="2"/>
        <v>5.2568917746631527E-8</v>
      </c>
      <c r="AB27" s="2">
        <f t="shared" si="4"/>
        <v>5.9021588701343003E-15</v>
      </c>
      <c r="AC27" s="2">
        <f t="shared" si="5"/>
        <v>-3.7517665023117029E-16</v>
      </c>
      <c r="AD27" s="2">
        <f t="shared" si="6"/>
        <v>1.1920928955078125E-7</v>
      </c>
      <c r="AF27" s="2">
        <v>23</v>
      </c>
      <c r="AG27" s="2">
        <f t="shared" si="13"/>
        <v>2977.0032167434692</v>
      </c>
      <c r="AH27" s="2">
        <v>-1.5472214727196842E-4</v>
      </c>
      <c r="AI27" s="2">
        <f t="shared" si="14"/>
        <v>2977.0054817199707</v>
      </c>
      <c r="AJ27" s="2">
        <v>8.3302931670914404E-4</v>
      </c>
      <c r="AK27" s="2">
        <f t="shared" si="9"/>
        <v>2977.00434923172</v>
      </c>
      <c r="AL27" s="2">
        <v>3.3009359231073176E-4</v>
      </c>
      <c r="AM27" s="2">
        <f t="shared" si="10"/>
        <v>-5.1072789403034144E-8</v>
      </c>
      <c r="AN27" s="2">
        <f t="shared" si="11"/>
        <v>2.7497763965267563E-7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7294.7840294721937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1.1529910763563163</v>
      </c>
      <c r="U28" s="2">
        <v>24</v>
      </c>
      <c r="V28" s="2">
        <f t="shared" si="7"/>
        <v>5.0128638744354248E-2</v>
      </c>
      <c r="W28" s="2">
        <f t="shared" si="0"/>
        <v>5.2568917746631527E-8</v>
      </c>
      <c r="X28" s="2">
        <f t="shared" si="8"/>
        <v>5.0128698348999023E-2</v>
      </c>
      <c r="Y28" s="2">
        <f t="shared" si="1"/>
        <v>-7.136853226452633E-9</v>
      </c>
      <c r="Z28" s="2">
        <f t="shared" si="3"/>
        <v>5.0128668546676636E-2</v>
      </c>
      <c r="AA28" s="2">
        <f t="shared" si="2"/>
        <v>2.2716032277436682E-8</v>
      </c>
      <c r="AB28" s="2">
        <f t="shared" si="4"/>
        <v>1.1941572323223958E-15</v>
      </c>
      <c r="AC28" s="2">
        <f t="shared" si="5"/>
        <v>-1.6212098825142613E-16</v>
      </c>
      <c r="AD28" s="2">
        <f t="shared" si="6"/>
        <v>5.9604644775390625E-8</v>
      </c>
      <c r="AF28" s="2">
        <v>24</v>
      </c>
      <c r="AG28" s="2">
        <f t="shared" si="13"/>
        <v>2977.0032167434692</v>
      </c>
      <c r="AH28" s="2">
        <v>-1.5472214727196842E-4</v>
      </c>
      <c r="AI28" s="2">
        <f t="shared" si="14"/>
        <v>2977.00434923172</v>
      </c>
      <c r="AJ28" s="2">
        <v>3.3009359231073176E-4</v>
      </c>
      <c r="AK28" s="2">
        <f t="shared" si="9"/>
        <v>2977.0037829875946</v>
      </c>
      <c r="AL28" s="2">
        <v>8.7685712514939951E-5</v>
      </c>
      <c r="AM28" s="2">
        <f t="shared" si="10"/>
        <v>-1.3566921725384024E-8</v>
      </c>
      <c r="AN28" s="2">
        <f t="shared" si="11"/>
        <v>2.8944491838382619E-8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83.771795640168435</v>
      </c>
      <c r="H29" t="s">
        <v>18</v>
      </c>
      <c r="U29" s="2">
        <v>25</v>
      </c>
      <c r="V29" s="2">
        <f t="shared" si="7"/>
        <v>5.0128668546676636E-2</v>
      </c>
      <c r="W29" s="2">
        <f t="shared" si="0"/>
        <v>2.2716032277436682E-8</v>
      </c>
      <c r="X29" s="2">
        <f t="shared" si="8"/>
        <v>5.0128698348999023E-2</v>
      </c>
      <c r="Y29" s="2">
        <f t="shared" si="1"/>
        <v>-7.136853226452633E-9</v>
      </c>
      <c r="Z29" s="2">
        <f t="shared" si="3"/>
        <v>5.012868344783783E-2</v>
      </c>
      <c r="AA29" s="2">
        <f t="shared" si="2"/>
        <v>7.7895895289614714E-9</v>
      </c>
      <c r="AB29" s="2">
        <f t="shared" si="4"/>
        <v>1.7694856716787157E-16</v>
      </c>
      <c r="AC29" s="2">
        <f t="shared" si="5"/>
        <v>-5.5593157162510322E-17</v>
      </c>
      <c r="AD29" s="2">
        <f t="shared" si="6"/>
        <v>2.9802322387695312E-8</v>
      </c>
      <c r="AF29" s="2">
        <v>25</v>
      </c>
      <c r="AG29" s="2">
        <f t="shared" si="13"/>
        <v>2977.0032167434692</v>
      </c>
      <c r="AH29" s="2">
        <v>-1.5472214727196842E-4</v>
      </c>
      <c r="AI29" s="2">
        <f t="shared" si="14"/>
        <v>2977.0037829875946</v>
      </c>
      <c r="AJ29" s="2">
        <v>8.7685712514939951E-5</v>
      </c>
      <c r="AK29" s="2">
        <f t="shared" si="9"/>
        <v>2977.0034998655319</v>
      </c>
      <c r="AL29" s="2">
        <v>-3.3518220789119368E-5</v>
      </c>
      <c r="AM29" s="2">
        <f t="shared" si="10"/>
        <v>5.1860110932284806E-9</v>
      </c>
      <c r="AN29" s="2">
        <f t="shared" si="11"/>
        <v>-2.9390690721270048E-9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8.8842845530133552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5.012868344783783E-2</v>
      </c>
      <c r="W30" s="2">
        <f t="shared" si="0"/>
        <v>7.7895895289614714E-9</v>
      </c>
      <c r="X30" s="2">
        <f t="shared" si="8"/>
        <v>5.0128698348999023E-2</v>
      </c>
      <c r="Y30" s="2">
        <f t="shared" si="1"/>
        <v>-7.136853226452633E-9</v>
      </c>
      <c r="Z30" s="2">
        <f t="shared" si="3"/>
        <v>5.0128690898418427E-2</v>
      </c>
      <c r="AA30" s="2">
        <f t="shared" si="2"/>
        <v>3.2636814778497225E-10</v>
      </c>
      <c r="AB30" s="2">
        <f t="shared" si="4"/>
        <v>2.5422739065723699E-18</v>
      </c>
      <c r="AC30" s="2">
        <f t="shared" si="5"/>
        <v>-2.329241568530549E-18</v>
      </c>
      <c r="AD30" s="2">
        <f t="shared" si="6"/>
        <v>1.4901161193847656E-8</v>
      </c>
      <c r="AF30" s="2">
        <v>26</v>
      </c>
      <c r="AG30" s="2">
        <f t="shared" si="13"/>
        <v>2977.0034998655319</v>
      </c>
      <c r="AH30" s="2">
        <v>-3.3518220789119368E-5</v>
      </c>
      <c r="AI30" s="2">
        <f t="shared" si="14"/>
        <v>2977.0037829875946</v>
      </c>
      <c r="AJ30" s="2">
        <v>8.7685712514939951E-5</v>
      </c>
      <c r="AK30" s="2">
        <f t="shared" si="9"/>
        <v>2977.0036414265633</v>
      </c>
      <c r="AL30" s="2">
        <v>2.7083748591394396E-5</v>
      </c>
      <c r="AM30" s="2">
        <f t="shared" si="10"/>
        <v>-9.0779906508335807E-10</v>
      </c>
      <c r="AN30" s="2">
        <f t="shared" si="11"/>
        <v>2.3748577928119187E-9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335.08718256067374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5.0128690898418427E-2</v>
      </c>
      <c r="W31" s="2">
        <f t="shared" si="0"/>
        <v>3.2636814778497225E-10</v>
      </c>
      <c r="X31" s="2">
        <f t="shared" si="8"/>
        <v>5.0128698348999023E-2</v>
      </c>
      <c r="Y31" s="2">
        <f t="shared" si="1"/>
        <v>-7.136853226452633E-9</v>
      </c>
      <c r="Z31" s="2">
        <f t="shared" si="3"/>
        <v>5.0128694623708725E-2</v>
      </c>
      <c r="AA31" s="2">
        <f t="shared" si="2"/>
        <v>-3.4052425393338304E-9</v>
      </c>
      <c r="AB31" s="2">
        <f t="shared" si="4"/>
        <v>-1.1113627003209778E-18</v>
      </c>
      <c r="AC31" s="2">
        <f t="shared" si="5"/>
        <v>2.4302716203698403E-17</v>
      </c>
      <c r="AD31" s="2">
        <f t="shared" si="6"/>
        <v>7.4505805969238281E-9</v>
      </c>
      <c r="AF31" s="2">
        <v>27</v>
      </c>
      <c r="AG31" s="2">
        <f t="shared" si="13"/>
        <v>2977.0034998655319</v>
      </c>
      <c r="AH31" s="2">
        <v>-3.3518220789119368E-5</v>
      </c>
      <c r="AI31" s="2">
        <f t="shared" si="14"/>
        <v>2977.0036414265633</v>
      </c>
      <c r="AJ31" s="2">
        <v>2.7083748591394396E-5</v>
      </c>
      <c r="AK31" s="2">
        <f t="shared" si="9"/>
        <v>2977.0035706460476</v>
      </c>
      <c r="AL31" s="2">
        <v>-1.2277185305720195E-5</v>
      </c>
      <c r="AM31" s="2">
        <f t="shared" si="10"/>
        <v>4.1150940774606147E-10</v>
      </c>
      <c r="AN31" s="2">
        <f t="shared" si="11"/>
        <v>-3.3251220023008732E-10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1343.64</v>
      </c>
      <c r="L32" s="6" t="s">
        <v>7</v>
      </c>
      <c r="U32" s="2">
        <v>28</v>
      </c>
      <c r="V32" s="2">
        <f t="shared" si="7"/>
        <v>5.0128690898418427E-2</v>
      </c>
      <c r="W32" s="2">
        <f t="shared" si="0"/>
        <v>3.2636814778497225E-10</v>
      </c>
      <c r="X32" s="2">
        <f t="shared" si="8"/>
        <v>5.0128694623708725E-2</v>
      </c>
      <c r="Y32" s="2">
        <f t="shared" si="1"/>
        <v>-3.4052425393338304E-9</v>
      </c>
      <c r="Z32" s="2">
        <f t="shared" si="3"/>
        <v>5.0128692761063576E-2</v>
      </c>
      <c r="AA32" s="2">
        <f t="shared" si="2"/>
        <v>-1.5394371957744291E-9</v>
      </c>
      <c r="AB32" s="2">
        <f t="shared" si="4"/>
        <v>-5.0242326621619217E-19</v>
      </c>
      <c r="AC32" s="2">
        <f t="shared" si="5"/>
        <v>5.2421570256838681E-18</v>
      </c>
      <c r="AD32" s="2">
        <f t="shared" si="6"/>
        <v>3.7252902984619141E-9</v>
      </c>
      <c r="AF32" s="2">
        <v>28</v>
      </c>
      <c r="AG32" s="2">
        <f t="shared" si="13"/>
        <v>2977.0035706460476</v>
      </c>
      <c r="AH32" s="2">
        <v>-1.2277185305720195E-5</v>
      </c>
      <c r="AI32" s="2">
        <f t="shared" si="14"/>
        <v>2977.0036414265633</v>
      </c>
      <c r="AJ32" s="2">
        <v>2.7083748591394396E-5</v>
      </c>
      <c r="AK32" s="2">
        <f t="shared" si="9"/>
        <v>2977.0036060363054</v>
      </c>
      <c r="AL32" s="2">
        <v>1.6463227893837029E-5</v>
      </c>
      <c r="AM32" s="2">
        <f t="shared" si="10"/>
        <v>-2.0212209958293881E-10</v>
      </c>
      <c r="AN32" s="2">
        <f t="shared" si="11"/>
        <v>4.4588592527951357E-10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689.73</v>
      </c>
      <c r="L33" s="6" t="s">
        <v>7</v>
      </c>
      <c r="U33" s="2">
        <v>29</v>
      </c>
      <c r="V33" s="2">
        <f t="shared" si="7"/>
        <v>5.0128690898418427E-2</v>
      </c>
      <c r="W33" s="2">
        <f t="shared" si="0"/>
        <v>3.2636814778497225E-10</v>
      </c>
      <c r="X33" s="2">
        <f t="shared" si="8"/>
        <v>5.0128692761063576E-2</v>
      </c>
      <c r="Y33" s="2">
        <f t="shared" si="1"/>
        <v>-1.5394371957744291E-9</v>
      </c>
      <c r="Z33" s="2">
        <f t="shared" si="3"/>
        <v>5.0128691829741001E-2</v>
      </c>
      <c r="AA33" s="2">
        <f t="shared" si="2"/>
        <v>-6.065345239947284E-10</v>
      </c>
      <c r="AB33" s="2">
        <f t="shared" si="4"/>
        <v>-1.9795354916379932E-19</v>
      </c>
      <c r="AC33" s="2">
        <f t="shared" si="5"/>
        <v>9.337218067588228E-19</v>
      </c>
      <c r="AD33" s="2">
        <f t="shared" si="6"/>
        <v>1.862645149230957E-9</v>
      </c>
      <c r="AF33" s="2">
        <v>29</v>
      </c>
      <c r="AG33" s="2">
        <f t="shared" si="13"/>
        <v>2977.0035706460476</v>
      </c>
      <c r="AH33" s="2">
        <v>-1.2277185305720195E-5</v>
      </c>
      <c r="AI33" s="2">
        <f t="shared" si="14"/>
        <v>2977.0036060363054</v>
      </c>
      <c r="AJ33" s="2">
        <v>1.6463227893837029E-5</v>
      </c>
      <c r="AK33" s="2">
        <f t="shared" si="9"/>
        <v>2977.0035883411765</v>
      </c>
      <c r="AL33" s="2">
        <v>-6.9669285949203186E-6</v>
      </c>
      <c r="AM33" s="2">
        <f t="shared" si="10"/>
        <v>8.5534273371557581E-11</v>
      </c>
      <c r="AN33" s="2">
        <f t="shared" si="11"/>
        <v>-1.1469813317826301E-10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197.45</v>
      </c>
      <c r="L34" s="6" t="s">
        <v>7</v>
      </c>
      <c r="U34" s="2">
        <v>30</v>
      </c>
      <c r="V34" s="2">
        <f t="shared" si="7"/>
        <v>5.0128690898418427E-2</v>
      </c>
      <c r="W34" s="2">
        <f t="shared" si="0"/>
        <v>3.2636814778497225E-10</v>
      </c>
      <c r="X34" s="2">
        <f t="shared" si="8"/>
        <v>5.0128691829741001E-2</v>
      </c>
      <c r="Y34" s="2">
        <f t="shared" si="1"/>
        <v>-6.065345239947284E-10</v>
      </c>
      <c r="Z34" s="2">
        <f t="shared" si="3"/>
        <v>5.0128691364079714E-2</v>
      </c>
      <c r="AA34" s="2">
        <f t="shared" si="2"/>
        <v>-1.4008318116598417E-10</v>
      </c>
      <c r="AB34" s="2">
        <f t="shared" si="4"/>
        <v>-4.5718688372968964E-20</v>
      </c>
      <c r="AC34" s="2">
        <f t="shared" si="5"/>
        <v>8.4965285608177513E-20</v>
      </c>
      <c r="AD34" s="2">
        <f>X34-V34</f>
        <v>9.3132257461547852E-10</v>
      </c>
      <c r="AF34" s="2">
        <v>30</v>
      </c>
      <c r="AG34" s="2">
        <f t="shared" si="13"/>
        <v>2977.0035883411765</v>
      </c>
      <c r="AH34" s="2">
        <v>-6.9669285949203186E-6</v>
      </c>
      <c r="AI34" s="2">
        <f t="shared" si="14"/>
        <v>2977.0036060363054</v>
      </c>
      <c r="AJ34" s="2">
        <v>1.6463227893837029E-5</v>
      </c>
      <c r="AK34" s="2">
        <f t="shared" si="9"/>
        <v>2977.003597188741</v>
      </c>
      <c r="AL34" s="2">
        <v>-4.3117984205309767E-6</v>
      </c>
      <c r="AM34" s="2">
        <f t="shared" si="10"/>
        <v>3.0039991711529527E-11</v>
      </c>
      <c r="AN34" s="2">
        <f t="shared" si="11"/>
        <v>-7.0986120029488021E-11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268.4528787281256</v>
      </c>
      <c r="H35" s="25" t="s">
        <v>101</v>
      </c>
      <c r="J35" s="15" t="s">
        <v>70</v>
      </c>
      <c r="K35" s="6">
        <f>ROUND(SUM(K23:K26),2)</f>
        <v>146.18</v>
      </c>
      <c r="L35" s="6" t="s">
        <v>7</v>
      </c>
      <c r="AF35" s="2">
        <v>31</v>
      </c>
      <c r="AG35" s="2">
        <f t="shared" si="13"/>
        <v>2977.003597188741</v>
      </c>
      <c r="AH35" s="2">
        <v>-4.3117984205309767E-6</v>
      </c>
      <c r="AI35" s="2">
        <f t="shared" si="14"/>
        <v>2977.0036060363054</v>
      </c>
      <c r="AJ35" s="2">
        <v>1.6463227893837029E-5</v>
      </c>
      <c r="AK35" s="2">
        <f t="shared" si="9"/>
        <v>2977.0036016125232</v>
      </c>
      <c r="AL35" s="2">
        <v>1.5135665762500139E-5</v>
      </c>
      <c r="AM35" s="2">
        <f t="shared" si="10"/>
        <v>-6.5261939728432881E-11</v>
      </c>
      <c r="AN35" s="2">
        <f t="shared" si="11"/>
        <v>2.4918191477298639E-10</v>
      </c>
      <c r="AO35" s="2">
        <f t="shared" si="12"/>
        <v>8.8475644588470459E-6</v>
      </c>
    </row>
    <row r="36" spans="2:41" x14ac:dyDescent="0.2">
      <c r="B36" s="6" t="s">
        <v>3</v>
      </c>
      <c r="C36" s="17">
        <v>250</v>
      </c>
      <c r="D36" s="6" t="s">
        <v>4</v>
      </c>
      <c r="J36" s="10" t="s">
        <v>59</v>
      </c>
      <c r="K36" s="10">
        <f>SUM(K31:K35)</f>
        <v>2976.9999999999995</v>
      </c>
      <c r="L36" s="6" t="s">
        <v>7</v>
      </c>
      <c r="AF36" s="2">
        <v>32</v>
      </c>
      <c r="AG36" s="2">
        <f t="shared" si="13"/>
        <v>2977.003597188741</v>
      </c>
      <c r="AH36" s="2">
        <v>-4.3117984205309767E-6</v>
      </c>
      <c r="AI36" s="2">
        <f t="shared" si="14"/>
        <v>2977.0036016125232</v>
      </c>
      <c r="AJ36" s="2">
        <v>1.6463227893837029E-5</v>
      </c>
      <c r="AK36" s="2">
        <f t="shared" si="9"/>
        <v>2977.0035994006321</v>
      </c>
      <c r="AL36" s="2">
        <v>1.5135665762500139E-5</v>
      </c>
      <c r="AM36" s="2">
        <f t="shared" si="10"/>
        <v>-6.5261939728432881E-11</v>
      </c>
      <c r="AN36" s="2">
        <f t="shared" si="11"/>
        <v>2.4918191477298639E-10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2977.003597188741</v>
      </c>
      <c r="AH37" s="2">
        <v>-4.3117984205309767E-6</v>
      </c>
      <c r="AI37" s="2">
        <f t="shared" si="14"/>
        <v>2977.0035994006321</v>
      </c>
      <c r="AJ37" s="2">
        <v>1.6463227893837029E-5</v>
      </c>
      <c r="AK37" s="2">
        <f t="shared" si="9"/>
        <v>2977.0035982946865</v>
      </c>
      <c r="AL37" s="2">
        <v>1.5135665762500139E-5</v>
      </c>
      <c r="AM37" s="2">
        <f t="shared" si="10"/>
        <v>-6.5261939728432881E-11</v>
      </c>
      <c r="AN37" s="2">
        <f t="shared" si="11"/>
        <v>2.4918191477298639E-10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2977.003597188741</v>
      </c>
      <c r="AH38" s="2">
        <v>-4.3117984205309767E-6</v>
      </c>
      <c r="AI38" s="2">
        <f t="shared" si="14"/>
        <v>2977.0035982946865</v>
      </c>
      <c r="AJ38" s="2">
        <v>1.6463227893837029E-5</v>
      </c>
      <c r="AK38" s="2">
        <f t="shared" si="9"/>
        <v>2977.0035977417137</v>
      </c>
      <c r="AL38" s="2">
        <v>1.5135665762500139E-5</v>
      </c>
      <c r="AM38" s="2">
        <f t="shared" si="10"/>
        <v>-6.5261939728432881E-11</v>
      </c>
      <c r="AN38" s="2">
        <f t="shared" si="11"/>
        <v>2.4918191477298639E-10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20.149999999999999</v>
      </c>
      <c r="L39" s="6" t="s">
        <v>58</v>
      </c>
      <c r="AF39" s="2">
        <v>35</v>
      </c>
      <c r="AG39" s="2">
        <f t="shared" si="13"/>
        <v>2977.003597188741</v>
      </c>
      <c r="AH39" s="2">
        <v>-4.3117984205309767E-6</v>
      </c>
      <c r="AI39" s="2">
        <f t="shared" si="14"/>
        <v>2977.0035977417137</v>
      </c>
      <c r="AJ39" s="2">
        <v>1.6463227893837029E-5</v>
      </c>
      <c r="AK39" s="2">
        <f t="shared" si="9"/>
        <v>2977.0035974652274</v>
      </c>
      <c r="AL39" s="2">
        <v>1.5135665762500139E-5</v>
      </c>
      <c r="AM39" s="2">
        <f t="shared" si="10"/>
        <v>-6.5261939728432881E-11</v>
      </c>
      <c r="AN39" s="2">
        <f t="shared" si="11"/>
        <v>2.4918191477298639E-10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45.13</v>
      </c>
      <c r="L40" s="6" t="s">
        <v>58</v>
      </c>
      <c r="AF40" s="2">
        <v>36</v>
      </c>
      <c r="AG40" s="2">
        <f t="shared" si="13"/>
        <v>2977.003597188741</v>
      </c>
      <c r="AH40" s="2">
        <v>-4.3117984205309767E-6</v>
      </c>
      <c r="AI40" s="2">
        <f t="shared" si="14"/>
        <v>2977.0035974652274</v>
      </c>
      <c r="AJ40" s="2">
        <v>1.6463227893837029E-5</v>
      </c>
      <c r="AK40" s="2">
        <f t="shared" si="9"/>
        <v>2977.0035973269842</v>
      </c>
      <c r="AL40" s="2">
        <v>1.5135665762500139E-5</v>
      </c>
      <c r="AM40" s="2">
        <f t="shared" si="10"/>
        <v>-6.5261939728432881E-11</v>
      </c>
      <c r="AN40" s="2">
        <f t="shared" si="11"/>
        <v>2.4918191477298639E-10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23.17</v>
      </c>
      <c r="L41" s="6" t="s">
        <v>58</v>
      </c>
      <c r="AF41" s="2">
        <v>37</v>
      </c>
      <c r="AG41" s="2">
        <f t="shared" si="13"/>
        <v>2977.003597188741</v>
      </c>
      <c r="AH41" s="2">
        <v>-4.3117984205309767E-6</v>
      </c>
      <c r="AI41" s="2">
        <f t="shared" si="14"/>
        <v>2977.0035973269842</v>
      </c>
      <c r="AJ41" s="2">
        <v>1.6463227893837029E-5</v>
      </c>
      <c r="AK41" s="2">
        <f t="shared" si="9"/>
        <v>2977.0035972578626</v>
      </c>
      <c r="AL41" s="2">
        <v>1.5135665762500139E-5</v>
      </c>
      <c r="AM41" s="2">
        <f t="shared" si="10"/>
        <v>-6.5261939728432881E-11</v>
      </c>
      <c r="AN41" s="2">
        <f t="shared" si="11"/>
        <v>2.4918191477298639E-10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6.63</v>
      </c>
      <c r="L42" s="6" t="s">
        <v>58</v>
      </c>
      <c r="AF42" s="2">
        <v>38</v>
      </c>
      <c r="AG42" s="2">
        <f t="shared" si="13"/>
        <v>2977.003597188741</v>
      </c>
      <c r="AH42" s="2">
        <v>-4.3117984205309767E-6</v>
      </c>
      <c r="AI42" s="2">
        <f t="shared" si="14"/>
        <v>2977.0035972578626</v>
      </c>
      <c r="AJ42" s="2">
        <v>1.6463227893837029E-5</v>
      </c>
      <c r="AK42" s="2">
        <f t="shared" si="9"/>
        <v>2977.0035972233018</v>
      </c>
      <c r="AL42" s="2">
        <v>1.5135665762500139E-5</v>
      </c>
      <c r="AM42" s="2">
        <f t="shared" si="10"/>
        <v>-6.5261939728432881E-11</v>
      </c>
      <c r="AN42" s="2">
        <f t="shared" si="11"/>
        <v>2.4918191477298639E-10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4.91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2977.003597188741</v>
      </c>
      <c r="AH43" s="2">
        <v>-4.3117984205309767E-6</v>
      </c>
      <c r="AI43" s="2">
        <f t="shared" si="14"/>
        <v>2977.0035972233018</v>
      </c>
      <c r="AJ43" s="2">
        <v>1.6463227893837029E-5</v>
      </c>
      <c r="AK43" s="2">
        <f t="shared" si="9"/>
        <v>2977.0035972060214</v>
      </c>
      <c r="AL43" s="2">
        <v>1.5135665762500139E-5</v>
      </c>
      <c r="AM43" s="2">
        <f t="shared" si="10"/>
        <v>-6.5261939728432881E-11</v>
      </c>
      <c r="AN43" s="2">
        <f t="shared" si="11"/>
        <v>2.4918191477298639E-10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99.99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2977.003597188741</v>
      </c>
      <c r="AH44" s="2">
        <v>-4.3117984205309767E-6</v>
      </c>
      <c r="AI44" s="2">
        <f t="shared" si="14"/>
        <v>2977.0035972060214</v>
      </c>
      <c r="AJ44" s="2">
        <v>1.6463227893837029E-5</v>
      </c>
      <c r="AK44" s="5">
        <f>(AG44+AI44)/2</f>
        <v>2977.0035971973812</v>
      </c>
      <c r="AL44" s="2">
        <v>1.5135665762500139E-5</v>
      </c>
      <c r="AM44" s="2">
        <f t="shared" si="10"/>
        <v>-6.5261939728432881E-11</v>
      </c>
      <c r="AN44" s="2">
        <f t="shared" si="11"/>
        <v>2.4918191477298639E-10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3088.5644306782715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20.149999999999999</v>
      </c>
      <c r="L47" s="6" t="s">
        <v>58</v>
      </c>
      <c r="N47" s="6" t="s">
        <v>154</v>
      </c>
      <c r="O47" s="6">
        <f>0.377*O46^0.6945</f>
        <v>99.99478580952686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45.13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34.71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99.990000000000009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46:D46"/>
    <mergeCell ref="J46:L46"/>
    <mergeCell ref="B52:D52"/>
    <mergeCell ref="B24:D24"/>
    <mergeCell ref="F24:H24"/>
    <mergeCell ref="B29:D29"/>
    <mergeCell ref="J30:L30"/>
    <mergeCell ref="B35:D35"/>
    <mergeCell ref="B40:D40"/>
    <mergeCell ref="J38:L38"/>
    <mergeCell ref="F33:H33"/>
    <mergeCell ref="B17:D17"/>
    <mergeCell ref="N16:P16"/>
    <mergeCell ref="B1:D1"/>
    <mergeCell ref="B3:D3"/>
    <mergeCell ref="F3:H3"/>
    <mergeCell ref="J3:L3"/>
    <mergeCell ref="N3:P3"/>
    <mergeCell ref="J7:L7"/>
    <mergeCell ref="B12:D12"/>
    <mergeCell ref="J11:L11"/>
    <mergeCell ref="F14:H14"/>
    <mergeCell ref="N12:P12"/>
  </mergeCells>
  <conditionalFormatting sqref="K28">
    <cfRule type="containsText" dxfId="23" priority="1" operator="containsText" text="FALSE">
      <formula>NOT(ISERROR(SEARCH("FALSE",K28)))</formula>
    </cfRule>
    <cfRule type="containsText" dxfId="22" priority="2" operator="containsText" text="TRUE">
      <formula>NOT(ISERROR(SEARCH("TRUE",K28)))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NOT(ISERROR(SEARCH("YES",K28)))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FB96-3706-9748-9EF1-0E21478048DF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351.18994480568625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6.0334521352424571E-2</v>
      </c>
      <c r="X4" s="3">
        <v>1</v>
      </c>
      <c r="Y4" s="2">
        <f t="shared" ref="Y4:Y34" si="1" xml:space="preserve"> $O$20 * TAN($O$17/180*PI()) + $O$21 / (2 * SQRT($O$20^2 + X4^2)) - X4</f>
        <v>-0.94299409593267014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-0.44143128748666988</v>
      </c>
      <c r="AB4" s="2">
        <f>W4*AA4</f>
        <v>-2.6633545440492751E-2</v>
      </c>
      <c r="AC4" s="2">
        <f>Y4*AA4</f>
        <v>0.41626709785988686</v>
      </c>
      <c r="AD4" s="2">
        <f>X4-V4</f>
        <v>1</v>
      </c>
      <c r="AF4" s="2">
        <v>0</v>
      </c>
      <c r="AG4" s="2"/>
      <c r="AH4" s="2">
        <f>K27</f>
        <v>5.4338007284968626E-3</v>
      </c>
      <c r="AI4" s="2"/>
      <c r="AJ4" s="2">
        <f>K27</f>
        <v>5.4338007284968626E-3</v>
      </c>
      <c r="AK4" s="2"/>
      <c r="AL4" s="2">
        <f>K27</f>
        <v>5.4338007284968626E-3</v>
      </c>
      <c r="AM4" s="2"/>
      <c r="AN4" s="2"/>
      <c r="AO4" s="2"/>
    </row>
    <row r="5" spans="2:41" x14ac:dyDescent="0.2">
      <c r="B5" s="10" t="s">
        <v>37</v>
      </c>
      <c r="C5" s="10">
        <v>2072.8126966271202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87.797486201421563</v>
      </c>
      <c r="L5" s="6" t="s">
        <v>101</v>
      </c>
      <c r="N5" s="6" t="s">
        <v>114</v>
      </c>
      <c r="O5" s="6">
        <f xml:space="preserve"> $C$18 * 0.85 * ($C$5/$C$18 *2.20462/1000)^(2/3) * 0.3048^2</f>
        <v>0.34519517517512543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6.0334521352424571E-2</v>
      </c>
      <c r="X5" s="2">
        <f>IF(AC4&gt;0, Z4, X4)</f>
        <v>0.5</v>
      </c>
      <c r="Y5" s="2">
        <f t="shared" si="1"/>
        <v>-0.44143128748666988</v>
      </c>
      <c r="Z5" s="2">
        <f t="shared" ref="Z5:Z34" si="3" xml:space="preserve"> (V5 + X5)/2</f>
        <v>0.25</v>
      </c>
      <c r="AA5" s="2">
        <f t="shared" si="2"/>
        <v>-0.1903026355685738</v>
      </c>
      <c r="AB5" s="2">
        <f t="shared" ref="AB5:AB34" si="4">W5*AA5</f>
        <v>-1.1481818429134788E-2</v>
      </c>
      <c r="AC5" s="2">
        <f t="shared" ref="AC5:AC34" si="5">Y5*AA5</f>
        <v>8.4005537431142072E-2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/>
        <v>-962.51804222116971</v>
      </c>
      <c r="AI5" s="3">
        <v>10000</v>
      </c>
      <c r="AJ5" s="2">
        <f t="dataTable" ref="AJ5:AJ44" dt2D="0" dtr="0" r1="C5" ca="1"/>
        <v>3328.9738086520292</v>
      </c>
      <c r="AK5" s="2">
        <f>(AG5+AI5)/2</f>
        <v>5250</v>
      </c>
      <c r="AL5" s="2">
        <f t="dataTable" ref="AL5:AL44" dt2D="0" dtr="0" r1="C5" ca="1"/>
        <v>1629.8522694533026</v>
      </c>
      <c r="AM5" s="2">
        <f>AH5*AL5</f>
        <v>-1568762.2155039231</v>
      </c>
      <c r="AN5" s="2">
        <f>AJ5*AL5</f>
        <v>5425735.5169821139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6.0334521352424571E-2</v>
      </c>
      <c r="X6" s="2">
        <f t="shared" ref="X6:X34" si="8">IF(AC5&gt;0, Z5, X5)</f>
        <v>0.25</v>
      </c>
      <c r="Y6" s="2">
        <f t="shared" si="1"/>
        <v>-0.1903026355685738</v>
      </c>
      <c r="Z6" s="2">
        <f t="shared" si="3"/>
        <v>0.125</v>
      </c>
      <c r="AA6" s="2">
        <f t="shared" si="2"/>
        <v>-6.4845760768293834E-2</v>
      </c>
      <c r="AB6" s="2">
        <f t="shared" si="4"/>
        <v>-3.9124379376888401E-3</v>
      </c>
      <c r="AC6" s="2">
        <f t="shared" si="5"/>
        <v>1.2340319179655541E-2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-962.51804222116971</v>
      </c>
      <c r="AI6" s="2">
        <f>IF(AN5&gt;0, AK5, AI5)</f>
        <v>5250</v>
      </c>
      <c r="AJ6" s="2">
        <v>1629.8522694533026</v>
      </c>
      <c r="AK6" s="2">
        <f t="shared" ref="AK6:AK43" si="9">(AG6+AI6)/2</f>
        <v>2875</v>
      </c>
      <c r="AL6" s="2">
        <v>448.43623901072078</v>
      </c>
      <c r="AM6" s="2">
        <f t="shared" ref="AM6:AM44" si="10">AH6*AL6</f>
        <v>-431627.97083362349</v>
      </c>
      <c r="AN6" s="2">
        <f t="shared" ref="AN6:AN44" si="11">AJ6*AL6</f>
        <v>730884.82185672689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328.86616358013998</v>
      </c>
      <c r="D7" s="6" t="s">
        <v>125</v>
      </c>
      <c r="F7" t="s">
        <v>121</v>
      </c>
      <c r="G7" s="8">
        <f>$C$6*2*PI()/60*$C$9</f>
        <v>162.51463592679659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0.97547179851022148</v>
      </c>
      <c r="P7" s="6" t="s">
        <v>115</v>
      </c>
      <c r="U7" s="2">
        <v>3</v>
      </c>
      <c r="V7" s="2">
        <f t="shared" si="7"/>
        <v>0</v>
      </c>
      <c r="W7" s="2">
        <f t="shared" si="0"/>
        <v>6.0334521352424571E-2</v>
      </c>
      <c r="X7" s="2">
        <f t="shared" si="8"/>
        <v>0.125</v>
      </c>
      <c r="Y7" s="2">
        <f t="shared" si="1"/>
        <v>-6.4845760768293834E-2</v>
      </c>
      <c r="Z7" s="2">
        <f t="shared" si="3"/>
        <v>6.25E-2</v>
      </c>
      <c r="AA7" s="2">
        <f t="shared" si="2"/>
        <v>-2.212112137621465E-3</v>
      </c>
      <c r="AB7" s="2">
        <f t="shared" si="4"/>
        <v>-1.3346672700127984E-4</v>
      </c>
      <c r="AC7" s="2">
        <f t="shared" si="5"/>
        <v>1.4344609446884061E-4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-962.51804222116971</v>
      </c>
      <c r="AI7" s="2">
        <f t="shared" ref="AI7:AI44" si="14">IF(AN6&gt;0, AK6, AI6)</f>
        <v>2875</v>
      </c>
      <c r="AJ7" s="2">
        <v>448.43623901072078</v>
      </c>
      <c r="AK7" s="2">
        <f t="shared" si="9"/>
        <v>1687.5</v>
      </c>
      <c r="AL7" s="2">
        <v>-239.11940191722533</v>
      </c>
      <c r="AM7" s="2">
        <f t="shared" si="10"/>
        <v>230156.73859046475</v>
      </c>
      <c r="AN7" s="2">
        <f t="shared" si="11"/>
        <v>-107229.80527025346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0.48669179137081531</v>
      </c>
      <c r="H8" s="6" t="s">
        <v>122</v>
      </c>
      <c r="J8" s="6" t="s">
        <v>96</v>
      </c>
      <c r="K8" s="6">
        <f xml:space="preserve"> $C$15 * (G12*G6 + G22*G15 + G31*G27 +G35*G34)/3600</f>
        <v>190.24530305799925</v>
      </c>
      <c r="L8" s="6" t="s">
        <v>102</v>
      </c>
      <c r="N8" s="6" t="s">
        <v>38</v>
      </c>
      <c r="O8" s="6">
        <f xml:space="preserve"> O4 *O7</f>
        <v>2211.8469769902645</v>
      </c>
      <c r="P8" s="6" t="s">
        <v>20</v>
      </c>
      <c r="U8" s="2">
        <v>4</v>
      </c>
      <c r="V8" s="2">
        <f t="shared" si="7"/>
        <v>0</v>
      </c>
      <c r="W8" s="2">
        <f t="shared" si="0"/>
        <v>6.0334521352424571E-2</v>
      </c>
      <c r="X8" s="2">
        <f t="shared" si="8"/>
        <v>6.25E-2</v>
      </c>
      <c r="Y8" s="2">
        <f t="shared" si="1"/>
        <v>-2.212112137621465E-3</v>
      </c>
      <c r="Z8" s="2">
        <f t="shared" si="3"/>
        <v>3.125E-2</v>
      </c>
      <c r="AA8" s="2">
        <f t="shared" si="2"/>
        <v>2.9072760535946429E-2</v>
      </c>
      <c r="AB8" s="2">
        <f t="shared" si="4"/>
        <v>1.7540910913299863E-3</v>
      </c>
      <c r="AC8" s="2">
        <f t="shared" si="5"/>
        <v>-6.4312206455729428E-5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-239.11940191722533</v>
      </c>
      <c r="AI8" s="2">
        <f t="shared" si="14"/>
        <v>2875</v>
      </c>
      <c r="AJ8" s="2">
        <v>448.43623901072078</v>
      </c>
      <c r="AK8" s="2">
        <f t="shared" si="9"/>
        <v>2281.25</v>
      </c>
      <c r="AL8" s="2">
        <v>118.95755521407477</v>
      </c>
      <c r="AM8" s="2">
        <f t="shared" si="10"/>
        <v>-28445.059456324871</v>
      </c>
      <c r="AN8" s="2">
        <f t="shared" si="11"/>
        <v>53344.878662109848</v>
      </c>
      <c r="AO8" s="2">
        <f t="shared" si="12"/>
        <v>1187.5</v>
      </c>
    </row>
    <row r="9" spans="2:41" x14ac:dyDescent="0.2">
      <c r="B9" s="6" t="s">
        <v>95</v>
      </c>
      <c r="C9" s="17">
        <v>3.87975114487941</v>
      </c>
      <c r="D9" s="6" t="s">
        <v>8</v>
      </c>
      <c r="F9" t="s">
        <v>19</v>
      </c>
      <c r="G9" s="6">
        <f xml:space="preserve"> $C$5 * $C$44 / $C$18</f>
        <v>5079.1638473718904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2211.8469769902645</v>
      </c>
      <c r="P9" s="6" t="s">
        <v>20</v>
      </c>
      <c r="U9" s="2">
        <v>5</v>
      </c>
      <c r="V9" s="2">
        <f t="shared" si="7"/>
        <v>3.125E-2</v>
      </c>
      <c r="W9" s="2">
        <f t="shared" si="0"/>
        <v>2.9072760535946429E-2</v>
      </c>
      <c r="X9" s="2">
        <f t="shared" si="8"/>
        <v>6.25E-2</v>
      </c>
      <c r="Y9" s="2">
        <f t="shared" si="1"/>
        <v>-2.212112137621465E-3</v>
      </c>
      <c r="Z9" s="2">
        <f t="shared" si="3"/>
        <v>4.6875E-2</v>
      </c>
      <c r="AA9" s="2">
        <f t="shared" si="2"/>
        <v>1.343315610140719E-2</v>
      </c>
      <c r="AB9" s="2">
        <f t="shared" si="4"/>
        <v>3.9053893057819892E-4</v>
      </c>
      <c r="AC9" s="2">
        <f t="shared" si="5"/>
        <v>-2.9715647658486685E-5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-239.11940191722533</v>
      </c>
      <c r="AI9" s="2">
        <f t="shared" si="14"/>
        <v>2281.25</v>
      </c>
      <c r="AJ9" s="2">
        <v>118.95755521407477</v>
      </c>
      <c r="AK9" s="2">
        <f t="shared" si="9"/>
        <v>1984.375</v>
      </c>
      <c r="AL9" s="2">
        <v>-54.724177776481156</v>
      </c>
      <c r="AM9" s="2">
        <f t="shared" si="10"/>
        <v>13085.612660324088</v>
      </c>
      <c r="AN9" s="2">
        <f t="shared" si="11"/>
        <v>-6509.8543993906005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58.025492413882304</v>
      </c>
      <c r="H10" s="6" t="s">
        <v>101</v>
      </c>
      <c r="N10" s="6" t="s">
        <v>113</v>
      </c>
      <c r="O10" s="6">
        <f>O7/(0.3048^2)/($C$5*2.20462/1000)^(2/3)</f>
        <v>3.8129015406563407</v>
      </c>
      <c r="U10" s="2">
        <v>6</v>
      </c>
      <c r="V10" s="2">
        <f t="shared" si="7"/>
        <v>4.6875E-2</v>
      </c>
      <c r="W10" s="2">
        <f t="shared" si="0"/>
        <v>1.343315610140719E-2</v>
      </c>
      <c r="X10" s="2">
        <f t="shared" si="8"/>
        <v>6.25E-2</v>
      </c>
      <c r="Y10" s="2">
        <f t="shared" si="1"/>
        <v>-2.212112137621465E-3</v>
      </c>
      <c r="Z10" s="2">
        <f t="shared" si="3"/>
        <v>5.46875E-2</v>
      </c>
      <c r="AA10" s="2">
        <f t="shared" si="2"/>
        <v>5.611220198233402E-3</v>
      </c>
      <c r="AB10" s="2">
        <f t="shared" si="4"/>
        <v>7.5376396842238288E-5</v>
      </c>
      <c r="AC10" s="2">
        <f t="shared" si="5"/>
        <v>-1.2412648307378832E-5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-54.724177776481156</v>
      </c>
      <c r="AI10" s="2">
        <f t="shared" si="14"/>
        <v>2281.25</v>
      </c>
      <c r="AJ10" s="2">
        <v>118.95755521407477</v>
      </c>
      <c r="AK10" s="2">
        <f t="shared" si="9"/>
        <v>2132.8125</v>
      </c>
      <c r="AL10" s="2">
        <v>34.935953729081803</v>
      </c>
      <c r="AM10" s="2">
        <f t="shared" si="10"/>
        <v>-1911.8413426611924</v>
      </c>
      <c r="AN10" s="2">
        <f t="shared" si="11"/>
        <v>4155.89564468361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8.9306122636677969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5.46875E-2</v>
      </c>
      <c r="W11" s="2">
        <f t="shared" si="0"/>
        <v>5.611220198233402E-3</v>
      </c>
      <c r="X11" s="2">
        <f t="shared" si="8"/>
        <v>6.25E-2</v>
      </c>
      <c r="Y11" s="2">
        <f t="shared" si="1"/>
        <v>-2.212112137621465E-3</v>
      </c>
      <c r="Z11" s="2">
        <f t="shared" si="3"/>
        <v>5.859375E-2</v>
      </c>
      <c r="AA11" s="2">
        <f t="shared" si="2"/>
        <v>1.6997272087809698E-3</v>
      </c>
      <c r="AB11" s="2">
        <f t="shared" si="4"/>
        <v>9.5375436453986607E-6</v>
      </c>
      <c r="AC11" s="2">
        <f t="shared" si="5"/>
        <v>-3.759987189189837E-6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-54.724177776481156</v>
      </c>
      <c r="AI11" s="2">
        <f t="shared" si="14"/>
        <v>2132.8125</v>
      </c>
      <c r="AJ11" s="2">
        <v>34.935953729081803</v>
      </c>
      <c r="AK11" s="2">
        <f t="shared" si="9"/>
        <v>2058.59375</v>
      </c>
      <c r="AL11" s="2">
        <v>-8.7864131928877214</v>
      </c>
      <c r="AM11" s="2">
        <f t="shared" si="10"/>
        <v>480.82923758520707</v>
      </c>
      <c r="AN11" s="2">
        <f t="shared" si="11"/>
        <v>-306.96172475131931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232.10196965552922</v>
      </c>
      <c r="H12" s="25" t="s">
        <v>101</v>
      </c>
      <c r="J12" s="10" t="s">
        <v>79</v>
      </c>
      <c r="K12" s="6">
        <f>C5</f>
        <v>2072.8126966271202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5.859375E-2</v>
      </c>
      <c r="W12" s="2">
        <f t="shared" si="0"/>
        <v>1.6997272087809698E-3</v>
      </c>
      <c r="X12" s="2">
        <f t="shared" si="8"/>
        <v>6.25E-2</v>
      </c>
      <c r="Y12" s="2">
        <f t="shared" si="1"/>
        <v>-2.212112137621465E-3</v>
      </c>
      <c r="Z12" s="2">
        <f t="shared" si="3"/>
        <v>6.0546875E-2</v>
      </c>
      <c r="AA12" s="2">
        <f t="shared" si="2"/>
        <v>-2.5614935117152654E-4</v>
      </c>
      <c r="AB12" s="2">
        <f t="shared" si="4"/>
        <v>-4.3538402169783524E-7</v>
      </c>
      <c r="AC12" s="2">
        <f t="shared" si="5"/>
        <v>5.6663108877039692E-7</v>
      </c>
      <c r="AD12" s="2">
        <f t="shared" si="6"/>
        <v>3.90625E-3</v>
      </c>
      <c r="AF12" s="2">
        <v>8</v>
      </c>
      <c r="AG12" s="2">
        <f t="shared" si="13"/>
        <v>2058.59375</v>
      </c>
      <c r="AH12" s="2">
        <v>-8.7864131928877214</v>
      </c>
      <c r="AI12" s="2">
        <f t="shared" si="14"/>
        <v>2132.8125</v>
      </c>
      <c r="AJ12" s="2">
        <v>34.935953729081803</v>
      </c>
      <c r="AK12" s="2">
        <f t="shared" si="9"/>
        <v>2095.703125</v>
      </c>
      <c r="AL12" s="2">
        <v>13.836862144454699</v>
      </c>
      <c r="AM12" s="2">
        <f t="shared" si="10"/>
        <v>-121.57638809420546</v>
      </c>
      <c r="AN12" s="2">
        <f t="shared" si="11"/>
        <v>483.40397563435295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699.43126124264438</v>
      </c>
      <c r="L13" s="6" t="s">
        <v>7</v>
      </c>
      <c r="N13" s="6" t="s">
        <v>74</v>
      </c>
      <c r="O13" s="6">
        <f xml:space="preserve"> SQRT( ($C$5*$C$50)^2 + O9^2)</f>
        <v>20434.769231553506</v>
      </c>
      <c r="P13" s="6" t="s">
        <v>20</v>
      </c>
      <c r="U13" s="2">
        <v>9</v>
      </c>
      <c r="V13" s="2">
        <f t="shared" si="7"/>
        <v>5.859375E-2</v>
      </c>
      <c r="W13" s="2">
        <f t="shared" si="0"/>
        <v>1.6997272087809698E-3</v>
      </c>
      <c r="X13" s="2">
        <f t="shared" si="8"/>
        <v>6.0546875E-2</v>
      </c>
      <c r="Y13" s="2">
        <f t="shared" si="1"/>
        <v>-2.5614935117152654E-4</v>
      </c>
      <c r="Z13" s="2">
        <f t="shared" si="3"/>
        <v>5.95703125E-2</v>
      </c>
      <c r="AA13" s="2">
        <f t="shared" si="2"/>
        <v>7.2179973020214394E-4</v>
      </c>
      <c r="AB13" s="2">
        <f t="shared" si="4"/>
        <v>1.2268626407153471E-6</v>
      </c>
      <c r="AC13" s="2">
        <f t="shared" si="5"/>
        <v>-1.8488853256706207E-7</v>
      </c>
      <c r="AD13" s="2">
        <f t="shared" si="6"/>
        <v>1.953125E-3</v>
      </c>
      <c r="AF13" s="2">
        <v>9</v>
      </c>
      <c r="AG13" s="2">
        <f t="shared" si="13"/>
        <v>2058.59375</v>
      </c>
      <c r="AH13" s="2">
        <v>-8.7864131928877214</v>
      </c>
      <c r="AI13" s="2">
        <f t="shared" si="14"/>
        <v>2095.703125</v>
      </c>
      <c r="AJ13" s="2">
        <v>13.836862144454699</v>
      </c>
      <c r="AK13" s="2">
        <f t="shared" si="9"/>
        <v>2077.1484375</v>
      </c>
      <c r="AL13" s="2">
        <v>2.6857032753052863</v>
      </c>
      <c r="AM13" s="2">
        <f t="shared" si="10"/>
        <v>-23.597698690324133</v>
      </c>
      <c r="AN13" s="2">
        <f t="shared" si="11"/>
        <v>37.161705981309716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149.13624615980663</v>
      </c>
      <c r="L14" s="6" t="s">
        <v>7</v>
      </c>
      <c r="N14" s="6" t="s">
        <v>75</v>
      </c>
      <c r="O14" s="6">
        <f>$C$5*$C$50/O13</f>
        <v>0.99412485847324605</v>
      </c>
      <c r="U14" s="2">
        <v>10</v>
      </c>
      <c r="V14" s="2">
        <f t="shared" si="7"/>
        <v>5.95703125E-2</v>
      </c>
      <c r="W14" s="2">
        <f t="shared" si="0"/>
        <v>7.2179973020214394E-4</v>
      </c>
      <c r="X14" s="2">
        <f t="shared" si="8"/>
        <v>6.0546875E-2</v>
      </c>
      <c r="Y14" s="2">
        <f t="shared" si="1"/>
        <v>-2.5614935117152654E-4</v>
      </c>
      <c r="Z14" s="2">
        <f t="shared" si="3"/>
        <v>6.005859375E-2</v>
      </c>
      <c r="AA14" s="2">
        <f t="shared" si="2"/>
        <v>2.3282788700470375E-4</v>
      </c>
      <c r="AB14" s="2">
        <f t="shared" si="4"/>
        <v>1.6805510602353041E-7</v>
      </c>
      <c r="AC14" s="2">
        <f t="shared" si="5"/>
        <v>-5.9638712190892357E-8</v>
      </c>
      <c r="AD14" s="2">
        <f t="shared" si="6"/>
        <v>9.765625E-4</v>
      </c>
      <c r="AF14" s="2">
        <v>10</v>
      </c>
      <c r="AG14" s="2">
        <f t="shared" si="13"/>
        <v>2058.59375</v>
      </c>
      <c r="AH14" s="2">
        <v>-8.7864131928877214</v>
      </c>
      <c r="AI14" s="2">
        <f t="shared" si="14"/>
        <v>2077.1484375</v>
      </c>
      <c r="AJ14" s="2">
        <v>2.6857032753052863</v>
      </c>
      <c r="AK14" s="2">
        <f t="shared" si="9"/>
        <v>2067.87109375</v>
      </c>
      <c r="AL14" s="2">
        <v>-3.0497140260561082</v>
      </c>
      <c r="AM14" s="2">
        <f t="shared" si="10"/>
        <v>26.796047553074118</v>
      </c>
      <c r="AN14" s="2">
        <f t="shared" si="11"/>
        <v>-8.1906269485233612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262.80935242607649</v>
      </c>
      <c r="L15" s="6" t="s">
        <v>7</v>
      </c>
      <c r="U15" s="2">
        <v>11</v>
      </c>
      <c r="V15" s="2">
        <f t="shared" si="7"/>
        <v>6.005859375E-2</v>
      </c>
      <c r="W15" s="2">
        <f t="shared" si="0"/>
        <v>2.3282788700470375E-4</v>
      </c>
      <c r="X15" s="2">
        <f t="shared" si="8"/>
        <v>6.0546875E-2</v>
      </c>
      <c r="Y15" s="2">
        <f t="shared" si="1"/>
        <v>-2.5614935117152654E-4</v>
      </c>
      <c r="Z15" s="2">
        <f t="shared" si="3"/>
        <v>6.0302734375E-2</v>
      </c>
      <c r="AA15" s="2">
        <f t="shared" si="2"/>
        <v>-1.1660058070808721E-5</v>
      </c>
      <c r="AB15" s="2">
        <f t="shared" si="4"/>
        <v>-2.7147866829785368E-9</v>
      </c>
      <c r="AC15" s="2">
        <f t="shared" si="5"/>
        <v>2.9867163094599752E-9</v>
      </c>
      <c r="AD15" s="2">
        <f t="shared" si="6"/>
        <v>4.8828125E-4</v>
      </c>
      <c r="AF15" s="2">
        <v>11</v>
      </c>
      <c r="AG15" s="2">
        <f t="shared" si="13"/>
        <v>2067.87109375</v>
      </c>
      <c r="AH15" s="2">
        <v>-3.0497140260561082</v>
      </c>
      <c r="AI15" s="2">
        <f t="shared" si="14"/>
        <v>2077.1484375</v>
      </c>
      <c r="AJ15" s="2">
        <v>2.6857032753052863</v>
      </c>
      <c r="AK15" s="2">
        <f t="shared" si="9"/>
        <v>2072.509765625</v>
      </c>
      <c r="AL15" s="2">
        <v>-0.18184461073292368</v>
      </c>
      <c r="AM15" s="2">
        <f t="shared" si="10"/>
        <v>0.55457405991491049</v>
      </c>
      <c r="AN15" s="2">
        <f t="shared" si="11"/>
        <v>-0.48838066664202795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133.61391210717196</v>
      </c>
      <c r="H16" s="6" t="s">
        <v>10</v>
      </c>
      <c r="J16" s="13" t="s">
        <v>53</v>
      </c>
      <c r="K16" s="6">
        <f xml:space="preserve"> $C$54 * 0.2138 * K4</f>
        <v>60.067528159564574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6.005859375E-2</v>
      </c>
      <c r="W16" s="2">
        <f t="shared" si="0"/>
        <v>2.3282788700470375E-4</v>
      </c>
      <c r="X16" s="2">
        <f t="shared" si="8"/>
        <v>6.0302734375E-2</v>
      </c>
      <c r="Y16" s="2">
        <f t="shared" si="1"/>
        <v>-1.1660058070808721E-5</v>
      </c>
      <c r="Z16" s="2">
        <f t="shared" si="3"/>
        <v>6.01806640625E-2</v>
      </c>
      <c r="AA16" s="2">
        <f t="shared" si="2"/>
        <v>1.1058408301516803E-4</v>
      </c>
      <c r="AB16" s="2">
        <f t="shared" si="4"/>
        <v>2.5747058384774322E-8</v>
      </c>
      <c r="AC16" s="2">
        <f t="shared" si="5"/>
        <v>-1.2894168296639916E-9</v>
      </c>
      <c r="AD16" s="2">
        <f t="shared" si="6"/>
        <v>2.44140625E-4</v>
      </c>
      <c r="AF16" s="2">
        <v>12</v>
      </c>
      <c r="AG16" s="2">
        <f t="shared" si="13"/>
        <v>2072.509765625</v>
      </c>
      <c r="AH16" s="2">
        <v>-0.18184461073292368</v>
      </c>
      <c r="AI16" s="2">
        <f t="shared" si="14"/>
        <v>2077.1484375</v>
      </c>
      <c r="AJ16" s="2">
        <v>2.6857032753052863</v>
      </c>
      <c r="AK16" s="2">
        <f t="shared" si="9"/>
        <v>2074.8291015625</v>
      </c>
      <c r="AL16" s="2">
        <v>1.2519700016537172</v>
      </c>
      <c r="AM16" s="2">
        <f t="shared" si="10"/>
        <v>-0.22766399760001801</v>
      </c>
      <c r="AN16" s="2">
        <f t="shared" si="11"/>
        <v>3.3624199340253531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0.40157852994144183</v>
      </c>
      <c r="H17" s="6" t="s">
        <v>122</v>
      </c>
      <c r="J17" s="13" t="s">
        <v>77</v>
      </c>
      <c r="K17" s="6">
        <f xml:space="preserve"> $C$54 * 0.1149 * K4</f>
        <v>32.281379726538681</v>
      </c>
      <c r="L17" s="6" t="s">
        <v>7</v>
      </c>
      <c r="N17" s="6" t="s">
        <v>25</v>
      </c>
      <c r="O17" s="6">
        <f xml:space="preserve"> ACOS(O14)/PI()*180</f>
        <v>6.2138341063683233</v>
      </c>
      <c r="P17" s="6" t="s">
        <v>40</v>
      </c>
      <c r="U17" s="2">
        <v>13</v>
      </c>
      <c r="V17" s="2">
        <f t="shared" si="7"/>
        <v>6.01806640625E-2</v>
      </c>
      <c r="W17" s="2">
        <f t="shared" si="0"/>
        <v>1.1058408301516803E-4</v>
      </c>
      <c r="X17" s="2">
        <f t="shared" si="8"/>
        <v>6.0302734375E-2</v>
      </c>
      <c r="Y17" s="2">
        <f t="shared" si="1"/>
        <v>-1.1660058070808721E-5</v>
      </c>
      <c r="Z17" s="2">
        <f t="shared" si="3"/>
        <v>6.024169921875E-2</v>
      </c>
      <c r="AA17" s="2">
        <f t="shared" si="2"/>
        <v>4.9462054603606476E-5</v>
      </c>
      <c r="AB17" s="2">
        <f t="shared" si="4"/>
        <v>5.4697159523859925E-9</v>
      </c>
      <c r="AC17" s="2">
        <f t="shared" si="5"/>
        <v>-5.767304289795633E-10</v>
      </c>
      <c r="AD17" s="2">
        <f t="shared" si="6"/>
        <v>1.220703125E-4</v>
      </c>
      <c r="AF17" s="2">
        <v>13</v>
      </c>
      <c r="AG17" s="2">
        <f t="shared" si="13"/>
        <v>2072.509765625</v>
      </c>
      <c r="AH17" s="2">
        <v>-0.18184461073292368</v>
      </c>
      <c r="AI17" s="2">
        <f t="shared" si="14"/>
        <v>2074.8291015625</v>
      </c>
      <c r="AJ17" s="2">
        <v>1.2519700016537172</v>
      </c>
      <c r="AK17" s="2">
        <f t="shared" si="9"/>
        <v>2073.66943359375</v>
      </c>
      <c r="AL17" s="2">
        <v>0.5350737923242832</v>
      </c>
      <c r="AM17" s="2">
        <f t="shared" si="10"/>
        <v>-9.7300285478598522E-2</v>
      </c>
      <c r="AN17" s="2">
        <f t="shared" si="11"/>
        <v>0.66989633666109361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5108.6923078883765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130.67686553444486</v>
      </c>
      <c r="L18" s="6" t="s">
        <v>7</v>
      </c>
      <c r="N18" s="6" t="s">
        <v>19</v>
      </c>
      <c r="O18" s="6">
        <f xml:space="preserve"> O13 / $C$18</f>
        <v>5108.6923078883765</v>
      </c>
      <c r="P18" s="6" t="s">
        <v>20</v>
      </c>
      <c r="U18" s="2">
        <v>14</v>
      </c>
      <c r="V18" s="2">
        <f t="shared" si="7"/>
        <v>6.024169921875E-2</v>
      </c>
      <c r="W18" s="2">
        <f t="shared" si="0"/>
        <v>4.9462054603606476E-5</v>
      </c>
      <c r="X18" s="2">
        <f t="shared" si="8"/>
        <v>6.0302734375E-2</v>
      </c>
      <c r="Y18" s="2">
        <f t="shared" si="1"/>
        <v>-1.1660058070808721E-5</v>
      </c>
      <c r="Z18" s="2">
        <f t="shared" si="3"/>
        <v>6.0272216796875E-2</v>
      </c>
      <c r="AA18" s="2">
        <f t="shared" si="2"/>
        <v>1.8901008798553887E-5</v>
      </c>
      <c r="AB18" s="2">
        <f t="shared" si="4"/>
        <v>9.3488272925731872E-10</v>
      </c>
      <c r="AC18" s="2">
        <f t="shared" si="5"/>
        <v>-2.2038686018800489E-10</v>
      </c>
      <c r="AD18" s="2">
        <f t="shared" si="6"/>
        <v>6.103515625E-5</v>
      </c>
      <c r="AF18" s="2">
        <v>14</v>
      </c>
      <c r="AG18" s="2">
        <f t="shared" si="13"/>
        <v>2072.509765625</v>
      </c>
      <c r="AH18" s="2">
        <v>-0.18184461073292368</v>
      </c>
      <c r="AI18" s="2">
        <f t="shared" si="14"/>
        <v>2073.66943359375</v>
      </c>
      <c r="AJ18" s="2">
        <v>0.5350737923242832</v>
      </c>
      <c r="AK18" s="2">
        <f t="shared" si="9"/>
        <v>2073.089599609375</v>
      </c>
      <c r="AL18" s="2">
        <v>0.17661056056613234</v>
      </c>
      <c r="AM18" s="2">
        <f t="shared" si="10"/>
        <v>-3.2115678637471778E-2</v>
      </c>
      <c r="AN18" s="2">
        <f t="shared" si="11"/>
        <v>9.4499682406637933E-2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58.531657467614373</v>
      </c>
      <c r="H19" s="6" t="s">
        <v>101</v>
      </c>
      <c r="J19" s="14" t="s">
        <v>61</v>
      </c>
      <c r="K19" s="6">
        <f xml:space="preserve"> $C$55 * C31 * $C$5</f>
        <v>23.21550220222375</v>
      </c>
      <c r="L19" s="6" t="s">
        <v>7</v>
      </c>
      <c r="N19" s="6" t="s">
        <v>26</v>
      </c>
      <c r="O19" s="6">
        <f>$C$7*2*PI()/60</f>
        <v>34.438784117254237</v>
      </c>
      <c r="P19" s="6" t="s">
        <v>27</v>
      </c>
      <c r="U19" s="2">
        <v>15</v>
      </c>
      <c r="V19" s="2">
        <f t="shared" si="7"/>
        <v>6.0272216796875E-2</v>
      </c>
      <c r="W19" s="2">
        <f t="shared" si="0"/>
        <v>1.8901008798553887E-5</v>
      </c>
      <c r="X19" s="2">
        <f t="shared" si="8"/>
        <v>6.0302734375E-2</v>
      </c>
      <c r="Y19" s="2">
        <f t="shared" si="1"/>
        <v>-1.1660058070808721E-5</v>
      </c>
      <c r="Z19" s="2">
        <f t="shared" si="3"/>
        <v>6.02874755859375E-2</v>
      </c>
      <c r="AA19" s="2">
        <f t="shared" si="2"/>
        <v>3.6204779968185274E-6</v>
      </c>
      <c r="AB19" s="2">
        <f t="shared" si="4"/>
        <v>6.8430686472837736E-11</v>
      </c>
      <c r="AC19" s="2">
        <f t="shared" si="5"/>
        <v>-4.2214983686989263E-11</v>
      </c>
      <c r="AD19" s="2">
        <f t="shared" si="6"/>
        <v>3.0517578125E-5</v>
      </c>
      <c r="AF19" s="2">
        <v>15</v>
      </c>
      <c r="AG19" s="2">
        <f t="shared" si="13"/>
        <v>2072.509765625</v>
      </c>
      <c r="AH19" s="2">
        <v>-0.18184461073292368</v>
      </c>
      <c r="AI19" s="2">
        <f t="shared" si="14"/>
        <v>2073.089599609375</v>
      </c>
      <c r="AJ19" s="2">
        <v>0.17661056056613234</v>
      </c>
      <c r="AK19" s="2">
        <f t="shared" si="9"/>
        <v>2072.7996826171875</v>
      </c>
      <c r="AL19" s="2">
        <v>-2.6146460061227117E-3</v>
      </c>
      <c r="AM19" s="2">
        <f t="shared" si="10"/>
        <v>4.7545928518777809E-4</v>
      </c>
      <c r="AN19" s="2">
        <f t="shared" si="11"/>
        <v>-4.6177409682333117E-4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8.9057051581136761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0.49891538581934675</v>
      </c>
      <c r="U20" s="2">
        <v>16</v>
      </c>
      <c r="V20" s="2">
        <f t="shared" si="7"/>
        <v>6.02874755859375E-2</v>
      </c>
      <c r="W20" s="2">
        <f t="shared" si="0"/>
        <v>3.6204779968185274E-6</v>
      </c>
      <c r="X20" s="2">
        <f t="shared" si="8"/>
        <v>6.0302734375E-2</v>
      </c>
      <c r="Y20" s="2">
        <f t="shared" si="1"/>
        <v>-1.1660058070808721E-5</v>
      </c>
      <c r="Z20" s="2">
        <f t="shared" si="3"/>
        <v>6.029510498046875E-2</v>
      </c>
      <c r="AA20" s="2">
        <f t="shared" si="2"/>
        <v>-4.0197893787646821E-6</v>
      </c>
      <c r="AB20" s="2">
        <f t="shared" si="4"/>
        <v>-1.4553558997662349E-11</v>
      </c>
      <c r="AC20" s="2">
        <f t="shared" si="5"/>
        <v>4.6870977588816309E-11</v>
      </c>
      <c r="AD20" s="2">
        <f t="shared" si="6"/>
        <v>1.52587890625E-5</v>
      </c>
      <c r="AF20" s="2">
        <v>16</v>
      </c>
      <c r="AG20" s="2">
        <f t="shared" si="13"/>
        <v>2072.7996826171875</v>
      </c>
      <c r="AH20" s="2">
        <v>-2.6146460061227117E-3</v>
      </c>
      <c r="AI20" s="2">
        <f t="shared" si="14"/>
        <v>2073.089599609375</v>
      </c>
      <c r="AJ20" s="2">
        <v>0.17661056056613234</v>
      </c>
      <c r="AK20" s="2">
        <f t="shared" si="9"/>
        <v>2072.9446411132812</v>
      </c>
      <c r="AL20" s="2">
        <v>8.7000812085307189E-2</v>
      </c>
      <c r="AM20" s="2">
        <f t="shared" si="10"/>
        <v>-2.2747632584828098E-4</v>
      </c>
      <c r="AN20" s="2">
        <f t="shared" si="11"/>
        <v>1.5365262192094843E-2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9.7717275695146738E-2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6.000033919118992E-3</v>
      </c>
      <c r="U21" s="2">
        <v>17</v>
      </c>
      <c r="V21" s="2">
        <f t="shared" si="7"/>
        <v>6.02874755859375E-2</v>
      </c>
      <c r="W21" s="2">
        <f t="shared" si="0"/>
        <v>3.6204779968185274E-6</v>
      </c>
      <c r="X21" s="2">
        <f t="shared" si="8"/>
        <v>6.029510498046875E-2</v>
      </c>
      <c r="Y21" s="2">
        <f t="shared" si="1"/>
        <v>-4.0197893787646821E-6</v>
      </c>
      <c r="Z21" s="2">
        <f t="shared" si="3"/>
        <v>6.0291290283203125E-2</v>
      </c>
      <c r="AA21" s="2">
        <f t="shared" si="2"/>
        <v>-1.9965552641720841E-7</v>
      </c>
      <c r="AB21" s="2">
        <f t="shared" si="4"/>
        <v>-7.2284844033672332E-13</v>
      </c>
      <c r="AC21" s="2">
        <f t="shared" si="5"/>
        <v>8.0257316450356573E-13</v>
      </c>
      <c r="AD21" s="2">
        <f t="shared" si="6"/>
        <v>7.62939453125E-6</v>
      </c>
      <c r="AF21" s="2">
        <v>17</v>
      </c>
      <c r="AG21" s="2">
        <f t="shared" si="13"/>
        <v>2072.7996826171875</v>
      </c>
      <c r="AH21" s="2">
        <v>-2.6146460061227117E-3</v>
      </c>
      <c r="AI21" s="2">
        <f t="shared" si="14"/>
        <v>2072.9446411132812</v>
      </c>
      <c r="AJ21" s="2">
        <v>8.7000812085307189E-2</v>
      </c>
      <c r="AK21" s="2">
        <f t="shared" si="9"/>
        <v>2072.8721618652344</v>
      </c>
      <c r="AL21" s="2">
        <v>4.2192666885512153E-2</v>
      </c>
      <c r="AM21" s="2">
        <f t="shared" si="10"/>
        <v>-1.1031888795987034E-4</v>
      </c>
      <c r="AN21" s="2">
        <f t="shared" si="11"/>
        <v>3.6707962830844062E-3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234.12662987045749</v>
      </c>
      <c r="H22" s="25" t="s">
        <v>101</v>
      </c>
      <c r="J22" s="14" t="s">
        <v>112</v>
      </c>
      <c r="K22" s="6">
        <f>$C$55*(0.14*$G$12*1000/745.7)*0.453592</f>
        <v>15.81241091784762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6.02874755859375E-2</v>
      </c>
      <c r="W22" s="2">
        <f t="shared" si="0"/>
        <v>3.6204779968185274E-6</v>
      </c>
      <c r="X22" s="2">
        <f t="shared" si="8"/>
        <v>6.0291290283203125E-2</v>
      </c>
      <c r="Y22" s="2">
        <f t="shared" si="1"/>
        <v>-1.9965552641720841E-7</v>
      </c>
      <c r="Z22" s="2">
        <f t="shared" si="3"/>
        <v>6.0289382934570312E-2</v>
      </c>
      <c r="AA22" s="2">
        <f t="shared" si="2"/>
        <v>1.7104112763413615E-6</v>
      </c>
      <c r="AB22" s="2">
        <f t="shared" si="4"/>
        <v>6.1925063915041929E-12</v>
      </c>
      <c r="AC22" s="2">
        <f t="shared" si="5"/>
        <v>-3.4149306376786385E-13</v>
      </c>
      <c r="AD22" s="2">
        <f t="shared" si="6"/>
        <v>3.814697265625E-6</v>
      </c>
      <c r="AF22" s="2">
        <v>18</v>
      </c>
      <c r="AG22" s="2">
        <f t="shared" si="13"/>
        <v>2072.7996826171875</v>
      </c>
      <c r="AH22" s="2">
        <v>-2.6146460061227117E-3</v>
      </c>
      <c r="AI22" s="2">
        <f t="shared" si="14"/>
        <v>2072.8721618652344</v>
      </c>
      <c r="AJ22" s="2">
        <v>4.2192666885512153E-2</v>
      </c>
      <c r="AK22" s="2">
        <f t="shared" si="9"/>
        <v>2072.8359222412109</v>
      </c>
      <c r="AL22" s="2">
        <v>1.9788906400663109E-2</v>
      </c>
      <c r="AM22" s="2">
        <f t="shared" si="10"/>
        <v>-5.1740985086029962E-5</v>
      </c>
      <c r="AN22" s="2">
        <f t="shared" si="11"/>
        <v>8.3494673579175786E-4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44.441104215685463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16766.146371616072</v>
      </c>
      <c r="P23" s="6" t="s">
        <v>18</v>
      </c>
      <c r="U23" s="2">
        <v>19</v>
      </c>
      <c r="V23" s="2">
        <f t="shared" si="7"/>
        <v>6.0289382934570312E-2</v>
      </c>
      <c r="W23" s="2">
        <f t="shared" si="0"/>
        <v>1.7104112763413615E-6</v>
      </c>
      <c r="X23" s="2">
        <f t="shared" si="8"/>
        <v>6.0291290283203125E-2</v>
      </c>
      <c r="Y23" s="2">
        <f t="shared" si="1"/>
        <v>-1.9965552641720841E-7</v>
      </c>
      <c r="Z23" s="2">
        <f t="shared" si="3"/>
        <v>6.0290336608886719E-2</v>
      </c>
      <c r="AA23" s="2">
        <f t="shared" si="2"/>
        <v>7.5537788524898675E-7</v>
      </c>
      <c r="AB23" s="2">
        <f t="shared" si="4"/>
        <v>1.2920068528287578E-12</v>
      </c>
      <c r="AC23" s="2">
        <f t="shared" si="5"/>
        <v>-1.508153693233041E-13</v>
      </c>
      <c r="AD23" s="2">
        <f t="shared" si="6"/>
        <v>1.9073486328125E-6</v>
      </c>
      <c r="AF23" s="2">
        <v>19</v>
      </c>
      <c r="AG23" s="2">
        <f t="shared" si="13"/>
        <v>2072.7996826171875</v>
      </c>
      <c r="AH23" s="2">
        <v>-2.6146460061227117E-3</v>
      </c>
      <c r="AI23" s="2">
        <f t="shared" si="14"/>
        <v>2072.8359222412109</v>
      </c>
      <c r="AJ23" s="2">
        <v>1.9788906400663109E-2</v>
      </c>
      <c r="AK23" s="2">
        <f t="shared" si="9"/>
        <v>2072.8178024291992</v>
      </c>
      <c r="AL23" s="2">
        <v>8.5825853552705667E-3</v>
      </c>
      <c r="AM23" s="2">
        <f t="shared" si="10"/>
        <v>-2.2440422521365462E-5</v>
      </c>
      <c r="AN23" s="2">
        <f t="shared" si="11"/>
        <v>1.6983997827115118E-4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7.6632101397821204</v>
      </c>
      <c r="L24" s="6" t="s">
        <v>7</v>
      </c>
      <c r="N24" s="6" t="s">
        <v>31</v>
      </c>
      <c r="O24" s="18">
        <f>Z34</f>
        <v>6.029109051451087E-2</v>
      </c>
      <c r="U24" s="2">
        <v>20</v>
      </c>
      <c r="V24" s="2">
        <f t="shared" si="7"/>
        <v>6.0290336608886719E-2</v>
      </c>
      <c r="W24" s="2">
        <f t="shared" si="0"/>
        <v>7.5537788524898675E-7</v>
      </c>
      <c r="X24" s="2">
        <f t="shared" si="8"/>
        <v>6.0291290283203125E-2</v>
      </c>
      <c r="Y24" s="2">
        <f t="shared" si="1"/>
        <v>-1.9965552641720841E-7</v>
      </c>
      <c r="Z24" s="2">
        <f t="shared" si="3"/>
        <v>6.0290813446044922E-2</v>
      </c>
      <c r="AA24" s="2">
        <f t="shared" si="2"/>
        <v>2.7786118198674936E-7</v>
      </c>
      <c r="AB24" s="2">
        <f t="shared" si="4"/>
        <v>2.0989019204193458E-13</v>
      </c>
      <c r="AC24" s="2">
        <f t="shared" si="5"/>
        <v>-5.5476520560472189E-14</v>
      </c>
      <c r="AD24" s="2">
        <f t="shared" si="6"/>
        <v>9.5367431640625E-7</v>
      </c>
      <c r="AF24" s="2">
        <v>20</v>
      </c>
      <c r="AG24" s="2">
        <f t="shared" si="13"/>
        <v>2072.7996826171875</v>
      </c>
      <c r="AH24" s="2">
        <v>-2.6146460061227117E-3</v>
      </c>
      <c r="AI24" s="2">
        <f t="shared" si="14"/>
        <v>2072.8178024291992</v>
      </c>
      <c r="AJ24" s="2">
        <v>8.5825853552705667E-3</v>
      </c>
      <c r="AK24" s="2">
        <f t="shared" si="9"/>
        <v>2072.8087425231934</v>
      </c>
      <c r="AL24" s="2">
        <v>2.9884819939525187E-3</v>
      </c>
      <c r="AM24" s="2">
        <f t="shared" si="10"/>
        <v>-7.8138225098575911E-6</v>
      </c>
      <c r="AN24" s="2">
        <f t="shared" si="11"/>
        <v>2.5648901795786668E-5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13.266001258413571</v>
      </c>
      <c r="L25" s="6" t="s">
        <v>7</v>
      </c>
      <c r="N25" s="6" t="s">
        <v>32</v>
      </c>
      <c r="O25" s="6">
        <f xml:space="preserve"> O19 * $C$9 * O24 - $C$8 * SIN(O17/180*PI())</f>
        <v>0.797627865491501</v>
      </c>
      <c r="P25" s="6" t="s">
        <v>10</v>
      </c>
      <c r="U25" s="2">
        <v>21</v>
      </c>
      <c r="V25" s="2">
        <f t="shared" si="7"/>
        <v>6.0290813446044922E-2</v>
      </c>
      <c r="W25" s="2">
        <f t="shared" si="0"/>
        <v>2.7786118198674936E-7</v>
      </c>
      <c r="X25" s="2">
        <f t="shared" si="8"/>
        <v>6.0291290283203125E-2</v>
      </c>
      <c r="Y25" s="2">
        <f t="shared" si="1"/>
        <v>-1.9965552641720841E-7</v>
      </c>
      <c r="Z25" s="2">
        <f t="shared" si="3"/>
        <v>6.0291051864624023E-2</v>
      </c>
      <c r="AA25" s="2">
        <f t="shared" si="2"/>
        <v>3.9102828426618164E-8</v>
      </c>
      <c r="AB25" s="2">
        <f t="shared" si="4"/>
        <v>1.0865158125645186E-14</v>
      </c>
      <c r="AC25" s="2">
        <f t="shared" si="5"/>
        <v>-7.8070957939182305E-15</v>
      </c>
      <c r="AD25" s="2">
        <f t="shared" si="6"/>
        <v>4.76837158203125E-7</v>
      </c>
      <c r="AF25" s="2">
        <v>21</v>
      </c>
      <c r="AG25" s="2">
        <f t="shared" si="13"/>
        <v>2072.7996826171875</v>
      </c>
      <c r="AH25" s="2">
        <v>-2.6146460061227117E-3</v>
      </c>
      <c r="AI25" s="2">
        <f t="shared" si="14"/>
        <v>2072.8087425231934</v>
      </c>
      <c r="AJ25" s="2">
        <v>2.9884819939525187E-3</v>
      </c>
      <c r="AK25" s="2">
        <f t="shared" si="9"/>
        <v>2072.8042125701904</v>
      </c>
      <c r="AL25" s="2">
        <v>1.8239756354887504E-4</v>
      </c>
      <c r="AM25" s="2">
        <f t="shared" si="10"/>
        <v>-4.7690506105957964E-7</v>
      </c>
      <c r="AN25" s="2">
        <f t="shared" si="11"/>
        <v>5.4509183440662336E-7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34.006400843363359</v>
      </c>
      <c r="L26" s="6" t="s">
        <v>7</v>
      </c>
      <c r="N26" s="6" t="s">
        <v>33</v>
      </c>
      <c r="O26" s="6">
        <f xml:space="preserve"> 1/$C$21 - O23 * SQRT( (2*$C$47*PI()*$C$9^2) / O18^3 )</f>
        <v>0.88488752175451113</v>
      </c>
      <c r="U26" s="2">
        <v>22</v>
      </c>
      <c r="V26" s="2">
        <f t="shared" si="7"/>
        <v>6.0291051864624023E-2</v>
      </c>
      <c r="W26" s="2">
        <f t="shared" si="0"/>
        <v>3.9102828426618164E-8</v>
      </c>
      <c r="X26" s="2">
        <f t="shared" si="8"/>
        <v>6.0291290283203125E-2</v>
      </c>
      <c r="Y26" s="2">
        <f t="shared" si="1"/>
        <v>-1.9965552641720841E-7</v>
      </c>
      <c r="Z26" s="2">
        <f t="shared" si="3"/>
        <v>6.0291171073913574E-2</v>
      </c>
      <c r="AA26" s="2">
        <f t="shared" si="2"/>
        <v>-8.0276348832231115E-8</v>
      </c>
      <c r="AB26" s="2">
        <f t="shared" si="4"/>
        <v>-3.1390322951020826E-15</v>
      </c>
      <c r="AC26" s="2">
        <f t="shared" si="5"/>
        <v>1.6027616684950555E-14</v>
      </c>
      <c r="AD26" s="2">
        <f t="shared" si="6"/>
        <v>2.384185791015625E-7</v>
      </c>
      <c r="AF26" s="2">
        <v>22</v>
      </c>
      <c r="AG26" s="2">
        <f t="shared" si="13"/>
        <v>2072.7996826171875</v>
      </c>
      <c r="AH26" s="2">
        <v>-2.6146460061227117E-3</v>
      </c>
      <c r="AI26" s="2">
        <f t="shared" si="14"/>
        <v>2072.8042125701904</v>
      </c>
      <c r="AJ26" s="2">
        <v>1.8239756354887504E-4</v>
      </c>
      <c r="AK26" s="2">
        <f t="shared" si="9"/>
        <v>2072.801947593689</v>
      </c>
      <c r="AL26" s="2">
        <v>-1.2161246263531211E-3</v>
      </c>
      <c r="AM26" s="2">
        <f t="shared" si="10"/>
        <v>3.1797353972416634E-6</v>
      </c>
      <c r="AN26" s="2">
        <f t="shared" si="11"/>
        <v>-2.2181816881859533E-7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5.4338007284968626E-3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6.0291051864624023E-2</v>
      </c>
      <c r="W27" s="2">
        <f t="shared" si="0"/>
        <v>3.9102828426618164E-8</v>
      </c>
      <c r="X27" s="2">
        <f t="shared" si="8"/>
        <v>6.0291171073913574E-2</v>
      </c>
      <c r="Y27" s="2">
        <f t="shared" si="1"/>
        <v>-8.0276348832231115E-8</v>
      </c>
      <c r="Z27" s="2">
        <f t="shared" si="3"/>
        <v>6.0291111469268799E-2</v>
      </c>
      <c r="AA27" s="2">
        <f t="shared" si="2"/>
        <v>-2.0586760157703665E-8</v>
      </c>
      <c r="AB27" s="2">
        <f t="shared" si="4"/>
        <v>-8.0500055030662507E-16</v>
      </c>
      <c r="AC27" s="2">
        <f t="shared" si="5"/>
        <v>1.6526299397452967E-15</v>
      </c>
      <c r="AD27" s="2">
        <f t="shared" si="6"/>
        <v>1.1920928955078125E-7</v>
      </c>
      <c r="AF27" s="2">
        <v>23</v>
      </c>
      <c r="AG27" s="2">
        <f t="shared" si="13"/>
        <v>2072.801947593689</v>
      </c>
      <c r="AH27" s="2">
        <v>-1.2161246263531211E-3</v>
      </c>
      <c r="AI27" s="2">
        <f t="shared" si="14"/>
        <v>2072.8042125701904</v>
      </c>
      <c r="AJ27" s="2">
        <v>1.8239756354887504E-4</v>
      </c>
      <c r="AK27" s="2">
        <f t="shared" si="9"/>
        <v>2072.8030800819397</v>
      </c>
      <c r="AL27" s="2">
        <v>-5.1234483203188574E-4</v>
      </c>
      <c r="AM27" s="2">
        <f t="shared" si="10"/>
        <v>6.2307516741872961E-7</v>
      </c>
      <c r="AN27" s="2">
        <f t="shared" si="11"/>
        <v>-9.3450449059473592E-8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5079.1638473718904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1.1500117137470967</v>
      </c>
      <c r="U28" s="2">
        <v>24</v>
      </c>
      <c r="V28" s="2">
        <f t="shared" si="7"/>
        <v>6.0291051864624023E-2</v>
      </c>
      <c r="W28" s="2">
        <f t="shared" si="0"/>
        <v>3.9102828426618164E-8</v>
      </c>
      <c r="X28" s="2">
        <f t="shared" si="8"/>
        <v>6.0291111469268799E-2</v>
      </c>
      <c r="Y28" s="2">
        <f t="shared" si="1"/>
        <v>-2.0586760157703665E-8</v>
      </c>
      <c r="Z28" s="2">
        <f t="shared" si="3"/>
        <v>6.0291081666946411E-2</v>
      </c>
      <c r="AA28" s="2">
        <f t="shared" si="2"/>
        <v>9.2580341448655901E-9</v>
      </c>
      <c r="AB28" s="2">
        <f t="shared" si="4"/>
        <v>3.6201532073445176E-16</v>
      </c>
      <c r="AC28" s="2">
        <f t="shared" si="5"/>
        <v>-1.9059292847217906E-16</v>
      </c>
      <c r="AD28" s="2">
        <f t="shared" si="6"/>
        <v>5.9604644775390625E-8</v>
      </c>
      <c r="AF28" s="2">
        <v>24</v>
      </c>
      <c r="AG28" s="2">
        <f t="shared" si="13"/>
        <v>2072.8030800819397</v>
      </c>
      <c r="AH28" s="2">
        <v>-5.1234483203188574E-4</v>
      </c>
      <c r="AI28" s="2">
        <f t="shared" si="14"/>
        <v>2072.8042125701904</v>
      </c>
      <c r="AJ28" s="2">
        <v>1.8239756354887504E-4</v>
      </c>
      <c r="AK28" s="2">
        <f t="shared" si="9"/>
        <v>2072.8036463260651</v>
      </c>
      <c r="AL28" s="2">
        <v>-1.6497365959367016E-4</v>
      </c>
      <c r="AM28" s="2">
        <f t="shared" si="10"/>
        <v>8.4523401914204441E-8</v>
      </c>
      <c r="AN28" s="2">
        <f t="shared" si="11"/>
        <v>-3.0090793559626931E-8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48.670689740157371</v>
      </c>
      <c r="H29" t="s">
        <v>18</v>
      </c>
      <c r="U29" s="2">
        <v>25</v>
      </c>
      <c r="V29" s="2">
        <f t="shared" si="7"/>
        <v>6.0291081666946411E-2</v>
      </c>
      <c r="W29" s="2">
        <f t="shared" si="0"/>
        <v>9.2580341448655901E-9</v>
      </c>
      <c r="X29" s="2">
        <f t="shared" si="8"/>
        <v>6.0291111469268799E-2</v>
      </c>
      <c r="Y29" s="2">
        <f t="shared" si="1"/>
        <v>-2.0586760157703665E-8</v>
      </c>
      <c r="Z29" s="2">
        <f t="shared" si="3"/>
        <v>6.0291096568107605E-2</v>
      </c>
      <c r="AA29" s="2">
        <f t="shared" si="2"/>
        <v>-5.6643630064190376E-9</v>
      </c>
      <c r="AB29" s="2">
        <f t="shared" si="4"/>
        <v>-5.2440866122340956E-17</v>
      </c>
      <c r="AC29" s="2">
        <f t="shared" si="5"/>
        <v>1.16610882659318E-16</v>
      </c>
      <c r="AD29" s="2">
        <f t="shared" si="6"/>
        <v>2.9802322387695312E-8</v>
      </c>
      <c r="AF29" s="2">
        <v>25</v>
      </c>
      <c r="AG29" s="2">
        <f t="shared" si="13"/>
        <v>2072.8036463260651</v>
      </c>
      <c r="AH29" s="2">
        <v>-1.6497365959367016E-4</v>
      </c>
      <c r="AI29" s="2">
        <f t="shared" si="14"/>
        <v>2072.8042125701904</v>
      </c>
      <c r="AJ29" s="2">
        <v>1.8239756354887504E-4</v>
      </c>
      <c r="AK29" s="2">
        <f t="shared" si="9"/>
        <v>2072.8039294481277</v>
      </c>
      <c r="AL29" s="2">
        <v>8.7119453837658511E-6</v>
      </c>
      <c r="AM29" s="2">
        <f t="shared" si="10"/>
        <v>-1.4372415121400337E-9</v>
      </c>
      <c r="AN29" s="2">
        <f t="shared" si="11"/>
        <v>1.5890376117697604E-9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10.647130273340245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6.0291081666946411E-2</v>
      </c>
      <c r="W30" s="2">
        <f t="shared" si="0"/>
        <v>9.2580341448655901E-9</v>
      </c>
      <c r="X30" s="2">
        <f t="shared" si="8"/>
        <v>6.0291096568107605E-2</v>
      </c>
      <c r="Y30" s="2">
        <f t="shared" si="1"/>
        <v>-5.6643630064190376E-9</v>
      </c>
      <c r="Z30" s="2">
        <f t="shared" si="3"/>
        <v>6.0291089117527008E-2</v>
      </c>
      <c r="AA30" s="2">
        <f t="shared" si="2"/>
        <v>1.7968355692232763E-9</v>
      </c>
      <c r="AB30" s="2">
        <f t="shared" si="4"/>
        <v>1.663516505257809E-17</v>
      </c>
      <c r="AC30" s="2">
        <f t="shared" si="5"/>
        <v>-1.017792892692622E-17</v>
      </c>
      <c r="AD30" s="2">
        <f t="shared" si="6"/>
        <v>1.4901161193847656E-8</v>
      </c>
      <c r="AF30" s="2">
        <v>26</v>
      </c>
      <c r="AG30" s="2">
        <f t="shared" si="13"/>
        <v>2072.8036463260651</v>
      </c>
      <c r="AH30" s="2">
        <v>-1.6497365959367016E-4</v>
      </c>
      <c r="AI30" s="2">
        <f t="shared" si="14"/>
        <v>2072.8039294481277</v>
      </c>
      <c r="AJ30" s="2">
        <v>1.8239756354887504E-4</v>
      </c>
      <c r="AK30" s="2">
        <f t="shared" si="9"/>
        <v>2072.8037878870964</v>
      </c>
      <c r="AL30" s="2">
        <v>-7.3612055984995095E-5</v>
      </c>
      <c r="AM30" s="2">
        <f t="shared" si="10"/>
        <v>1.2144050266058772E-8</v>
      </c>
      <c r="AN30" s="2">
        <f t="shared" si="11"/>
        <v>-1.3426659659486491E-8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194.68275896062949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6.0291089117527008E-2</v>
      </c>
      <c r="W31" s="2">
        <f t="shared" si="0"/>
        <v>1.7968355692232763E-9</v>
      </c>
      <c r="X31" s="2">
        <f t="shared" si="8"/>
        <v>6.0291096568107605E-2</v>
      </c>
      <c r="Y31" s="2">
        <f t="shared" si="1"/>
        <v>-5.6643630064190376E-9</v>
      </c>
      <c r="Z31" s="2">
        <f t="shared" si="3"/>
        <v>6.0291092842817307E-2</v>
      </c>
      <c r="AA31" s="2">
        <f t="shared" si="2"/>
        <v>-1.9337637185978807E-9</v>
      </c>
      <c r="AB31" s="2">
        <f t="shared" si="4"/>
        <v>-3.4746554320501423E-18</v>
      </c>
      <c r="AC31" s="2">
        <f t="shared" si="5"/>
        <v>1.0953539670781149E-17</v>
      </c>
      <c r="AD31" s="2">
        <f t="shared" si="6"/>
        <v>7.4505805969238281E-9</v>
      </c>
      <c r="AF31" s="2">
        <v>27</v>
      </c>
      <c r="AG31" s="2">
        <f t="shared" si="13"/>
        <v>2072.8037878870964</v>
      </c>
      <c r="AH31" s="2">
        <v>-7.3612055984995095E-5</v>
      </c>
      <c r="AI31" s="2">
        <f t="shared" si="14"/>
        <v>2072.8039294481277</v>
      </c>
      <c r="AJ31" s="2">
        <v>1.8239756354887504E-4</v>
      </c>
      <c r="AK31" s="2">
        <f t="shared" si="9"/>
        <v>2072.8038586676121</v>
      </c>
      <c r="AL31" s="2">
        <v>-1.2381166015984491E-4</v>
      </c>
      <c r="AM31" s="2">
        <f t="shared" si="10"/>
        <v>9.1140308592816899E-9</v>
      </c>
      <c r="AN31" s="2">
        <f t="shared" si="11"/>
        <v>-2.2582945152097031E-8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699.43</v>
      </c>
      <c r="L32" s="6" t="s">
        <v>7</v>
      </c>
      <c r="U32" s="2">
        <v>28</v>
      </c>
      <c r="V32" s="2">
        <f t="shared" si="7"/>
        <v>6.0291089117527008E-2</v>
      </c>
      <c r="W32" s="2">
        <f t="shared" si="0"/>
        <v>1.7968355692232763E-9</v>
      </c>
      <c r="X32" s="2">
        <f t="shared" si="8"/>
        <v>6.0291092842817307E-2</v>
      </c>
      <c r="Y32" s="2">
        <f t="shared" si="1"/>
        <v>-1.9337637185978807E-9</v>
      </c>
      <c r="Z32" s="2">
        <f t="shared" si="3"/>
        <v>6.0291090980172157E-2</v>
      </c>
      <c r="AA32" s="2">
        <f t="shared" si="2"/>
        <v>-6.8464074687302201E-11</v>
      </c>
      <c r="AB32" s="2">
        <f t="shared" si="4"/>
        <v>-1.2301868461210355E-19</v>
      </c>
      <c r="AC32" s="2">
        <f t="shared" si="5"/>
        <v>1.3239334365768054E-19</v>
      </c>
      <c r="AD32" s="2">
        <f t="shared" si="6"/>
        <v>3.7252902984619141E-9</v>
      </c>
      <c r="AF32" s="2">
        <v>28</v>
      </c>
      <c r="AG32" s="2">
        <f t="shared" si="13"/>
        <v>2072.8038586676121</v>
      </c>
      <c r="AH32" s="2">
        <v>-3.2450055641675135E-5</v>
      </c>
      <c r="AI32" s="2">
        <f t="shared" si="14"/>
        <v>2072.8039294481277</v>
      </c>
      <c r="AJ32" s="2">
        <v>1.8239756354887504E-4</v>
      </c>
      <c r="AK32" s="2">
        <f t="shared" si="9"/>
        <v>2072.8038940578699</v>
      </c>
      <c r="AL32" s="2">
        <v>-1.3987385796099261E-4</v>
      </c>
      <c r="AM32" s="2">
        <f t="shared" si="10"/>
        <v>4.5389144736499748E-9</v>
      </c>
      <c r="AN32" s="2">
        <f t="shared" si="11"/>
        <v>-2.5512650896266472E-8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504.29</v>
      </c>
      <c r="L33" s="6" t="s">
        <v>7</v>
      </c>
      <c r="U33" s="2">
        <v>29</v>
      </c>
      <c r="V33" s="2">
        <f t="shared" si="7"/>
        <v>6.0291089117527008E-2</v>
      </c>
      <c r="W33" s="2">
        <f t="shared" si="0"/>
        <v>1.7968355692232763E-9</v>
      </c>
      <c r="X33" s="2">
        <f t="shared" si="8"/>
        <v>6.0291090980172157E-2</v>
      </c>
      <c r="Y33" s="2">
        <f t="shared" si="1"/>
        <v>-6.8464074687302201E-11</v>
      </c>
      <c r="Z33" s="2">
        <f t="shared" si="3"/>
        <v>6.0291090048849583E-2</v>
      </c>
      <c r="AA33" s="2">
        <f t="shared" si="2"/>
        <v>8.6418575073743398E-10</v>
      </c>
      <c r="AB33" s="2">
        <f t="shared" si="4"/>
        <v>1.5527996953409415E-18</v>
      </c>
      <c r="AC33" s="2">
        <f t="shared" si="5"/>
        <v>-5.9165677782190003E-20</v>
      </c>
      <c r="AD33" s="2">
        <f t="shared" si="6"/>
        <v>1.862645149230957E-9</v>
      </c>
      <c r="AF33" s="2">
        <v>29</v>
      </c>
      <c r="AG33" s="2">
        <f t="shared" si="13"/>
        <v>2072.8038940578699</v>
      </c>
      <c r="AH33" s="2">
        <v>-1.6387857158406405E-5</v>
      </c>
      <c r="AI33" s="2">
        <f t="shared" si="14"/>
        <v>2072.8039294481277</v>
      </c>
      <c r="AJ33" s="2">
        <v>1.8239756354887504E-4</v>
      </c>
      <c r="AK33" s="2">
        <f t="shared" si="9"/>
        <v>2072.8039117529988</v>
      </c>
      <c r="AL33" s="2">
        <v>-1.569425594425411E-4</v>
      </c>
      <c r="AM33" s="2">
        <f t="shared" si="10"/>
        <v>2.5719522462190698E-9</v>
      </c>
      <c r="AN33" s="2">
        <f t="shared" si="11"/>
        <v>-2.8625940459443987E-8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169.7</v>
      </c>
      <c r="L34" s="6" t="s">
        <v>7</v>
      </c>
      <c r="U34" s="2">
        <v>30</v>
      </c>
      <c r="V34" s="2">
        <f t="shared" si="7"/>
        <v>6.0291090048849583E-2</v>
      </c>
      <c r="W34" s="2">
        <f t="shared" si="0"/>
        <v>8.6418575073743398E-10</v>
      </c>
      <c r="X34" s="2">
        <f t="shared" si="8"/>
        <v>6.0291090980172157E-2</v>
      </c>
      <c r="Y34" s="2">
        <f t="shared" si="1"/>
        <v>-6.8464074687302201E-11</v>
      </c>
      <c r="Z34" s="2">
        <f t="shared" si="3"/>
        <v>6.029109051451087E-2</v>
      </c>
      <c r="AA34" s="2">
        <f t="shared" si="2"/>
        <v>3.9786083455561894E-10</v>
      </c>
      <c r="AB34" s="2">
        <f t="shared" si="4"/>
        <v>3.4382566399946956E-19</v>
      </c>
      <c r="AC34" s="2">
        <f t="shared" si="5"/>
        <v>-2.7239173892168279E-20</v>
      </c>
      <c r="AD34" s="2">
        <f>X34-V34</f>
        <v>9.3132257461547852E-10</v>
      </c>
      <c r="AF34" s="2">
        <v>30</v>
      </c>
      <c r="AG34" s="2">
        <f t="shared" si="13"/>
        <v>2072.8039117529988</v>
      </c>
      <c r="AH34" s="2">
        <v>6.8084568738413509E-7</v>
      </c>
      <c r="AI34" s="2">
        <f t="shared" si="14"/>
        <v>2072.8039294481277</v>
      </c>
      <c r="AJ34" s="2">
        <v>1.8239756354887504E-4</v>
      </c>
      <c r="AK34" s="2">
        <f t="shared" si="9"/>
        <v>2072.8039206005633</v>
      </c>
      <c r="AL34" s="2">
        <v>-1.6095810951810563E-4</v>
      </c>
      <c r="AM34" s="2">
        <f t="shared" si="10"/>
        <v>-1.0958763471490552E-10</v>
      </c>
      <c r="AN34" s="2">
        <f t="shared" si="11"/>
        <v>-2.9358367009535459E-8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234.12662987045749</v>
      </c>
      <c r="H35" s="25" t="s">
        <v>101</v>
      </c>
      <c r="J35" s="15" t="s">
        <v>70</v>
      </c>
      <c r="K35" s="6">
        <f>ROUND(SUM(K23:K26),2)</f>
        <v>99.38</v>
      </c>
      <c r="L35" s="6" t="s">
        <v>7</v>
      </c>
      <c r="AF35" s="2">
        <v>31</v>
      </c>
      <c r="AG35" s="2">
        <f t="shared" si="13"/>
        <v>2072.8039117529988</v>
      </c>
      <c r="AH35" s="2">
        <v>4.6963966724433703E-6</v>
      </c>
      <c r="AI35" s="2">
        <f t="shared" si="14"/>
        <v>2072.8039294481277</v>
      </c>
      <c r="AJ35" s="2">
        <v>1.8239756354887504E-4</v>
      </c>
      <c r="AK35" s="2">
        <f t="shared" si="9"/>
        <v>2072.8039206005633</v>
      </c>
      <c r="AL35" s="2">
        <v>-1.629658845558879E-4</v>
      </c>
      <c r="AM35" s="2">
        <f t="shared" si="10"/>
        <v>-7.6535243795006235E-10</v>
      </c>
      <c r="AN35" s="2">
        <f t="shared" si="11"/>
        <v>-2.9724580284581195E-8</v>
      </c>
      <c r="AO35" s="2">
        <f t="shared" si="12"/>
        <v>1.7695128917694092E-5</v>
      </c>
    </row>
    <row r="36" spans="2:41" x14ac:dyDescent="0.2">
      <c r="B36" s="6" t="s">
        <v>3</v>
      </c>
      <c r="C36" s="17">
        <v>400</v>
      </c>
      <c r="D36" s="6" t="s">
        <v>4</v>
      </c>
      <c r="J36" s="10" t="s">
        <v>59</v>
      </c>
      <c r="K36" s="10">
        <f>SUM(K31:K35)</f>
        <v>2072.7999999999997</v>
      </c>
      <c r="L36" s="6" t="s">
        <v>7</v>
      </c>
      <c r="AF36" s="2">
        <v>32</v>
      </c>
      <c r="AG36" s="2">
        <f t="shared" si="13"/>
        <v>2072.8039117529988</v>
      </c>
      <c r="AH36" s="2">
        <v>6.7041712554782862E-6</v>
      </c>
      <c r="AI36" s="2">
        <f t="shared" si="14"/>
        <v>2072.8039294481277</v>
      </c>
      <c r="AJ36" s="2">
        <v>1.8239756354887504E-4</v>
      </c>
      <c r="AK36" s="2">
        <f t="shared" si="9"/>
        <v>2072.8039206005633</v>
      </c>
      <c r="AL36" s="2">
        <v>-1.63969771392658E-4</v>
      </c>
      <c r="AM36" s="2">
        <f t="shared" si="10"/>
        <v>-1.0992814281380035E-9</v>
      </c>
      <c r="AN36" s="2">
        <f t="shared" si="11"/>
        <v>-2.9907686797686851E-8</v>
      </c>
      <c r="AO36" s="2">
        <f t="shared" si="12"/>
        <v>1.7695128917694092E-5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2072.8039117529988</v>
      </c>
      <c r="AH37" s="2">
        <v>7.7080580922483932E-6</v>
      </c>
      <c r="AI37" s="2">
        <f t="shared" si="14"/>
        <v>2072.8039294481277</v>
      </c>
      <c r="AJ37" s="2">
        <v>1.8239756354887504E-4</v>
      </c>
      <c r="AK37" s="2">
        <f t="shared" si="9"/>
        <v>2072.8039206005633</v>
      </c>
      <c r="AL37" s="2">
        <v>-1.6447171606159827E-4</v>
      </c>
      <c r="AM37" s="2">
        <f t="shared" si="10"/>
        <v>-1.2677575419345827E-9</v>
      </c>
      <c r="AN37" s="2">
        <f t="shared" si="11"/>
        <v>-2.9999240282337906E-8</v>
      </c>
      <c r="AO37" s="2">
        <f t="shared" si="12"/>
        <v>1.7695128917694092E-5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2072.8039117529988</v>
      </c>
      <c r="AH38" s="2">
        <v>8.2100023064413108E-6</v>
      </c>
      <c r="AI38" s="2">
        <f t="shared" si="14"/>
        <v>2072.8039294481277</v>
      </c>
      <c r="AJ38" s="2">
        <v>1.8239756354887504E-4</v>
      </c>
      <c r="AK38" s="2">
        <f t="shared" si="9"/>
        <v>2072.8039206005633</v>
      </c>
      <c r="AL38" s="2">
        <v>-1.64722686577079E-4</v>
      </c>
      <c r="AM38" s="2">
        <f t="shared" si="10"/>
        <v>-1.3523736367210278E-9</v>
      </c>
      <c r="AN38" s="2">
        <f t="shared" si="11"/>
        <v>-3.0045016692884194E-8</v>
      </c>
      <c r="AO38" s="2">
        <f t="shared" si="12"/>
        <v>1.7695128917694092E-5</v>
      </c>
    </row>
    <row r="39" spans="2:41" x14ac:dyDescent="0.2">
      <c r="J39" s="6" t="s">
        <v>57</v>
      </c>
      <c r="K39" s="6">
        <f>ROUND($C$13/$C$5 * 100, 2)</f>
        <v>28.95</v>
      </c>
      <c r="L39" s="6" t="s">
        <v>58</v>
      </c>
      <c r="AF39" s="2">
        <v>35</v>
      </c>
      <c r="AG39" s="2">
        <f t="shared" si="13"/>
        <v>2072.8039117529988</v>
      </c>
      <c r="AH39" s="2">
        <v>8.4609744135377696E-6</v>
      </c>
      <c r="AI39" s="2">
        <f t="shared" si="14"/>
        <v>2072.8039294481277</v>
      </c>
      <c r="AJ39" s="2">
        <v>1.8239756354887504E-4</v>
      </c>
      <c r="AK39" s="2">
        <f t="shared" si="9"/>
        <v>2072.8039206005633</v>
      </c>
      <c r="AL39" s="2">
        <v>-1.6484817365380877E-4</v>
      </c>
      <c r="AM39" s="2">
        <f t="shared" si="10"/>
        <v>-1.394776179403307E-9</v>
      </c>
      <c r="AN39" s="2">
        <f t="shared" si="11"/>
        <v>-3.0067905229936571E-8</v>
      </c>
      <c r="AO39" s="2">
        <f t="shared" si="12"/>
        <v>1.7695128917694092E-5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33.74</v>
      </c>
      <c r="L40" s="6" t="s">
        <v>58</v>
      </c>
      <c r="AF40" s="2">
        <v>36</v>
      </c>
      <c r="AG40" s="2">
        <f t="shared" si="13"/>
        <v>2072.8039117529988</v>
      </c>
      <c r="AH40" s="2">
        <v>8.5864603533991612E-6</v>
      </c>
      <c r="AI40" s="2">
        <f t="shared" si="14"/>
        <v>2072.8039294481277</v>
      </c>
      <c r="AJ40" s="2">
        <v>1.8239756354887504E-4</v>
      </c>
      <c r="AK40" s="2">
        <f t="shared" si="9"/>
        <v>2072.8039206005633</v>
      </c>
      <c r="AL40" s="2">
        <v>-1.6491091605530528E-4</v>
      </c>
      <c r="AM40" s="2">
        <f t="shared" si="10"/>
        <v>-1.416001042551616E-9</v>
      </c>
      <c r="AN40" s="2">
        <f t="shared" si="11"/>
        <v>-3.0079349291100742E-8</v>
      </c>
      <c r="AO40" s="2">
        <f t="shared" si="12"/>
        <v>1.7695128917694092E-5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24.33</v>
      </c>
      <c r="L41" s="6" t="s">
        <v>58</v>
      </c>
      <c r="AF41" s="2">
        <v>37</v>
      </c>
      <c r="AG41" s="2">
        <f t="shared" si="13"/>
        <v>2072.8039117529988</v>
      </c>
      <c r="AH41" s="2">
        <v>8.6492027548956685E-6</v>
      </c>
      <c r="AI41" s="2">
        <f t="shared" si="14"/>
        <v>2072.8039294481277</v>
      </c>
      <c r="AJ41" s="2">
        <v>1.8239756354887504E-4</v>
      </c>
      <c r="AK41" s="2">
        <f t="shared" si="9"/>
        <v>2072.8039206005633</v>
      </c>
      <c r="AL41" s="2">
        <v>-1.6494228748342721E-4</v>
      </c>
      <c r="AM41" s="2">
        <f t="shared" si="10"/>
        <v>-1.4266192873004519E-9</v>
      </c>
      <c r="AN41" s="2">
        <f t="shared" si="11"/>
        <v>-3.0085071363155232E-8</v>
      </c>
      <c r="AO41" s="2">
        <f t="shared" si="12"/>
        <v>1.7695128917694092E-5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8.19</v>
      </c>
      <c r="L42" s="6" t="s">
        <v>58</v>
      </c>
      <c r="AF42" s="2">
        <v>38</v>
      </c>
      <c r="AG42" s="2">
        <f t="shared" si="13"/>
        <v>2072.8039117529988</v>
      </c>
      <c r="AH42" s="2">
        <v>8.6805735008965712E-6</v>
      </c>
      <c r="AI42" s="2">
        <f t="shared" si="14"/>
        <v>2072.8039294481277</v>
      </c>
      <c r="AJ42" s="2">
        <v>1.8239756354887504E-4</v>
      </c>
      <c r="AK42" s="2">
        <f t="shared" si="9"/>
        <v>2072.8039206005633</v>
      </c>
      <c r="AL42" s="2">
        <v>-1.6495797353854869E-4</v>
      </c>
      <c r="AM42" s="2">
        <f t="shared" si="10"/>
        <v>-1.4319298138603235E-9</v>
      </c>
      <c r="AN42" s="2">
        <f t="shared" si="11"/>
        <v>-3.0087932461391078E-8</v>
      </c>
      <c r="AO42" s="2">
        <f t="shared" si="12"/>
        <v>1.7695128917694092E-5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4.79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2072.8039117529988</v>
      </c>
      <c r="AH43" s="2">
        <v>8.6962604655127507E-6</v>
      </c>
      <c r="AI43" s="2">
        <f t="shared" si="14"/>
        <v>2072.8039294481277</v>
      </c>
      <c r="AJ43" s="2">
        <v>1.8239756354887504E-4</v>
      </c>
      <c r="AK43" s="2">
        <f t="shared" si="9"/>
        <v>2072.8039206005633</v>
      </c>
      <c r="AL43" s="2">
        <v>-1.649658167934831E-4</v>
      </c>
      <c r="AM43" s="2">
        <f t="shared" si="10"/>
        <v>-1.4345857107421864E-9</v>
      </c>
      <c r="AN43" s="2">
        <f t="shared" si="11"/>
        <v>-3.0089363051981412E-8</v>
      </c>
      <c r="AO43" s="2">
        <f t="shared" si="12"/>
        <v>1.7695128917694092E-5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2072.8039117529988</v>
      </c>
      <c r="AH44" s="2">
        <v>8.704103720447165E-6</v>
      </c>
      <c r="AI44" s="2">
        <f t="shared" si="14"/>
        <v>2072.8039294481277</v>
      </c>
      <c r="AJ44" s="2">
        <v>1.8239756354887504E-4</v>
      </c>
      <c r="AK44" s="5">
        <f>(AG44+AI44)/2</f>
        <v>2072.8039206005633</v>
      </c>
      <c r="AL44" s="2">
        <v>-1.6496973671564774E-4</v>
      </c>
      <c r="AM44" s="2">
        <f t="shared" si="10"/>
        <v>-1.4359136991078588E-9</v>
      </c>
      <c r="AN44" s="2">
        <f t="shared" si="11"/>
        <v>-3.009007803623354E-8</v>
      </c>
      <c r="AO44" s="2">
        <f t="shared" si="12"/>
        <v>1.7695128917694092E-5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1847.0087886021286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28.95</v>
      </c>
      <c r="L47" s="6" t="s">
        <v>58</v>
      </c>
      <c r="N47" s="6" t="s">
        <v>154</v>
      </c>
      <c r="O47" s="6">
        <f>0.377*O46^0.6945</f>
        <v>69.9687385639578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33.74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37.31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J38:L38"/>
    <mergeCell ref="B40:D40"/>
    <mergeCell ref="B46:D46"/>
    <mergeCell ref="J46:L46"/>
    <mergeCell ref="B52:D52"/>
  </mergeCells>
  <conditionalFormatting sqref="K28">
    <cfRule type="containsText" dxfId="17" priority="1" operator="containsText" text="FALSE">
      <formula>NOT(ISERROR(SEARCH("FALSE",K28)))</formula>
    </cfRule>
    <cfRule type="containsText" dxfId="16" priority="2" operator="containsText" text="TRUE">
      <formula>NOT(ISERROR(SEARCH("TRUE",K28)))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NOT(ISERROR(SEARCH("YES",K28)))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D9C9-9102-7F46-A73E-D173F3ABDDC4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336.25290761082107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6.6112534076755561E-2</v>
      </c>
      <c r="X4" s="3">
        <v>1</v>
      </c>
      <c r="Y4" s="2">
        <f t="shared" ref="Y4:Y34" si="1" xml:space="preserve"> $O$20 * TAN($O$17/180*PI()) + $O$21 / (2 * SQRT($O$20^2 + X4^2)) - X4</f>
        <v>-0.93676220174372826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-0.43541380025759452</v>
      </c>
      <c r="AB4" s="2">
        <f>W4*AA4</f>
        <v>-2.8786309707019855E-2</v>
      </c>
      <c r="AC4" s="2">
        <f>Y4*AA4</f>
        <v>0.40787919019890817</v>
      </c>
      <c r="AD4" s="2">
        <f>X4-V4</f>
        <v>1</v>
      </c>
      <c r="AF4" s="2">
        <v>0</v>
      </c>
      <c r="AG4" s="2"/>
      <c r="AH4" s="2">
        <f>K27</f>
        <v>3.8042454327751329E-3</v>
      </c>
      <c r="AI4" s="2"/>
      <c r="AJ4" s="2">
        <f>K27</f>
        <v>3.8042454327751329E-3</v>
      </c>
      <c r="AK4" s="2"/>
      <c r="AL4" s="2">
        <f>K27</f>
        <v>3.8042454327751329E-3</v>
      </c>
      <c r="AM4" s="2"/>
      <c r="AN4" s="2"/>
      <c r="AO4" s="2"/>
    </row>
    <row r="5" spans="2:41" x14ac:dyDescent="0.2">
      <c r="B5" s="10" t="s">
        <v>37</v>
      </c>
      <c r="C5" s="10">
        <v>1782.9345712972499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84.063226902705267</v>
      </c>
      <c r="L5" s="6" t="s">
        <v>101</v>
      </c>
      <c r="N5" s="6" t="s">
        <v>114</v>
      </c>
      <c r="O5" s="6">
        <f xml:space="preserve"> $C$18 * 0.85 * ($C$5/$C$18 *2.20462/1000)^(2/3) * 0.3048^2</f>
        <v>0.31221105789490783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6.6112534076755561E-2</v>
      </c>
      <c r="X5" s="2">
        <f>IF(AC4&gt;0, Z4, X4)</f>
        <v>0.5</v>
      </c>
      <c r="Y5" s="2">
        <f t="shared" si="1"/>
        <v>-0.43541380025759452</v>
      </c>
      <c r="Z5" s="2">
        <f t="shared" ref="Z5:Z34" si="3" xml:space="preserve"> (V5 + X5)/2</f>
        <v>0.25</v>
      </c>
      <c r="AA5" s="2">
        <f t="shared" si="2"/>
        <v>-0.1844386251573748</v>
      </c>
      <c r="AB5" s="2">
        <f t="shared" ref="AB5:AB34" si="4">W5*AA5</f>
        <v>-1.2193704890786887E-2</v>
      </c>
      <c r="AC5" s="2">
        <f t="shared" ref="AC5:AC34" si="5">Y5*AA5</f>
        <v>8.0307122694058541E-2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-827.17387118295505</v>
      </c>
      <c r="AI5" s="3">
        <v>10000</v>
      </c>
      <c r="AJ5" s="2">
        <f t="dataTable" ref="AJ5:AJ44" dt2D="0" dtr="0" r1="C5"/>
        <v>4104.3715667689348</v>
      </c>
      <c r="AK5" s="2">
        <f>(AG5+AI5)/2</f>
        <v>5250</v>
      </c>
      <c r="AL5" s="2">
        <f t="dataTable" ref="AL5:AL44" dt2D="0" dtr="0" r1="C5" ca="1"/>
        <v>1987.8500594942425</v>
      </c>
      <c r="AM5" s="2">
        <f>AH5*AL5</f>
        <v>-1644297.62904312</v>
      </c>
      <c r="AN5" s="2">
        <f>AJ5*AL5</f>
        <v>8158875.2631881041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6.6112534076755561E-2</v>
      </c>
      <c r="X6" s="2">
        <f t="shared" ref="X6:X34" si="8">IF(AC5&gt;0, Z5, X5)</f>
        <v>0.25</v>
      </c>
      <c r="Y6" s="2">
        <f t="shared" si="1"/>
        <v>-0.1844386251573748</v>
      </c>
      <c r="Z6" s="2">
        <f t="shared" si="3"/>
        <v>0.125</v>
      </c>
      <c r="AA6" s="2">
        <f t="shared" si="2"/>
        <v>-5.9043467214666689E-2</v>
      </c>
      <c r="AB6" s="2">
        <f t="shared" si="4"/>
        <v>-3.9035132382394511E-3</v>
      </c>
      <c r="AC6" s="2">
        <f t="shared" si="5"/>
        <v>1.0889895917597658E-2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-827.17387118295505</v>
      </c>
      <c r="AI6" s="2">
        <f>IF(AN5&gt;0, AK5, AI5)</f>
        <v>5250</v>
      </c>
      <c r="AJ6" s="2">
        <v>1987.8500594942425</v>
      </c>
      <c r="AK6" s="2">
        <f t="shared" ref="AK6:AK43" si="9">(AG6+AI6)/2</f>
        <v>2875</v>
      </c>
      <c r="AL6" s="2">
        <v>672.82407379060737</v>
      </c>
      <c r="AM6" s="2">
        <f t="shared" ref="AM6:AM44" si="10">AH6*AL6</f>
        <v>-556542.49374246295</v>
      </c>
      <c r="AN6" s="2">
        <f t="shared" ref="AN6:AN44" si="11">AJ6*AL6</f>
        <v>1337473.3751138174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328.86616358013998</v>
      </c>
      <c r="D7" s="6" t="s">
        <v>125</v>
      </c>
      <c r="F7" t="s">
        <v>121</v>
      </c>
      <c r="G7" s="8">
        <f>$C$6*2*PI()/60*$C$9</f>
        <v>162.51463592679659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0.94248768123000382</v>
      </c>
      <c r="P7" s="6" t="s">
        <v>115</v>
      </c>
      <c r="U7" s="2">
        <v>3</v>
      </c>
      <c r="V7" s="2">
        <f t="shared" si="7"/>
        <v>0</v>
      </c>
      <c r="W7" s="2">
        <f t="shared" si="0"/>
        <v>6.6112534076755561E-2</v>
      </c>
      <c r="X7" s="2">
        <f t="shared" si="8"/>
        <v>0.125</v>
      </c>
      <c r="Y7" s="2">
        <f t="shared" si="1"/>
        <v>-5.9043467214666689E-2</v>
      </c>
      <c r="Z7" s="2">
        <f t="shared" si="3"/>
        <v>6.25E-2</v>
      </c>
      <c r="AA7" s="2">
        <f t="shared" si="2"/>
        <v>3.5721772238102856E-3</v>
      </c>
      <c r="AB7" s="2">
        <f t="shared" si="4"/>
        <v>2.3616568843736759E-4</v>
      </c>
      <c r="AC7" s="2">
        <f t="shared" si="5"/>
        <v>-2.1091372879902167E-4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-827.17387118295505</v>
      </c>
      <c r="AI7" s="2">
        <f t="shared" ref="AI7:AI44" si="14">IF(AN6&gt;0, AK6, AI6)</f>
        <v>2875</v>
      </c>
      <c r="AJ7" s="2">
        <v>672.82407379060737</v>
      </c>
      <c r="AK7" s="2">
        <f t="shared" si="9"/>
        <v>1687.5</v>
      </c>
      <c r="AL7" s="2">
        <v>-62.862311677989055</v>
      </c>
      <c r="AM7" s="2">
        <f t="shared" si="10"/>
        <v>51998.061702191691</v>
      </c>
      <c r="AN7" s="2">
        <f t="shared" si="11"/>
        <v>-42295.276631079469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0.48669179137081531</v>
      </c>
      <c r="H8" s="6" t="s">
        <v>122</v>
      </c>
      <c r="J8" s="6" t="s">
        <v>96</v>
      </c>
      <c r="K8" s="6">
        <f xml:space="preserve"> $C$15 * (G12*G6 + G22*G15 + G31*G27 +G35*G34)/3600</f>
        <v>179.27488496820209</v>
      </c>
      <c r="L8" s="6" t="s">
        <v>102</v>
      </c>
      <c r="N8" s="6" t="s">
        <v>38</v>
      </c>
      <c r="O8" s="6">
        <f xml:space="preserve"> O4 *O7</f>
        <v>2137.0566855575826</v>
      </c>
      <c r="P8" s="6" t="s">
        <v>20</v>
      </c>
      <c r="U8" s="2">
        <v>4</v>
      </c>
      <c r="V8" s="2">
        <f t="shared" si="7"/>
        <v>6.25E-2</v>
      </c>
      <c r="W8" s="2">
        <f t="shared" si="0"/>
        <v>3.5721772238102856E-3</v>
      </c>
      <c r="X8" s="2">
        <f t="shared" si="8"/>
        <v>0.125</v>
      </c>
      <c r="Y8" s="2">
        <f t="shared" si="1"/>
        <v>-5.9043467214666689E-2</v>
      </c>
      <c r="Z8" s="2">
        <f t="shared" si="3"/>
        <v>9.375E-2</v>
      </c>
      <c r="AA8" s="2">
        <f t="shared" si="2"/>
        <v>-2.772696886703839E-2</v>
      </c>
      <c r="AB8" s="2">
        <f t="shared" si="4"/>
        <v>-9.9045646672131409E-5</v>
      </c>
      <c r="AC8" s="2">
        <f t="shared" si="5"/>
        <v>1.6370963772630652E-3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-62.862311677989055</v>
      </c>
      <c r="AI8" s="2">
        <f t="shared" si="14"/>
        <v>2875</v>
      </c>
      <c r="AJ8" s="2">
        <v>672.82407379060737</v>
      </c>
      <c r="AK8" s="2">
        <f t="shared" si="9"/>
        <v>2281.25</v>
      </c>
      <c r="AL8" s="2">
        <v>317.98671512463011</v>
      </c>
      <c r="AM8" s="2">
        <f t="shared" si="10"/>
        <v>-19989.379995624415</v>
      </c>
      <c r="AN8" s="2">
        <f t="shared" si="11"/>
        <v>213949.11708144698</v>
      </c>
      <c r="AO8" s="2">
        <f t="shared" si="12"/>
        <v>1187.5</v>
      </c>
    </row>
    <row r="9" spans="2:41" x14ac:dyDescent="0.2">
      <c r="B9" s="6" t="s">
        <v>95</v>
      </c>
      <c r="C9" s="17">
        <v>3.87975114487941</v>
      </c>
      <c r="D9" s="6" t="s">
        <v>8</v>
      </c>
      <c r="F9" t="s">
        <v>19</v>
      </c>
      <c r="G9" s="6">
        <f xml:space="preserve"> $C$5 * $C$44 / $C$18</f>
        <v>4368.8543742992852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2137.0566855575826</v>
      </c>
      <c r="P9" s="6" t="s">
        <v>20</v>
      </c>
      <c r="U9" s="2">
        <v>5</v>
      </c>
      <c r="V9" s="2">
        <f t="shared" si="7"/>
        <v>6.25E-2</v>
      </c>
      <c r="W9" s="2">
        <f t="shared" si="0"/>
        <v>3.5721772238102856E-3</v>
      </c>
      <c r="X9" s="2">
        <f t="shared" si="8"/>
        <v>9.375E-2</v>
      </c>
      <c r="Y9" s="2">
        <f t="shared" si="1"/>
        <v>-2.772696886703839E-2</v>
      </c>
      <c r="Z9" s="2">
        <f t="shared" si="3"/>
        <v>7.8125E-2</v>
      </c>
      <c r="AA9" s="2">
        <f t="shared" si="2"/>
        <v>-1.2075113684626951E-2</v>
      </c>
      <c r="AB9" s="2">
        <f t="shared" si="4"/>
        <v>-4.3134446079144289E-5</v>
      </c>
      <c r="AC9" s="2">
        <f t="shared" si="5"/>
        <v>3.3480630119960068E-4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-62.862311677989055</v>
      </c>
      <c r="AI9" s="2">
        <f t="shared" si="14"/>
        <v>2281.25</v>
      </c>
      <c r="AJ9" s="2">
        <v>317.98671512463011</v>
      </c>
      <c r="AK9" s="2">
        <f t="shared" si="9"/>
        <v>1984.375</v>
      </c>
      <c r="AL9" s="2">
        <v>132.61231960625946</v>
      </c>
      <c r="AM9" s="2">
        <f t="shared" si="10"/>
        <v>-8336.3169674297806</v>
      </c>
      <c r="AN9" s="2">
        <f t="shared" si="11"/>
        <v>42168.955896652027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46.923136776566999</v>
      </c>
      <c r="H10" s="6" t="s">
        <v>101</v>
      </c>
      <c r="N10" s="6" t="s">
        <v>113</v>
      </c>
      <c r="O10" s="6">
        <f>O7/(0.3048^2)/($C$5*2.20462/1000)^(2/3)</f>
        <v>4.0731742646408744</v>
      </c>
      <c r="U10" s="2">
        <v>6</v>
      </c>
      <c r="V10" s="2">
        <f t="shared" si="7"/>
        <v>6.25E-2</v>
      </c>
      <c r="W10" s="2">
        <f t="shared" si="0"/>
        <v>3.5721772238102856E-3</v>
      </c>
      <c r="X10" s="2">
        <f t="shared" si="8"/>
        <v>7.8125E-2</v>
      </c>
      <c r="Y10" s="2">
        <f t="shared" si="1"/>
        <v>-1.2075113684626951E-2</v>
      </c>
      <c r="Z10" s="2">
        <f t="shared" si="3"/>
        <v>7.03125E-2</v>
      </c>
      <c r="AA10" s="2">
        <f t="shared" si="2"/>
        <v>-4.2508852095759081E-3</v>
      </c>
      <c r="AB10" s="2">
        <f t="shared" si="4"/>
        <v>-1.5184915326679071E-5</v>
      </c>
      <c r="AC10" s="2">
        <f t="shared" si="5"/>
        <v>5.1329922165928352E-5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-62.862311677989055</v>
      </c>
      <c r="AI10" s="2">
        <f t="shared" si="14"/>
        <v>1984.375</v>
      </c>
      <c r="AJ10" s="2">
        <v>132.61231960625946</v>
      </c>
      <c r="AK10" s="2">
        <f t="shared" si="9"/>
        <v>1835.9375</v>
      </c>
      <c r="AL10" s="2">
        <v>34.91159635313943</v>
      </c>
      <c r="AM10" s="2">
        <f t="shared" si="10"/>
        <v>-2194.6236511271968</v>
      </c>
      <c r="AN10" s="2">
        <f t="shared" si="11"/>
        <v>4629.7077735472485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9.4992294514911446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6.25E-2</v>
      </c>
      <c r="W11" s="2">
        <f t="shared" si="0"/>
        <v>3.5721772238102856E-3</v>
      </c>
      <c r="X11" s="2">
        <f t="shared" si="8"/>
        <v>7.03125E-2</v>
      </c>
      <c r="Y11" s="2">
        <f t="shared" si="1"/>
        <v>-4.2508852095759081E-3</v>
      </c>
      <c r="Z11" s="2">
        <f t="shared" si="3"/>
        <v>6.640625E-2</v>
      </c>
      <c r="AA11" s="2">
        <f t="shared" si="2"/>
        <v>-3.3920679204127446E-4</v>
      </c>
      <c r="AB11" s="2">
        <f t="shared" si="4"/>
        <v>-1.2117067766915927E-6</v>
      </c>
      <c r="AC11" s="2">
        <f t="shared" si="5"/>
        <v>1.4419291352759445E-6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-62.862311677989055</v>
      </c>
      <c r="AI11" s="2">
        <f t="shared" si="14"/>
        <v>1835.9375</v>
      </c>
      <c r="AJ11" s="2">
        <v>34.91159635313943</v>
      </c>
      <c r="AK11" s="2">
        <f t="shared" si="9"/>
        <v>1761.71875</v>
      </c>
      <c r="AL11" s="2">
        <v>-13.970860946380753</v>
      </c>
      <c r="AM11" s="2">
        <f t="shared" si="10"/>
        <v>878.24061522123202</v>
      </c>
      <c r="AN11" s="2">
        <f t="shared" si="11"/>
        <v>-487.74505806588439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187.69254710626799</v>
      </c>
      <c r="H12" s="25" t="s">
        <v>101</v>
      </c>
      <c r="J12" s="10" t="s">
        <v>79</v>
      </c>
      <c r="K12" s="6">
        <f>C5</f>
        <v>1782.9345712972499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6.25E-2</v>
      </c>
      <c r="W12" s="2">
        <f t="shared" si="0"/>
        <v>3.5721772238102856E-3</v>
      </c>
      <c r="X12" s="2">
        <f t="shared" si="8"/>
        <v>6.640625E-2</v>
      </c>
      <c r="Y12" s="2">
        <f t="shared" si="1"/>
        <v>-3.3920679204127446E-4</v>
      </c>
      <c r="Z12" s="2">
        <f t="shared" si="3"/>
        <v>6.4453125E-2</v>
      </c>
      <c r="AA12" s="2">
        <f t="shared" si="2"/>
        <v>1.6165221892524562E-3</v>
      </c>
      <c r="AB12" s="2">
        <f t="shared" si="4"/>
        <v>5.7745037462315637E-6</v>
      </c>
      <c r="AC12" s="2">
        <f t="shared" si="5"/>
        <v>-5.4833530607986363E-7</v>
      </c>
      <c r="AD12" s="2">
        <f t="shared" si="6"/>
        <v>3.90625E-3</v>
      </c>
      <c r="AF12" s="2">
        <v>8</v>
      </c>
      <c r="AG12" s="2">
        <f t="shared" si="13"/>
        <v>1761.71875</v>
      </c>
      <c r="AH12" s="2">
        <v>-13.970860946380753</v>
      </c>
      <c r="AI12" s="2">
        <f t="shared" si="14"/>
        <v>1835.9375</v>
      </c>
      <c r="AJ12" s="2">
        <v>34.91159635313943</v>
      </c>
      <c r="AK12" s="2">
        <f t="shared" si="9"/>
        <v>1798.828125</v>
      </c>
      <c r="AL12" s="2">
        <v>10.472115608857166</v>
      </c>
      <c r="AM12" s="2">
        <f t="shared" si="10"/>
        <v>-146.3044709857669</v>
      </c>
      <c r="AN12" s="2">
        <f t="shared" si="11"/>
        <v>365.59827309983234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479.34461221444411</v>
      </c>
      <c r="L13" s="6" t="s">
        <v>7</v>
      </c>
      <c r="N13" s="6" t="s">
        <v>74</v>
      </c>
      <c r="O13" s="6">
        <f xml:space="preserve"> SQRT( ($C$5*$C$50)^2 + O9^2)</f>
        <v>17603.942986951908</v>
      </c>
      <c r="P13" s="6" t="s">
        <v>20</v>
      </c>
      <c r="U13" s="2">
        <v>9</v>
      </c>
      <c r="V13" s="2">
        <f t="shared" si="7"/>
        <v>6.4453125E-2</v>
      </c>
      <c r="W13" s="2">
        <f t="shared" si="0"/>
        <v>1.6165221892524562E-3</v>
      </c>
      <c r="X13" s="2">
        <f t="shared" si="8"/>
        <v>6.640625E-2</v>
      </c>
      <c r="Y13" s="2">
        <f t="shared" si="1"/>
        <v>-3.3920679204127446E-4</v>
      </c>
      <c r="Z13" s="2">
        <f t="shared" si="3"/>
        <v>6.54296875E-2</v>
      </c>
      <c r="AA13" s="2">
        <f t="shared" si="2"/>
        <v>6.3866692064620811E-4</v>
      </c>
      <c r="AB13" s="2">
        <f t="shared" si="4"/>
        <v>1.032419248766133E-6</v>
      </c>
      <c r="AC13" s="2">
        <f t="shared" si="5"/>
        <v>-2.1664015733527946E-7</v>
      </c>
      <c r="AD13" s="2">
        <f t="shared" si="6"/>
        <v>1.953125E-3</v>
      </c>
      <c r="AF13" s="2">
        <v>9</v>
      </c>
      <c r="AG13" s="2">
        <f t="shared" si="13"/>
        <v>1761.71875</v>
      </c>
      <c r="AH13" s="2">
        <v>-13.970860946380753</v>
      </c>
      <c r="AI13" s="2">
        <f t="shared" si="14"/>
        <v>1798.828125</v>
      </c>
      <c r="AJ13" s="2">
        <v>10.472115608857166</v>
      </c>
      <c r="AK13" s="2">
        <f t="shared" si="9"/>
        <v>1780.2734375</v>
      </c>
      <c r="AL13" s="2">
        <v>-1.7490089192003779</v>
      </c>
      <c r="AM13" s="2">
        <f t="shared" si="10"/>
        <v>24.435160404128169</v>
      </c>
      <c r="AN13" s="2">
        <f t="shared" si="11"/>
        <v>-18.315823602788679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127.62196670083449</v>
      </c>
      <c r="L14" s="6" t="s">
        <v>7</v>
      </c>
      <c r="N14" s="6" t="s">
        <v>75</v>
      </c>
      <c r="O14" s="6">
        <f>$C$5*$C$50/O13</f>
        <v>0.99260409782473802</v>
      </c>
      <c r="U14" s="2">
        <v>10</v>
      </c>
      <c r="V14" s="2">
        <f t="shared" si="7"/>
        <v>6.54296875E-2</v>
      </c>
      <c r="W14" s="2">
        <f t="shared" si="0"/>
        <v>6.3866692064620811E-4</v>
      </c>
      <c r="X14" s="2">
        <f t="shared" si="8"/>
        <v>6.640625E-2</v>
      </c>
      <c r="Y14" s="2">
        <f t="shared" si="1"/>
        <v>-3.3920679204127446E-4</v>
      </c>
      <c r="Z14" s="2">
        <f t="shared" si="3"/>
        <v>6.591796875E-2</v>
      </c>
      <c r="AA14" s="2">
        <f t="shared" si="2"/>
        <v>1.4973236711972315E-4</v>
      </c>
      <c r="AB14" s="2">
        <f t="shared" si="4"/>
        <v>9.5629109829421134E-8</v>
      </c>
      <c r="AC14" s="2">
        <f t="shared" si="5"/>
        <v>-5.0790235915427694E-8</v>
      </c>
      <c r="AD14" s="2">
        <f t="shared" si="6"/>
        <v>9.765625E-4</v>
      </c>
      <c r="AF14" s="2">
        <v>10</v>
      </c>
      <c r="AG14" s="2">
        <f t="shared" si="13"/>
        <v>1780.2734375</v>
      </c>
      <c r="AH14" s="2">
        <v>-1.7490089192003779</v>
      </c>
      <c r="AI14" s="2">
        <f t="shared" si="14"/>
        <v>1798.828125</v>
      </c>
      <c r="AJ14" s="2">
        <v>10.472115608857166</v>
      </c>
      <c r="AK14" s="2">
        <f t="shared" si="9"/>
        <v>1789.55078125</v>
      </c>
      <c r="AL14" s="2">
        <v>4.3616524593617214</v>
      </c>
      <c r="AM14" s="2">
        <f t="shared" si="10"/>
        <v>-7.628569053875915</v>
      </c>
      <c r="AN14" s="2">
        <f t="shared" si="11"/>
        <v>45.675728800092131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242.10457164194688</v>
      </c>
      <c r="L15" s="6" t="s">
        <v>7</v>
      </c>
      <c r="U15" s="2">
        <v>11</v>
      </c>
      <c r="V15" s="2">
        <f t="shared" si="7"/>
        <v>6.591796875E-2</v>
      </c>
      <c r="W15" s="2">
        <f t="shared" si="0"/>
        <v>1.4973236711972315E-4</v>
      </c>
      <c r="X15" s="2">
        <f t="shared" si="8"/>
        <v>6.640625E-2</v>
      </c>
      <c r="Y15" s="2">
        <f t="shared" si="1"/>
        <v>-3.3920679204127446E-4</v>
      </c>
      <c r="Z15" s="2">
        <f t="shared" si="3"/>
        <v>6.6162109375E-2</v>
      </c>
      <c r="AA15" s="2">
        <f t="shared" si="2"/>
        <v>-9.4736637094958165E-5</v>
      </c>
      <c r="AB15" s="2">
        <f t="shared" si="4"/>
        <v>-1.4185140925190258E-8</v>
      </c>
      <c r="AC15" s="2">
        <f t="shared" si="5"/>
        <v>3.2135310757759164E-8</v>
      </c>
      <c r="AD15" s="2">
        <f t="shared" si="6"/>
        <v>4.8828125E-4</v>
      </c>
      <c r="AF15" s="2">
        <v>11</v>
      </c>
      <c r="AG15" s="2">
        <f t="shared" si="13"/>
        <v>1780.2734375</v>
      </c>
      <c r="AH15" s="2">
        <v>-1.7490089192003779</v>
      </c>
      <c r="AI15" s="2">
        <f t="shared" si="14"/>
        <v>1789.55078125</v>
      </c>
      <c r="AJ15" s="2">
        <v>4.3616524593617214</v>
      </c>
      <c r="AK15" s="2">
        <f t="shared" si="9"/>
        <v>1784.912109375</v>
      </c>
      <c r="AL15" s="2">
        <v>1.3063477579737537</v>
      </c>
      <c r="AM15" s="2">
        <f t="shared" si="10"/>
        <v>-2.2848138802735116</v>
      </c>
      <c r="AN15" s="2">
        <f t="shared" si="11"/>
        <v>5.6978349113478934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133.61391210717196</v>
      </c>
      <c r="H16" s="6" t="s">
        <v>10</v>
      </c>
      <c r="J16" s="13" t="s">
        <v>53</v>
      </c>
      <c r="K16" s="6">
        <f xml:space="preserve"> $C$54 * 0.2138 * K4</f>
        <v>57.512697317754835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6.591796875E-2</v>
      </c>
      <c r="W16" s="2">
        <f t="shared" si="0"/>
        <v>1.4973236711972315E-4</v>
      </c>
      <c r="X16" s="2">
        <f t="shared" si="8"/>
        <v>6.6162109375E-2</v>
      </c>
      <c r="Y16" s="2">
        <f t="shared" si="1"/>
        <v>-9.4736637094958165E-5</v>
      </c>
      <c r="Z16" s="2">
        <f t="shared" si="3"/>
        <v>6.60400390625E-2</v>
      </c>
      <c r="AA16" s="2">
        <f t="shared" si="2"/>
        <v>2.7498008896231774E-5</v>
      </c>
      <c r="AB16" s="2">
        <f t="shared" si="4"/>
        <v>4.1173419631119893E-9</v>
      </c>
      <c r="AC16" s="2">
        <f t="shared" si="5"/>
        <v>-2.6050688896362405E-9</v>
      </c>
      <c r="AD16" s="2">
        <f t="shared" si="6"/>
        <v>2.44140625E-4</v>
      </c>
      <c r="AF16" s="2">
        <v>12</v>
      </c>
      <c r="AG16" s="2">
        <f t="shared" si="13"/>
        <v>1780.2734375</v>
      </c>
      <c r="AH16" s="2">
        <v>-1.7490089192003779</v>
      </c>
      <c r="AI16" s="2">
        <f t="shared" si="14"/>
        <v>1784.912109375</v>
      </c>
      <c r="AJ16" s="2">
        <v>1.3063477579737537</v>
      </c>
      <c r="AK16" s="2">
        <f t="shared" si="9"/>
        <v>1782.5927734375</v>
      </c>
      <c r="AL16" s="2">
        <v>-0.22132821507284461</v>
      </c>
      <c r="AM16" s="2">
        <f t="shared" si="10"/>
        <v>0.38710502223310478</v>
      </c>
      <c r="AN16" s="2">
        <f t="shared" si="11"/>
        <v>-0.28913161753674332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0.40157852994144183</v>
      </c>
      <c r="H17" s="6" t="s">
        <v>122</v>
      </c>
      <c r="J17" s="13" t="s">
        <v>77</v>
      </c>
      <c r="K17" s="6">
        <f xml:space="preserve"> $C$54 * 0.1149 * K4</f>
        <v>30.908367267586673</v>
      </c>
      <c r="L17" s="6" t="s">
        <v>7</v>
      </c>
      <c r="N17" s="6" t="s">
        <v>25</v>
      </c>
      <c r="O17" s="6">
        <f xml:space="preserve"> ACOS(O14)/PI()*180</f>
        <v>6.9727041664921821</v>
      </c>
      <c r="P17" s="6" t="s">
        <v>40</v>
      </c>
      <c r="U17" s="2">
        <v>13</v>
      </c>
      <c r="V17" s="2">
        <f t="shared" si="7"/>
        <v>6.60400390625E-2</v>
      </c>
      <c r="W17" s="2">
        <f t="shared" si="0"/>
        <v>2.7498008896231774E-5</v>
      </c>
      <c r="X17" s="2">
        <f t="shared" si="8"/>
        <v>6.6162109375E-2</v>
      </c>
      <c r="Y17" s="2">
        <f t="shared" si="1"/>
        <v>-9.4736637094958165E-5</v>
      </c>
      <c r="Z17" s="2">
        <f t="shared" si="3"/>
        <v>6.610107421875E-2</v>
      </c>
      <c r="AA17" s="2">
        <f t="shared" si="2"/>
        <v>-3.3619278133695252E-5</v>
      </c>
      <c r="AB17" s="2">
        <f t="shared" si="4"/>
        <v>-9.2446320920524234E-10</v>
      </c>
      <c r="AC17" s="2">
        <f t="shared" si="5"/>
        <v>3.1849773519463497E-9</v>
      </c>
      <c r="AD17" s="2">
        <f t="shared" si="6"/>
        <v>1.220703125E-4</v>
      </c>
      <c r="AF17" s="2">
        <v>13</v>
      </c>
      <c r="AG17" s="2">
        <f t="shared" si="13"/>
        <v>1782.5927734375</v>
      </c>
      <c r="AH17" s="2">
        <v>-0.22132821507284461</v>
      </c>
      <c r="AI17" s="2">
        <f t="shared" si="14"/>
        <v>1784.912109375</v>
      </c>
      <c r="AJ17" s="2">
        <v>1.3063477579737537</v>
      </c>
      <c r="AK17" s="2">
        <f t="shared" si="9"/>
        <v>1783.75244140625</v>
      </c>
      <c r="AL17" s="2">
        <v>0.54251208413052154</v>
      </c>
      <c r="AM17" s="2">
        <f t="shared" si="10"/>
        <v>-0.12007323123605725</v>
      </c>
      <c r="AN17" s="2">
        <f t="shared" si="11"/>
        <v>0.70870944477757525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4400.985746737977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127.87261852643525</v>
      </c>
      <c r="L18" s="6" t="s">
        <v>7</v>
      </c>
      <c r="N18" s="6" t="s">
        <v>19</v>
      </c>
      <c r="O18" s="6">
        <f xml:space="preserve"> O13 / $C$18</f>
        <v>4400.985746737977</v>
      </c>
      <c r="P18" s="6" t="s">
        <v>20</v>
      </c>
      <c r="U18" s="2">
        <v>14</v>
      </c>
      <c r="V18" s="2">
        <f t="shared" si="7"/>
        <v>6.60400390625E-2</v>
      </c>
      <c r="W18" s="2">
        <f t="shared" si="0"/>
        <v>2.7498008896231774E-5</v>
      </c>
      <c r="X18" s="2">
        <f t="shared" si="8"/>
        <v>6.610107421875E-2</v>
      </c>
      <c r="Y18" s="2">
        <f t="shared" si="1"/>
        <v>-3.3619278133695252E-5</v>
      </c>
      <c r="Z18" s="2">
        <f t="shared" si="3"/>
        <v>6.6070556640625E-2</v>
      </c>
      <c r="AA18" s="2">
        <f t="shared" si="2"/>
        <v>-3.0606256266468845E-6</v>
      </c>
      <c r="AB18" s="2">
        <f t="shared" si="4"/>
        <v>-8.4161110709570979E-11</v>
      </c>
      <c r="AC18" s="2">
        <f t="shared" si="5"/>
        <v>1.0289602420535694E-10</v>
      </c>
      <c r="AD18" s="2">
        <f t="shared" si="6"/>
        <v>6.103515625E-5</v>
      </c>
      <c r="AF18" s="2">
        <v>14</v>
      </c>
      <c r="AG18" s="2">
        <f t="shared" si="13"/>
        <v>1782.5927734375</v>
      </c>
      <c r="AH18" s="2">
        <v>-0.22132821507284461</v>
      </c>
      <c r="AI18" s="2">
        <f t="shared" si="14"/>
        <v>1783.75244140625</v>
      </c>
      <c r="AJ18" s="2">
        <v>0.54251208413052154</v>
      </c>
      <c r="AK18" s="2">
        <f t="shared" si="9"/>
        <v>1783.172607421875</v>
      </c>
      <c r="AL18" s="2">
        <v>0.1605954496906179</v>
      </c>
      <c r="AM18" s="2">
        <f t="shared" si="10"/>
        <v>-3.5544304228845275E-2</v>
      </c>
      <c r="AN18" s="2">
        <f t="shared" si="11"/>
        <v>8.712497211353544E-2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56.042151268470178</v>
      </c>
      <c r="H19" s="6" t="s">
        <v>101</v>
      </c>
      <c r="J19" s="14" t="s">
        <v>61</v>
      </c>
      <c r="K19" s="6">
        <f xml:space="preserve"> $C$55 * C31 * $C$5</f>
        <v>19.968867198529203</v>
      </c>
      <c r="L19" s="6" t="s">
        <v>7</v>
      </c>
      <c r="N19" s="6" t="s">
        <v>26</v>
      </c>
      <c r="O19" s="6">
        <f>$C$7*2*PI()/60</f>
        <v>34.438784117254237</v>
      </c>
      <c r="P19" s="6" t="s">
        <v>27</v>
      </c>
      <c r="U19" s="2">
        <v>15</v>
      </c>
      <c r="V19" s="2">
        <f t="shared" si="7"/>
        <v>6.60400390625E-2</v>
      </c>
      <c r="W19" s="2">
        <f t="shared" si="0"/>
        <v>2.7498008896231774E-5</v>
      </c>
      <c r="X19" s="2">
        <f t="shared" si="8"/>
        <v>6.6070556640625E-2</v>
      </c>
      <c r="Y19" s="2">
        <f t="shared" si="1"/>
        <v>-3.0606256266468845E-6</v>
      </c>
      <c r="Z19" s="2">
        <f t="shared" si="3"/>
        <v>6.60552978515625E-2</v>
      </c>
      <c r="AA19" s="2">
        <f t="shared" si="2"/>
        <v>1.2218693882889986E-5</v>
      </c>
      <c r="AB19" s="2">
        <f t="shared" si="4"/>
        <v>3.3598975309204158E-10</v>
      </c>
      <c r="AC19" s="2">
        <f t="shared" si="5"/>
        <v>-3.739684762212662E-11</v>
      </c>
      <c r="AD19" s="2">
        <f t="shared" si="6"/>
        <v>3.0517578125E-5</v>
      </c>
      <c r="AF19" s="2">
        <v>15</v>
      </c>
      <c r="AG19" s="2">
        <f t="shared" si="13"/>
        <v>1782.5927734375</v>
      </c>
      <c r="AH19" s="2">
        <v>-0.22132821507284461</v>
      </c>
      <c r="AI19" s="2">
        <f t="shared" si="14"/>
        <v>1783.172607421875</v>
      </c>
      <c r="AJ19" s="2">
        <v>0.1605954496906179</v>
      </c>
      <c r="AK19" s="2">
        <f t="shared" si="9"/>
        <v>1782.8826904296875</v>
      </c>
      <c r="AL19" s="2">
        <v>-3.03647663765787E-2</v>
      </c>
      <c r="AM19" s="2">
        <f t="shared" si="10"/>
        <v>6.7205795432320912E-3</v>
      </c>
      <c r="AN19" s="2">
        <f t="shared" si="11"/>
        <v>-4.8764433109972109E-3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8.0128046139113565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0.49815217093821557</v>
      </c>
      <c r="U20" s="2">
        <v>16</v>
      </c>
      <c r="V20" s="2">
        <f t="shared" si="7"/>
        <v>6.60552978515625E-2</v>
      </c>
      <c r="W20" s="2">
        <f t="shared" si="0"/>
        <v>1.2218693882889986E-5</v>
      </c>
      <c r="X20" s="2">
        <f t="shared" si="8"/>
        <v>6.6070556640625E-2</v>
      </c>
      <c r="Y20" s="2">
        <f t="shared" si="1"/>
        <v>-3.0606256266468845E-6</v>
      </c>
      <c r="Z20" s="2">
        <f t="shared" si="3"/>
        <v>6.606292724609375E-2</v>
      </c>
      <c r="AA20" s="2">
        <f t="shared" si="2"/>
        <v>4.5790346901303236E-6</v>
      </c>
      <c r="AB20" s="2">
        <f t="shared" si="4"/>
        <v>5.5949823157836426E-11</v>
      </c>
      <c r="AC20" s="2">
        <f t="shared" si="5"/>
        <v>-1.4014710917917944E-11</v>
      </c>
      <c r="AD20" s="2">
        <f t="shared" si="6"/>
        <v>1.52587890625E-5</v>
      </c>
      <c r="AF20" s="2">
        <v>16</v>
      </c>
      <c r="AG20" s="2">
        <f t="shared" si="13"/>
        <v>1782.8826904296875</v>
      </c>
      <c r="AH20" s="2">
        <v>-3.03647663765787E-2</v>
      </c>
      <c r="AI20" s="2">
        <f t="shared" si="14"/>
        <v>1783.172607421875</v>
      </c>
      <c r="AJ20" s="2">
        <v>0.1605954496906179</v>
      </c>
      <c r="AK20" s="2">
        <f t="shared" si="9"/>
        <v>1783.0276489257812</v>
      </c>
      <c r="AL20" s="2">
        <v>6.5113521213788772E-2</v>
      </c>
      <c r="AM20" s="2">
        <f t="shared" si="10"/>
        <v>-1.9771568596130972E-3</v>
      </c>
      <c r="AN20" s="2">
        <f t="shared" si="11"/>
        <v>1.0456935220267995E-2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8.4180512668644875E-2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5.1688499065041076E-3</v>
      </c>
      <c r="U21" s="2">
        <v>17</v>
      </c>
      <c r="V21" s="2">
        <f t="shared" si="7"/>
        <v>6.606292724609375E-2</v>
      </c>
      <c r="W21" s="2">
        <f t="shared" si="0"/>
        <v>4.5790346901303236E-6</v>
      </c>
      <c r="X21" s="2">
        <f t="shared" si="8"/>
        <v>6.6070556640625E-2</v>
      </c>
      <c r="Y21" s="2">
        <f t="shared" si="1"/>
        <v>-3.0606256266468845E-6</v>
      </c>
      <c r="Z21" s="2">
        <f t="shared" si="3"/>
        <v>6.6066741943359375E-2</v>
      </c>
      <c r="AA21" s="2">
        <f t="shared" si="2"/>
        <v>7.592046722404433E-7</v>
      </c>
      <c r="AB21" s="2">
        <f t="shared" si="4"/>
        <v>3.4764245310980123E-12</v>
      </c>
      <c r="AC21" s="2">
        <f t="shared" si="5"/>
        <v>-2.3236412757291495E-12</v>
      </c>
      <c r="AD21" s="2">
        <f t="shared" si="6"/>
        <v>7.62939453125E-6</v>
      </c>
      <c r="AF21" s="2">
        <v>17</v>
      </c>
      <c r="AG21" s="2">
        <f t="shared" si="13"/>
        <v>1782.8826904296875</v>
      </c>
      <c r="AH21" s="2">
        <v>-3.03647663765787E-2</v>
      </c>
      <c r="AI21" s="2">
        <f t="shared" si="14"/>
        <v>1783.0276489257812</v>
      </c>
      <c r="AJ21" s="2">
        <v>6.5113521213788772E-2</v>
      </c>
      <c r="AK21" s="2">
        <f t="shared" si="9"/>
        <v>1782.9551696777344</v>
      </c>
      <c r="AL21" s="2">
        <v>1.7376888959461212E-2</v>
      </c>
      <c r="AM21" s="2">
        <f t="shared" si="10"/>
        <v>-5.2764517360578945E-4</v>
      </c>
      <c r="AN21" s="2">
        <f t="shared" si="11"/>
        <v>1.1314704278915296E-3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224.16860507388071</v>
      </c>
      <c r="H22" s="25" t="s">
        <v>101</v>
      </c>
      <c r="J22" s="14" t="s">
        <v>112</v>
      </c>
      <c r="K22" s="6">
        <f>$C$55*(0.14*$G$12*1000/745.7)*0.453592</f>
        <v>12.786930181878702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6.6066741943359375E-2</v>
      </c>
      <c r="W22" s="2">
        <f t="shared" si="0"/>
        <v>7.592046722404433E-7</v>
      </c>
      <c r="X22" s="2">
        <f t="shared" si="8"/>
        <v>6.6070556640625E-2</v>
      </c>
      <c r="Y22" s="2">
        <f t="shared" si="1"/>
        <v>-3.0606256266468845E-6</v>
      </c>
      <c r="Z22" s="2">
        <f t="shared" si="3"/>
        <v>6.6068649291992188E-2</v>
      </c>
      <c r="AA22" s="2">
        <f t="shared" si="2"/>
        <v>-1.1507104420854786E-6</v>
      </c>
      <c r="AB22" s="2">
        <f t="shared" si="4"/>
        <v>-8.7362474402716132E-13</v>
      </c>
      <c r="AC22" s="2">
        <f t="shared" si="5"/>
        <v>3.5218938678969814E-12</v>
      </c>
      <c r="AD22" s="2">
        <f t="shared" si="6"/>
        <v>3.814697265625E-6</v>
      </c>
      <c r="AF22" s="2">
        <v>18</v>
      </c>
      <c r="AG22" s="2">
        <f t="shared" si="13"/>
        <v>1782.8826904296875</v>
      </c>
      <c r="AH22" s="2">
        <v>-3.03647663765787E-2</v>
      </c>
      <c r="AI22" s="2">
        <f t="shared" si="14"/>
        <v>1782.9551696777344</v>
      </c>
      <c r="AJ22" s="2">
        <v>1.7376888959461212E-2</v>
      </c>
      <c r="AK22" s="2">
        <f t="shared" si="9"/>
        <v>1782.9189300537109</v>
      </c>
      <c r="AL22" s="2">
        <v>-6.4940525173824426E-3</v>
      </c>
      <c r="AM22" s="2">
        <f t="shared" si="10"/>
        <v>1.9719038752755066E-4</v>
      </c>
      <c r="AN22" s="2">
        <f t="shared" si="11"/>
        <v>-1.1284642949146425E-4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38.22611720861304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16738.647525988596</v>
      </c>
      <c r="P23" s="6" t="s">
        <v>18</v>
      </c>
      <c r="U23" s="2">
        <v>19</v>
      </c>
      <c r="V23" s="2">
        <f t="shared" si="7"/>
        <v>6.6066741943359375E-2</v>
      </c>
      <c r="W23" s="2">
        <f t="shared" si="0"/>
        <v>7.592046722404433E-7</v>
      </c>
      <c r="X23" s="2">
        <f t="shared" si="8"/>
        <v>6.6068649291992188E-2</v>
      </c>
      <c r="Y23" s="2">
        <f t="shared" si="1"/>
        <v>-1.1507104420854786E-6</v>
      </c>
      <c r="Z23" s="2">
        <f t="shared" si="3"/>
        <v>6.6067695617675781E-2</v>
      </c>
      <c r="AA23" s="2">
        <f t="shared" si="2"/>
        <v>-1.9575287613093906E-7</v>
      </c>
      <c r="AB23" s="2">
        <f t="shared" si="4"/>
        <v>-1.4861649816311368E-13</v>
      </c>
      <c r="AC23" s="2">
        <f t="shared" si="5"/>
        <v>2.252548786321368E-13</v>
      </c>
      <c r="AD23" s="2">
        <f t="shared" si="6"/>
        <v>1.9073486328125E-6</v>
      </c>
      <c r="AF23" s="2">
        <v>19</v>
      </c>
      <c r="AG23" s="2">
        <f t="shared" si="13"/>
        <v>1782.9189300537109</v>
      </c>
      <c r="AH23" s="2">
        <v>-6.4940525173824426E-3</v>
      </c>
      <c r="AI23" s="2">
        <f t="shared" si="14"/>
        <v>1782.9551696777344</v>
      </c>
      <c r="AJ23" s="2">
        <v>1.7376888959461212E-2</v>
      </c>
      <c r="AK23" s="2">
        <f t="shared" si="9"/>
        <v>1782.9370498657227</v>
      </c>
      <c r="AL23" s="2">
        <v>5.4413897692029423E-3</v>
      </c>
      <c r="AM23" s="2">
        <f t="shared" si="10"/>
        <v>-3.5336670928751435E-5</v>
      </c>
      <c r="AN23" s="2">
        <f t="shared" si="11"/>
        <v>9.45544258045878E-5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7.2150753880665519</v>
      </c>
      <c r="L24" s="6" t="s">
        <v>7</v>
      </c>
      <c r="N24" s="6" t="s">
        <v>31</v>
      </c>
      <c r="O24" s="18">
        <f>Z34</f>
        <v>6.6067500505596399E-2</v>
      </c>
      <c r="U24" s="2">
        <v>20</v>
      </c>
      <c r="V24" s="2">
        <f t="shared" si="7"/>
        <v>6.6066741943359375E-2</v>
      </c>
      <c r="W24" s="2">
        <f t="shared" si="0"/>
        <v>7.592046722404433E-7</v>
      </c>
      <c r="X24" s="2">
        <f t="shared" si="8"/>
        <v>6.6067695617675781E-2</v>
      </c>
      <c r="Y24" s="2">
        <f t="shared" si="1"/>
        <v>-1.9575287613093906E-7</v>
      </c>
      <c r="Z24" s="2">
        <f t="shared" si="3"/>
        <v>6.6067218780517578E-2</v>
      </c>
      <c r="AA24" s="2">
        <f t="shared" si="2"/>
        <v>2.817259002474426E-7</v>
      </c>
      <c r="AB24" s="2">
        <f t="shared" si="4"/>
        <v>2.1388761975900348E-13</v>
      </c>
      <c r="AC24" s="2">
        <f t="shared" si="5"/>
        <v>-5.5148655254014921E-14</v>
      </c>
      <c r="AD24" s="2">
        <f t="shared" si="6"/>
        <v>9.5367431640625E-7</v>
      </c>
      <c r="AF24" s="2">
        <v>20</v>
      </c>
      <c r="AG24" s="2">
        <f t="shared" si="13"/>
        <v>1782.9189300537109</v>
      </c>
      <c r="AH24" s="2">
        <v>-6.4940525173824426E-3</v>
      </c>
      <c r="AI24" s="2">
        <f t="shared" si="14"/>
        <v>1782.9370498657227</v>
      </c>
      <c r="AJ24" s="2">
        <v>5.4413897692029423E-3</v>
      </c>
      <c r="AK24" s="2">
        <f t="shared" si="9"/>
        <v>1782.9279899597168</v>
      </c>
      <c r="AL24" s="2">
        <v>-5.293050967338786E-4</v>
      </c>
      <c r="AM24" s="2">
        <f t="shared" si="10"/>
        <v>3.4373350959080016E-6</v>
      </c>
      <c r="AN24" s="2">
        <f t="shared" si="11"/>
        <v>-2.8801553381547008E-6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11.4107812563024</v>
      </c>
      <c r="L25" s="6" t="s">
        <v>7</v>
      </c>
      <c r="N25" s="6" t="s">
        <v>32</v>
      </c>
      <c r="O25" s="6">
        <f xml:space="preserve"> O19 * $C$9 * O24 - $C$8 * SIN(O17/180*PI())</f>
        <v>0.68717494634427823</v>
      </c>
      <c r="P25" s="6" t="s">
        <v>10</v>
      </c>
      <c r="U25" s="2">
        <v>21</v>
      </c>
      <c r="V25" s="2">
        <f t="shared" si="7"/>
        <v>6.6067218780517578E-2</v>
      </c>
      <c r="W25" s="2">
        <f t="shared" si="0"/>
        <v>2.817259002474426E-7</v>
      </c>
      <c r="X25" s="2">
        <f t="shared" si="8"/>
        <v>6.6067695617675781E-2</v>
      </c>
      <c r="Y25" s="2">
        <f t="shared" si="1"/>
        <v>-1.9575287613093906E-7</v>
      </c>
      <c r="Z25" s="2">
        <f t="shared" si="3"/>
        <v>6.606745719909668E-2</v>
      </c>
      <c r="AA25" s="2">
        <f t="shared" si="2"/>
        <v>4.2986512599485494E-8</v>
      </c>
      <c r="AB25" s="2">
        <f t="shared" si="4"/>
        <v>1.2110413960588084E-14</v>
      </c>
      <c r="AC25" s="2">
        <f t="shared" si="5"/>
        <v>-8.4147334761881345E-15</v>
      </c>
      <c r="AD25" s="2">
        <f t="shared" si="6"/>
        <v>4.76837158203125E-7</v>
      </c>
      <c r="AF25" s="2">
        <v>21</v>
      </c>
      <c r="AG25" s="2">
        <f t="shared" si="13"/>
        <v>1782.9279899597168</v>
      </c>
      <c r="AH25" s="2">
        <v>-5.293050967338786E-4</v>
      </c>
      <c r="AI25" s="2">
        <f t="shared" si="14"/>
        <v>1782.9370498657227</v>
      </c>
      <c r="AJ25" s="2">
        <v>5.4413897692029423E-3</v>
      </c>
      <c r="AK25" s="2">
        <f t="shared" si="9"/>
        <v>1782.9325199127197</v>
      </c>
      <c r="AL25" s="2">
        <v>2.4560405536249164E-3</v>
      </c>
      <c r="AM25" s="2">
        <f t="shared" si="10"/>
        <v>-1.2999947828187651E-6</v>
      </c>
      <c r="AN25" s="2">
        <f t="shared" si="11"/>
        <v>1.336427394124215E-5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27.958162149425092</v>
      </c>
      <c r="L26" s="6" t="s">
        <v>7</v>
      </c>
      <c r="N26" s="6" t="s">
        <v>33</v>
      </c>
      <c r="O26" s="6">
        <f xml:space="preserve"> 1/$C$21 - O23 * SQRT( (2*$C$47*PI()*$C$9^2) / O18^3 )</f>
        <v>0.77339943620415152</v>
      </c>
      <c r="U26" s="2">
        <v>22</v>
      </c>
      <c r="V26" s="2">
        <f t="shared" si="7"/>
        <v>6.606745719909668E-2</v>
      </c>
      <c r="W26" s="2">
        <f t="shared" si="0"/>
        <v>4.2986512599485494E-8</v>
      </c>
      <c r="X26" s="2">
        <f t="shared" si="8"/>
        <v>6.6067695617675781E-2</v>
      </c>
      <c r="Y26" s="2">
        <f t="shared" si="1"/>
        <v>-1.9575287613093906E-7</v>
      </c>
      <c r="Z26" s="2">
        <f t="shared" si="3"/>
        <v>6.606757640838623E-2</v>
      </c>
      <c r="AA26" s="2">
        <f t="shared" si="2"/>
        <v>-7.6383181626948904E-8</v>
      </c>
      <c r="AB26" s="2">
        <f t="shared" si="4"/>
        <v>-3.283446599395628E-15</v>
      </c>
      <c r="AC26" s="2">
        <f t="shared" si="5"/>
        <v>1.495222749150715E-14</v>
      </c>
      <c r="AD26" s="2">
        <f t="shared" si="6"/>
        <v>2.384185791015625E-7</v>
      </c>
      <c r="AF26" s="2">
        <v>22</v>
      </c>
      <c r="AG26" s="2">
        <f t="shared" si="13"/>
        <v>1782.9279899597168</v>
      </c>
      <c r="AH26" s="2">
        <v>-5.293050967338786E-4</v>
      </c>
      <c r="AI26" s="2">
        <f t="shared" si="14"/>
        <v>1782.9325199127197</v>
      </c>
      <c r="AJ26" s="2">
        <v>2.4560405536249164E-3</v>
      </c>
      <c r="AK26" s="2">
        <f t="shared" si="9"/>
        <v>1782.9302549362183</v>
      </c>
      <c r="AL26" s="2">
        <v>9.6336728211099398E-4</v>
      </c>
      <c r="AM26" s="2">
        <f t="shared" si="10"/>
        <v>-5.0991521244801341E-7</v>
      </c>
      <c r="AN26" s="2">
        <f t="shared" si="11"/>
        <v>2.3660691129000168E-6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3.8042454327751329E-3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6.606745719909668E-2</v>
      </c>
      <c r="W27" s="2">
        <f t="shared" si="0"/>
        <v>4.2986512599485494E-8</v>
      </c>
      <c r="X27" s="2">
        <f t="shared" si="8"/>
        <v>6.606757640838623E-2</v>
      </c>
      <c r="Y27" s="2">
        <f t="shared" si="1"/>
        <v>-7.6383181626948904E-8</v>
      </c>
      <c r="Z27" s="2">
        <f t="shared" si="3"/>
        <v>6.6067516803741455E-2</v>
      </c>
      <c r="AA27" s="2">
        <f t="shared" si="2"/>
        <v>-1.6698334479037236E-8</v>
      </c>
      <c r="AB27" s="2">
        <f t="shared" si="4"/>
        <v>-7.1780316547355712E-16</v>
      </c>
      <c r="AC27" s="2">
        <f t="shared" si="5"/>
        <v>1.2754719153798445E-15</v>
      </c>
      <c r="AD27" s="2">
        <f t="shared" si="6"/>
        <v>1.1920928955078125E-7</v>
      </c>
      <c r="AF27" s="2">
        <v>23</v>
      </c>
      <c r="AG27" s="2">
        <f t="shared" si="13"/>
        <v>1782.9279899597168</v>
      </c>
      <c r="AH27" s="2">
        <v>-5.293050967338786E-4</v>
      </c>
      <c r="AI27" s="2">
        <f t="shared" si="14"/>
        <v>1782.9302549362183</v>
      </c>
      <c r="AJ27" s="2">
        <v>9.6336728211099398E-4</v>
      </c>
      <c r="AK27" s="2">
        <f t="shared" si="9"/>
        <v>1782.9291224479675</v>
      </c>
      <c r="AL27" s="2">
        <v>2.1999759246682515E-4</v>
      </c>
      <c r="AM27" s="2">
        <f t="shared" si="10"/>
        <v>-1.1644584696187328E-7</v>
      </c>
      <c r="AN27" s="2">
        <f t="shared" si="11"/>
        <v>2.1193848272572743E-7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4368.8543742992852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1.1500004132469444</v>
      </c>
      <c r="U28" s="2">
        <v>24</v>
      </c>
      <c r="V28" s="2">
        <f t="shared" si="7"/>
        <v>6.606745719909668E-2</v>
      </c>
      <c r="W28" s="2">
        <f t="shared" si="0"/>
        <v>4.2986512599485494E-8</v>
      </c>
      <c r="X28" s="2">
        <f t="shared" si="8"/>
        <v>6.6067516803741455E-2</v>
      </c>
      <c r="Y28" s="2">
        <f t="shared" si="1"/>
        <v>-1.6698334479037236E-8</v>
      </c>
      <c r="Z28" s="2">
        <f t="shared" si="3"/>
        <v>6.6067487001419067E-2</v>
      </c>
      <c r="AA28" s="2">
        <f t="shared" si="2"/>
        <v>1.3144089067163023E-8</v>
      </c>
      <c r="AB28" s="2">
        <f t="shared" si="4"/>
        <v>5.6501855029436278E-16</v>
      </c>
      <c r="AC28" s="2">
        <f t="shared" si="5"/>
        <v>-2.1948439566574468E-16</v>
      </c>
      <c r="AD28" s="2">
        <f t="shared" si="6"/>
        <v>5.9604644775390625E-8</v>
      </c>
      <c r="AF28" s="2">
        <v>24</v>
      </c>
      <c r="AG28" s="2">
        <f t="shared" si="13"/>
        <v>1782.9279899597168</v>
      </c>
      <c r="AH28" s="2">
        <v>-5.293050967338786E-4</v>
      </c>
      <c r="AI28" s="2">
        <f t="shared" si="14"/>
        <v>1782.9291224479675</v>
      </c>
      <c r="AJ28" s="2">
        <v>2.1999759246682515E-4</v>
      </c>
      <c r="AK28" s="2">
        <f t="shared" si="9"/>
        <v>1782.9285562038422</v>
      </c>
      <c r="AL28" s="2">
        <v>-1.5762039083710988E-4</v>
      </c>
      <c r="AM28" s="2">
        <f t="shared" si="10"/>
        <v>8.3429276219268197E-8</v>
      </c>
      <c r="AN28" s="2">
        <f t="shared" si="11"/>
        <v>-3.4676106507844202E-8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38.826703547162893</v>
      </c>
      <c r="H29" t="s">
        <v>18</v>
      </c>
      <c r="U29" s="2">
        <v>25</v>
      </c>
      <c r="V29" s="2">
        <f t="shared" si="7"/>
        <v>6.6067487001419067E-2</v>
      </c>
      <c r="W29" s="2">
        <f t="shared" si="0"/>
        <v>1.3144089067163023E-8</v>
      </c>
      <c r="X29" s="2">
        <f t="shared" si="8"/>
        <v>6.6067516803741455E-2</v>
      </c>
      <c r="Y29" s="2">
        <f t="shared" si="1"/>
        <v>-1.6698334479037236E-8</v>
      </c>
      <c r="Z29" s="2">
        <f t="shared" si="3"/>
        <v>6.6067501902580261E-2</v>
      </c>
      <c r="AA29" s="2">
        <f t="shared" si="2"/>
        <v>-1.7771226989982125E-9</v>
      </c>
      <c r="AB29" s="2">
        <f t="shared" si="4"/>
        <v>-2.3358659038909648E-17</v>
      </c>
      <c r="AC29" s="2">
        <f t="shared" si="5"/>
        <v>2.967498923816156E-17</v>
      </c>
      <c r="AD29" s="2">
        <f t="shared" si="6"/>
        <v>2.9802322387695312E-8</v>
      </c>
      <c r="AF29" s="2">
        <v>25</v>
      </c>
      <c r="AG29" s="2">
        <f t="shared" si="13"/>
        <v>1782.9285562038422</v>
      </c>
      <c r="AH29" s="2">
        <v>-1.5762039083710988E-4</v>
      </c>
      <c r="AI29" s="2">
        <f t="shared" si="14"/>
        <v>1782.9291224479675</v>
      </c>
      <c r="AJ29" s="2">
        <v>2.1999759246682515E-4</v>
      </c>
      <c r="AK29" s="2">
        <f t="shared" si="9"/>
        <v>1782.9288393259048</v>
      </c>
      <c r="AL29" s="2">
        <v>2.8221981665410567E-5</v>
      </c>
      <c r="AM29" s="2">
        <f t="shared" si="10"/>
        <v>-4.4483597802997624E-9</v>
      </c>
      <c r="AN29" s="2">
        <f t="shared" si="11"/>
        <v>6.2087680210332054E-9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11.480079484030334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6.6067487001419067E-2</v>
      </c>
      <c r="W30" s="2">
        <f t="shared" si="0"/>
        <v>1.3144089067163023E-8</v>
      </c>
      <c r="X30" s="2">
        <f t="shared" si="8"/>
        <v>6.6067501902580261E-2</v>
      </c>
      <c r="Y30" s="2">
        <f t="shared" si="1"/>
        <v>-1.7771226989982125E-9</v>
      </c>
      <c r="Z30" s="2">
        <f t="shared" si="3"/>
        <v>6.6067494451999664E-2</v>
      </c>
      <c r="AA30" s="2">
        <f t="shared" si="2"/>
        <v>5.6834831840824052E-9</v>
      </c>
      <c r="AB30" s="2">
        <f t="shared" si="4"/>
        <v>7.4704209183302429E-17</v>
      </c>
      <c r="AC30" s="2">
        <f t="shared" si="5"/>
        <v>-1.0100246975807479E-17</v>
      </c>
      <c r="AD30" s="2">
        <f t="shared" si="6"/>
        <v>1.4901161193847656E-8</v>
      </c>
      <c r="AF30" s="2">
        <v>26</v>
      </c>
      <c r="AG30" s="2">
        <f t="shared" si="13"/>
        <v>1782.9285562038422</v>
      </c>
      <c r="AH30" s="2">
        <v>-1.5762039083710988E-4</v>
      </c>
      <c r="AI30" s="2">
        <f t="shared" si="14"/>
        <v>1782.9288393259048</v>
      </c>
      <c r="AJ30" s="2">
        <v>2.8221981665410567E-5</v>
      </c>
      <c r="AK30" s="2">
        <f t="shared" si="9"/>
        <v>1782.9286977648735</v>
      </c>
      <c r="AL30" s="2">
        <v>-6.1732595440844307E-5</v>
      </c>
      <c r="AM30" s="2">
        <f t="shared" si="10"/>
        <v>9.7303158207750678E-9</v>
      </c>
      <c r="AN30" s="2">
        <f t="shared" si="11"/>
        <v>-1.742216176689716E-9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155.30681418865157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6.6067494451999664E-2</v>
      </c>
      <c r="W31" s="2">
        <f t="shared" si="0"/>
        <v>5.6834831840824052E-9</v>
      </c>
      <c r="X31" s="2">
        <f t="shared" si="8"/>
        <v>6.6067501902580261E-2</v>
      </c>
      <c r="Y31" s="2">
        <f t="shared" si="1"/>
        <v>-1.7771226989982125E-9</v>
      </c>
      <c r="Z31" s="2">
        <f t="shared" si="3"/>
        <v>6.6067498177289963E-2</v>
      </c>
      <c r="AA31" s="2">
        <f t="shared" si="2"/>
        <v>1.9531802425420963E-9</v>
      </c>
      <c r="AB31" s="2">
        <f t="shared" si="4"/>
        <v>1.1100867063969999E-17</v>
      </c>
      <c r="AC31" s="2">
        <f t="shared" si="5"/>
        <v>-3.4710409442563932E-18</v>
      </c>
      <c r="AD31" s="2">
        <f t="shared" si="6"/>
        <v>7.4505805969238281E-9</v>
      </c>
      <c r="AF31" s="2">
        <v>27</v>
      </c>
      <c r="AG31" s="2">
        <f t="shared" si="13"/>
        <v>1782.9286977648735</v>
      </c>
      <c r="AH31" s="2">
        <v>-6.1732595440844307E-5</v>
      </c>
      <c r="AI31" s="2">
        <f t="shared" si="14"/>
        <v>1782.9288393259048</v>
      </c>
      <c r="AJ31" s="2">
        <v>2.8221981665410567E-5</v>
      </c>
      <c r="AK31" s="2">
        <f t="shared" si="9"/>
        <v>1782.9287685453892</v>
      </c>
      <c r="AL31" s="2">
        <v>-1.378869524160109E-5</v>
      </c>
      <c r="AM31" s="2">
        <f t="shared" si="10"/>
        <v>8.5121194500685503E-10</v>
      </c>
      <c r="AN31" s="2">
        <f t="shared" si="11"/>
        <v>-3.8914430429839989E-10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479.34</v>
      </c>
      <c r="L32" s="6" t="s">
        <v>7</v>
      </c>
      <c r="U32" s="2">
        <v>28</v>
      </c>
      <c r="V32" s="2">
        <f t="shared" si="7"/>
        <v>6.6067498177289963E-2</v>
      </c>
      <c r="W32" s="2">
        <f t="shared" si="0"/>
        <v>1.9531802425420963E-9</v>
      </c>
      <c r="X32" s="2">
        <f t="shared" si="8"/>
        <v>6.6067501902580261E-2</v>
      </c>
      <c r="Y32" s="2">
        <f t="shared" si="1"/>
        <v>-1.7771226989982125E-9</v>
      </c>
      <c r="Z32" s="2">
        <f t="shared" si="3"/>
        <v>6.6067500039935112E-2</v>
      </c>
      <c r="AA32" s="2">
        <f t="shared" si="2"/>
        <v>8.8028764833048001E-11</v>
      </c>
      <c r="AB32" s="2">
        <f t="shared" si="4"/>
        <v>1.7193604424729385E-19</v>
      </c>
      <c r="AC32" s="2">
        <f t="shared" si="5"/>
        <v>-1.564379161495852E-19</v>
      </c>
      <c r="AD32" s="2">
        <f t="shared" si="6"/>
        <v>3.7252902984619141E-9</v>
      </c>
      <c r="AF32" s="2">
        <v>28</v>
      </c>
      <c r="AG32" s="2">
        <f t="shared" si="13"/>
        <v>1782.9287685453892</v>
      </c>
      <c r="AH32" s="2">
        <v>-1.378869524160109E-5</v>
      </c>
      <c r="AI32" s="2">
        <f t="shared" si="14"/>
        <v>1782.9288393259048</v>
      </c>
      <c r="AJ32" s="2">
        <v>2.8221981665410567E-5</v>
      </c>
      <c r="AK32" s="2">
        <f t="shared" si="9"/>
        <v>1782.928803935647</v>
      </c>
      <c r="AL32" s="2">
        <v>1.0183254971707356E-5</v>
      </c>
      <c r="AM32" s="2">
        <f t="shared" si="10"/>
        <v>-1.4041379937239186E-10</v>
      </c>
      <c r="AN32" s="2">
        <f t="shared" si="11"/>
        <v>2.8739163510572601E-10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458.15</v>
      </c>
      <c r="L33" s="6" t="s">
        <v>7</v>
      </c>
      <c r="U33" s="2">
        <v>29</v>
      </c>
      <c r="V33" s="2">
        <f t="shared" si="7"/>
        <v>6.6067500039935112E-2</v>
      </c>
      <c r="W33" s="2">
        <f t="shared" si="0"/>
        <v>8.8028764833048001E-11</v>
      </c>
      <c r="X33" s="2">
        <f t="shared" si="8"/>
        <v>6.6067501902580261E-2</v>
      </c>
      <c r="Y33" s="2">
        <f t="shared" si="1"/>
        <v>-1.7771226989982125E-9</v>
      </c>
      <c r="Z33" s="2">
        <f t="shared" si="3"/>
        <v>6.6067500971257687E-2</v>
      </c>
      <c r="AA33" s="2">
        <f t="shared" si="2"/>
        <v>-8.4454696014368835E-10</v>
      </c>
      <c r="AB33" s="2">
        <f t="shared" si="4"/>
        <v>-7.4344425744954305E-20</v>
      </c>
      <c r="AC33" s="2">
        <f t="shared" si="5"/>
        <v>1.5008635732412873E-18</v>
      </c>
      <c r="AD33" s="2">
        <f t="shared" si="6"/>
        <v>1.862645149230957E-9</v>
      </c>
      <c r="AF33" s="2">
        <v>29</v>
      </c>
      <c r="AG33" s="2">
        <f t="shared" si="13"/>
        <v>1782.9287685453892</v>
      </c>
      <c r="AH33" s="2">
        <v>-1.378869524160109E-5</v>
      </c>
      <c r="AI33" s="2">
        <f t="shared" si="14"/>
        <v>1782.928803935647</v>
      </c>
      <c r="AJ33" s="2">
        <v>1.0183254971707356E-5</v>
      </c>
      <c r="AK33" s="2">
        <f t="shared" si="9"/>
        <v>1782.9287862405181</v>
      </c>
      <c r="AL33" s="2">
        <v>-4.7693320084363222E-6</v>
      </c>
      <c r="AM33" s="2">
        <f t="shared" si="10"/>
        <v>6.5762865570341685E-11</v>
      </c>
      <c r="AN33" s="2">
        <f t="shared" si="11"/>
        <v>-4.8567323886632208E-11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160.63</v>
      </c>
      <c r="L34" s="6" t="s">
        <v>7</v>
      </c>
      <c r="U34" s="2">
        <v>30</v>
      </c>
      <c r="V34" s="2">
        <f t="shared" si="7"/>
        <v>6.6067500039935112E-2</v>
      </c>
      <c r="W34" s="2">
        <f t="shared" si="0"/>
        <v>8.8028764833048001E-11</v>
      </c>
      <c r="X34" s="2">
        <f t="shared" si="8"/>
        <v>6.6067500971257687E-2</v>
      </c>
      <c r="Y34" s="2">
        <f t="shared" si="1"/>
        <v>-8.4454696014368835E-10</v>
      </c>
      <c r="Z34" s="2">
        <f t="shared" si="3"/>
        <v>6.6067500505596399E-2</v>
      </c>
      <c r="AA34" s="2">
        <f t="shared" si="2"/>
        <v>-3.7825909071642627E-10</v>
      </c>
      <c r="AB34" s="2">
        <f t="shared" si="4"/>
        <v>-3.3297680542638859E-20</v>
      </c>
      <c r="AC34" s="2">
        <f t="shared" si="5"/>
        <v>3.1945756521127346E-19</v>
      </c>
      <c r="AD34" s="2">
        <f>X34-V34</f>
        <v>9.3132257461547852E-10</v>
      </c>
      <c r="AF34" s="2">
        <v>30</v>
      </c>
      <c r="AG34" s="2">
        <f t="shared" si="13"/>
        <v>1782.9287862405181</v>
      </c>
      <c r="AH34" s="2">
        <v>-1.378869524160109E-5</v>
      </c>
      <c r="AI34" s="2">
        <f t="shared" si="14"/>
        <v>1782.928803935647</v>
      </c>
      <c r="AJ34" s="2">
        <v>1.0183254971707356E-5</v>
      </c>
      <c r="AK34" s="2">
        <f t="shared" si="9"/>
        <v>1782.9287950880826</v>
      </c>
      <c r="AL34" s="2">
        <v>-9.2790137387055438E-6</v>
      </c>
      <c r="AM34" s="2">
        <f t="shared" si="10"/>
        <v>1.2794549258564027E-10</v>
      </c>
      <c r="AN34" s="2">
        <f t="shared" si="11"/>
        <v>-9.4490562787214092E-11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224.16860507388071</v>
      </c>
      <c r="H35" s="25" t="s">
        <v>101</v>
      </c>
      <c r="J35" s="15" t="s">
        <v>70</v>
      </c>
      <c r="K35" s="6">
        <f>ROUND(SUM(K23:K26),2)</f>
        <v>84.81</v>
      </c>
      <c r="L35" s="6" t="s">
        <v>7</v>
      </c>
      <c r="AF35" s="2">
        <v>31</v>
      </c>
      <c r="AG35" s="2">
        <f t="shared" si="13"/>
        <v>1782.9287950880826</v>
      </c>
      <c r="AH35" s="2">
        <v>-1.378869524160109E-5</v>
      </c>
      <c r="AI35" s="2">
        <f t="shared" si="14"/>
        <v>1782.928803935647</v>
      </c>
      <c r="AJ35" s="2">
        <v>1.0183254971707356E-5</v>
      </c>
      <c r="AK35" s="2">
        <f t="shared" si="9"/>
        <v>1782.9287995118648</v>
      </c>
      <c r="AL35" s="2">
        <v>-1.153385483121383E-5</v>
      </c>
      <c r="AM35" s="2">
        <f t="shared" si="10"/>
        <v>1.5903680922847588E-10</v>
      </c>
      <c r="AN35" s="2">
        <f t="shared" si="11"/>
        <v>-1.1745218455290914E-10</v>
      </c>
      <c r="AO35" s="2">
        <f t="shared" si="12"/>
        <v>8.8475644588470459E-6</v>
      </c>
    </row>
    <row r="36" spans="2:41" x14ac:dyDescent="0.2">
      <c r="B36" s="6" t="s">
        <v>3</v>
      </c>
      <c r="C36" s="17">
        <v>550</v>
      </c>
      <c r="D36" s="6" t="s">
        <v>4</v>
      </c>
      <c r="J36" s="10" t="s">
        <v>59</v>
      </c>
      <c r="K36" s="10">
        <f>SUM(K31:K35)</f>
        <v>1782.9299999999998</v>
      </c>
      <c r="L36" s="6" t="s">
        <v>7</v>
      </c>
      <c r="AF36" s="2">
        <v>32</v>
      </c>
      <c r="AG36" s="2">
        <f t="shared" si="13"/>
        <v>1782.9287995118648</v>
      </c>
      <c r="AH36" s="2">
        <v>-1.378869524160109E-5</v>
      </c>
      <c r="AI36" s="2">
        <f t="shared" si="14"/>
        <v>1782.928803935647</v>
      </c>
      <c r="AJ36" s="2">
        <v>1.0183254971707356E-5</v>
      </c>
      <c r="AK36" s="2">
        <f t="shared" si="9"/>
        <v>1782.9288017237559</v>
      </c>
      <c r="AL36" s="2">
        <v>-1.2661274922720622E-5</v>
      </c>
      <c r="AM36" s="2">
        <f t="shared" si="10"/>
        <v>1.7458246127952105E-10</v>
      </c>
      <c r="AN36" s="2">
        <f t="shared" si="11"/>
        <v>-1.2893299080494845E-10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1782.9288017237559</v>
      </c>
      <c r="AH37" s="2">
        <v>-1.378869524160109E-5</v>
      </c>
      <c r="AI37" s="2">
        <f t="shared" si="14"/>
        <v>1782.928803935647</v>
      </c>
      <c r="AJ37" s="2">
        <v>1.0183254971707356E-5</v>
      </c>
      <c r="AK37" s="2">
        <f t="shared" si="9"/>
        <v>1782.9288028297015</v>
      </c>
      <c r="AL37" s="2">
        <v>-1.3224985650595045E-5</v>
      </c>
      <c r="AM37" s="2">
        <f t="shared" si="10"/>
        <v>1.8235529671060259E-10</v>
      </c>
      <c r="AN37" s="2">
        <f t="shared" si="11"/>
        <v>-1.3467340087718043E-10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1782.9288028297015</v>
      </c>
      <c r="AH38" s="2">
        <v>-1.378869524160109E-5</v>
      </c>
      <c r="AI38" s="2">
        <f t="shared" si="14"/>
        <v>1782.928803935647</v>
      </c>
      <c r="AJ38" s="2">
        <v>1.0183254971707356E-5</v>
      </c>
      <c r="AK38" s="2">
        <f t="shared" si="9"/>
        <v>1782.9288033826742</v>
      </c>
      <c r="AL38" s="2">
        <v>-1.350684033241123E-5</v>
      </c>
      <c r="AM38" s="2">
        <f t="shared" si="10"/>
        <v>1.8624170502058441E-10</v>
      </c>
      <c r="AN38" s="2">
        <f t="shared" si="11"/>
        <v>-1.3754359896708409E-10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33.65</v>
      </c>
      <c r="L39" s="6" t="s">
        <v>58</v>
      </c>
      <c r="AF39" s="2">
        <v>35</v>
      </c>
      <c r="AG39" s="2">
        <f t="shared" si="13"/>
        <v>1782.9288033826742</v>
      </c>
      <c r="AH39" s="2">
        <v>-1.378869524160109E-5</v>
      </c>
      <c r="AI39" s="2">
        <f t="shared" si="14"/>
        <v>1782.928803935647</v>
      </c>
      <c r="AJ39" s="2">
        <v>1.0183254971707356E-5</v>
      </c>
      <c r="AK39" s="2">
        <f t="shared" si="9"/>
        <v>1782.9288036591606</v>
      </c>
      <c r="AL39" s="2">
        <v>-1.3647768355440348E-5</v>
      </c>
      <c r="AM39" s="2">
        <f t="shared" si="10"/>
        <v>1.8818491858113426E-10</v>
      </c>
      <c r="AN39" s="2">
        <f t="shared" si="11"/>
        <v>-1.3897870495824826E-10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26.89</v>
      </c>
      <c r="L40" s="6" t="s">
        <v>58</v>
      </c>
      <c r="AF40" s="2">
        <v>36</v>
      </c>
      <c r="AG40" s="2">
        <f t="shared" si="13"/>
        <v>1782.9288036591606</v>
      </c>
      <c r="AH40" s="2">
        <v>-1.378869524160109E-5</v>
      </c>
      <c r="AI40" s="2">
        <f t="shared" si="14"/>
        <v>1782.928803935647</v>
      </c>
      <c r="AJ40" s="2">
        <v>1.0183254971707356E-5</v>
      </c>
      <c r="AK40" s="2">
        <f t="shared" si="9"/>
        <v>1782.9288037974038</v>
      </c>
      <c r="AL40" s="2">
        <v>-1.3718231912207557E-5</v>
      </c>
      <c r="AM40" s="2">
        <f t="shared" si="10"/>
        <v>1.8915651909103656E-10</v>
      </c>
      <c r="AN40" s="2">
        <f t="shared" si="11"/>
        <v>-1.3969625332302212E-10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25.7</v>
      </c>
      <c r="L41" s="6" t="s">
        <v>58</v>
      </c>
      <c r="AF41" s="2">
        <v>37</v>
      </c>
      <c r="AG41" s="2">
        <f t="shared" si="13"/>
        <v>1782.9288037974038</v>
      </c>
      <c r="AH41" s="2">
        <v>-1.378869524160109E-5</v>
      </c>
      <c r="AI41" s="2">
        <f t="shared" si="14"/>
        <v>1782.928803935647</v>
      </c>
      <c r="AJ41" s="2">
        <v>1.0183254971707356E-5</v>
      </c>
      <c r="AK41" s="2">
        <f t="shared" si="9"/>
        <v>1782.9288038665254</v>
      </c>
      <c r="AL41" s="2">
        <v>-1.3753464145338512E-5</v>
      </c>
      <c r="AM41" s="2">
        <f t="shared" si="10"/>
        <v>1.8964232561636034E-10</v>
      </c>
      <c r="AN41" s="2">
        <f t="shared" si="11"/>
        <v>-1.4005503213621727E-10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9.01</v>
      </c>
      <c r="L42" s="6" t="s">
        <v>58</v>
      </c>
      <c r="AF42" s="2">
        <v>38</v>
      </c>
      <c r="AG42" s="2">
        <f t="shared" si="13"/>
        <v>1782.9288038665254</v>
      </c>
      <c r="AH42" s="2">
        <v>-1.378869524160109E-5</v>
      </c>
      <c r="AI42" s="2">
        <f t="shared" si="14"/>
        <v>1782.928803935647</v>
      </c>
      <c r="AJ42" s="2">
        <v>1.0183254971707356E-5</v>
      </c>
      <c r="AK42" s="2">
        <f t="shared" si="9"/>
        <v>1782.9288039010862</v>
      </c>
      <c r="AL42" s="2">
        <v>-1.3771079920843476E-5</v>
      </c>
      <c r="AM42" s="2">
        <f t="shared" si="10"/>
        <v>1.8988522417624276E-10</v>
      </c>
      <c r="AN42" s="2">
        <f t="shared" si="11"/>
        <v>-1.4023441806970868E-10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4.76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1782.9288039010862</v>
      </c>
      <c r="AH43" s="2">
        <v>-1.378869524160109E-5</v>
      </c>
      <c r="AI43" s="2">
        <f t="shared" si="14"/>
        <v>1782.928803935647</v>
      </c>
      <c r="AJ43" s="2">
        <v>1.0183254971707356E-5</v>
      </c>
      <c r="AK43" s="2">
        <f t="shared" si="9"/>
        <v>1782.9288039183666</v>
      </c>
      <c r="AL43" s="2">
        <v>-1.3779887922282796E-5</v>
      </c>
      <c r="AM43" s="2">
        <f t="shared" si="10"/>
        <v>1.9000667502377712E-10</v>
      </c>
      <c r="AN43" s="2">
        <f t="shared" si="11"/>
        <v>-1.4032411219415644E-10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100.01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1782.9288039183666</v>
      </c>
      <c r="AH44" s="2">
        <v>-1.378869524160109E-5</v>
      </c>
      <c r="AI44" s="2">
        <f t="shared" si="14"/>
        <v>1782.928803935647</v>
      </c>
      <c r="AJ44" s="2">
        <v>1.0183254971707356E-5</v>
      </c>
      <c r="AK44" s="5">
        <f>(AG44+AI44)/2</f>
        <v>1782.9288039270068</v>
      </c>
      <c r="AL44" s="2">
        <v>-1.3784291468255105E-5</v>
      </c>
      <c r="AM44" s="2">
        <f t="shared" si="10"/>
        <v>1.9006739417717167E-10</v>
      </c>
      <c r="AN44" s="2">
        <f t="shared" si="11"/>
        <v>-1.4036895462557209E-10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1493.6098326735485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33.65</v>
      </c>
      <c r="L47" s="6" t="s">
        <v>58</v>
      </c>
      <c r="N47" s="6" t="s">
        <v>154</v>
      </c>
      <c r="O47" s="6">
        <f>0.377*O46^0.6945</f>
        <v>60.373876299805957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26.89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39.46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B1:D1"/>
    <mergeCell ref="B3:D3"/>
    <mergeCell ref="F3:H3"/>
    <mergeCell ref="J3:L3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J38:L38"/>
    <mergeCell ref="B40:D40"/>
    <mergeCell ref="B46:D46"/>
    <mergeCell ref="J46:L46"/>
    <mergeCell ref="B52:D52"/>
  </mergeCells>
  <conditionalFormatting sqref="K28">
    <cfRule type="containsText" dxfId="11" priority="1" operator="containsText" text="FALSE">
      <formula>NOT(ISERROR(SEARCH("FALSE",K28)))</formula>
    </cfRule>
    <cfRule type="containsText" dxfId="10" priority="2" operator="containsText" text="TRUE">
      <formula>NOT(ISERROR(SEARCH("TRUE",K28)))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E13C-7DF3-FF47-B161-8DD1A1B4D967}">
  <dimension ref="B1:AO56"/>
  <sheetViews>
    <sheetView topLeftCell="B1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0.83203125" style="6"/>
    <col min="4" max="4" width="7.1640625" style="6" customWidth="1"/>
    <col min="5" max="5" width="5.6640625" style="6" customWidth="1"/>
    <col min="6" max="6" width="20.66406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3.1640625" style="6" customWidth="1"/>
    <col min="12" max="12" width="4.83203125" style="6" customWidth="1"/>
    <col min="13" max="13" width="6" style="6" customWidth="1"/>
    <col min="14" max="14" width="15.33203125" style="6" customWidth="1"/>
    <col min="15" max="15" width="11.1640625" style="6" customWidth="1"/>
    <col min="16" max="16" width="6.33203125" style="6" customWidth="1"/>
    <col min="17" max="17" width="6" style="6" customWidth="1"/>
    <col min="18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7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2" width="5.1640625" style="6" customWidth="1"/>
    <col min="33" max="33" width="11.83203125" style="6" bestFit="1" customWidth="1"/>
    <col min="34" max="34" width="16.5" style="6" bestFit="1" customWidth="1"/>
    <col min="35" max="35" width="11.83203125" style="6" bestFit="1" customWidth="1"/>
    <col min="36" max="36" width="14.1640625" style="6" bestFit="1" customWidth="1"/>
    <col min="37" max="37" width="18.33203125" style="6" customWidth="1"/>
    <col min="38" max="41" width="11.83203125" style="6" bestFit="1" customWidth="1"/>
    <col min="42" max="16384" width="10.83203125" style="6"/>
  </cols>
  <sheetData>
    <row r="1" spans="2:41" x14ac:dyDescent="0.2">
      <c r="B1" s="35" t="s">
        <v>0</v>
      </c>
      <c r="C1" s="35"/>
      <c r="D1" s="35"/>
    </row>
    <row r="2" spans="2:41" x14ac:dyDescent="0.2">
      <c r="U2" s="16" t="s">
        <v>93</v>
      </c>
      <c r="AF2" s="16" t="s">
        <v>76</v>
      </c>
    </row>
    <row r="3" spans="2:41" x14ac:dyDescent="0.2">
      <c r="B3" s="32" t="s">
        <v>118</v>
      </c>
      <c r="C3" s="33"/>
      <c r="D3" s="33"/>
      <c r="F3" s="32" t="s">
        <v>80</v>
      </c>
      <c r="G3" s="33"/>
      <c r="H3" s="33"/>
      <c r="J3" s="29" t="s">
        <v>98</v>
      </c>
      <c r="K3" s="29"/>
      <c r="L3" s="29"/>
      <c r="N3" s="29" t="s">
        <v>92</v>
      </c>
      <c r="O3" s="29"/>
      <c r="P3" s="29"/>
      <c r="U3" s="7" t="s">
        <v>41</v>
      </c>
      <c r="V3" s="7" t="s">
        <v>42</v>
      </c>
      <c r="W3" s="7" t="s">
        <v>43</v>
      </c>
      <c r="X3" s="7" t="s">
        <v>44</v>
      </c>
      <c r="Y3" s="7" t="s">
        <v>45</v>
      </c>
      <c r="Z3" s="7" t="s">
        <v>46</v>
      </c>
      <c r="AA3" s="7" t="s">
        <v>47</v>
      </c>
      <c r="AB3" s="7" t="s">
        <v>48</v>
      </c>
      <c r="AC3" s="7" t="s">
        <v>49</v>
      </c>
      <c r="AD3" s="7" t="s">
        <v>50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46</v>
      </c>
      <c r="AL3" s="7" t="s">
        <v>47</v>
      </c>
      <c r="AM3" s="7" t="s">
        <v>48</v>
      </c>
      <c r="AN3" s="7" t="s">
        <v>49</v>
      </c>
      <c r="AO3" s="7" t="s">
        <v>50</v>
      </c>
    </row>
    <row r="4" spans="2:41" x14ac:dyDescent="0.2">
      <c r="B4" s="6" t="s">
        <v>36</v>
      </c>
      <c r="C4" s="22" t="s">
        <v>72</v>
      </c>
      <c r="F4" t="s">
        <v>84</v>
      </c>
      <c r="G4" s="1">
        <f>500*0.3048/60</f>
        <v>2.54</v>
      </c>
      <c r="H4" t="s">
        <v>10</v>
      </c>
      <c r="J4" t="s">
        <v>99</v>
      </c>
      <c r="K4" s="6">
        <f>(1+$C$22/100)*MAX(G12,G22,G31,G35)</f>
        <v>328.70236381123874</v>
      </c>
      <c r="L4" s="6" t="s">
        <v>101</v>
      </c>
      <c r="N4" s="6" t="s">
        <v>22</v>
      </c>
      <c r="O4" s="6">
        <f xml:space="preserve"> 0.5 * $C$47 * $C$8^2</f>
        <v>2267.4637855940923</v>
      </c>
      <c r="P4" s="6" t="s">
        <v>23</v>
      </c>
      <c r="U4" s="2">
        <v>0</v>
      </c>
      <c r="V4" s="3">
        <v>0</v>
      </c>
      <c r="W4" s="2">
        <f t="shared" ref="W4:W34" si="0" xml:space="preserve"> $O$20 * TAN($O$17/180*PI()) + $O$21 / (2 * SQRT($O$20^2 + V4^2)) - V4</f>
        <v>6.999036955495834E-2</v>
      </c>
      <c r="X4" s="3">
        <v>1</v>
      </c>
      <c r="Y4" s="2">
        <f t="shared" ref="Y4:Y34" si="1" xml:space="preserve"> $O$20 * TAN($O$17/180*PI()) + $O$21 / (2 * SQRT($O$20^2 + X4^2)) - X4</f>
        <v>-0.93264829365923252</v>
      </c>
      <c r="Z4" s="2">
        <f xml:space="preserve"> (V4 + X4)/2</f>
        <v>0.5</v>
      </c>
      <c r="AA4" s="2">
        <f t="shared" ref="AA4:AA34" si="2" xml:space="preserve"> $O$20 * TAN($O$17/180*PI()) + $O$21 / (2 * SQRT($O$20^2 + Z4^2)) - Z4</f>
        <v>-0.43141148142737762</v>
      </c>
      <c r="AB4" s="2">
        <f>W4*AA4</f>
        <v>-3.0194649015354205E-2</v>
      </c>
      <c r="AC4" s="2">
        <f>Y4*AA4</f>
        <v>0.40235518201824544</v>
      </c>
      <c r="AD4" s="2">
        <f>X4-V4</f>
        <v>1</v>
      </c>
      <c r="AF4" s="2">
        <v>0</v>
      </c>
      <c r="AG4" s="2"/>
      <c r="AH4" s="2">
        <f>K27</f>
        <v>2.7368479966298764E-3</v>
      </c>
      <c r="AI4" s="2"/>
      <c r="AJ4" s="2">
        <f>K27</f>
        <v>2.7368479966298764E-3</v>
      </c>
      <c r="AK4" s="2"/>
      <c r="AL4" s="2">
        <f>K27</f>
        <v>2.7368479966298764E-3</v>
      </c>
      <c r="AM4" s="2"/>
      <c r="AN4" s="2"/>
      <c r="AO4" s="2"/>
    </row>
    <row r="5" spans="2:41" x14ac:dyDescent="0.2">
      <c r="B5" s="10" t="s">
        <v>37</v>
      </c>
      <c r="C5" s="10">
        <v>1631.78412575061</v>
      </c>
      <c r="D5" s="10" t="s">
        <v>7</v>
      </c>
      <c r="F5" t="s">
        <v>87</v>
      </c>
      <c r="G5" s="1">
        <f>1000*0.3048</f>
        <v>304.8</v>
      </c>
      <c r="H5" t="s">
        <v>8</v>
      </c>
      <c r="J5" t="s">
        <v>100</v>
      </c>
      <c r="K5" s="6">
        <f>K4/$C$18</f>
        <v>82.175590952809685</v>
      </c>
      <c r="L5" s="6" t="s">
        <v>101</v>
      </c>
      <c r="N5" s="6" t="s">
        <v>114</v>
      </c>
      <c r="O5" s="6">
        <f xml:space="preserve"> $C$18 * 0.85 * ($C$5/$C$18 *2.20462/1000)^(2/3) * 0.3048^2</f>
        <v>0.29430647207532196</v>
      </c>
      <c r="P5" s="6" t="s">
        <v>115</v>
      </c>
      <c r="U5" s="2">
        <v>1</v>
      </c>
      <c r="V5" s="2">
        <f>IF(AB4&gt;0, Z4, V4)</f>
        <v>0</v>
      </c>
      <c r="W5" s="2">
        <f t="shared" si="0"/>
        <v>6.999036955495834E-2</v>
      </c>
      <c r="X5" s="2">
        <f>IF(AC4&gt;0, Z4, X4)</f>
        <v>0.5</v>
      </c>
      <c r="Y5" s="2">
        <f t="shared" si="1"/>
        <v>-0.43141148142737762</v>
      </c>
      <c r="Z5" s="2">
        <f t="shared" ref="Z5:Z34" si="3" xml:space="preserve"> (V5 + X5)/2</f>
        <v>0.25</v>
      </c>
      <c r="AA5" s="2">
        <f t="shared" si="2"/>
        <v>-0.18051611003437923</v>
      </c>
      <c r="AB5" s="2">
        <f t="shared" ref="AB5:AB34" si="4">W5*AA5</f>
        <v>-1.2634389251929726E-2</v>
      </c>
      <c r="AC5" s="2">
        <f t="shared" ref="AC5:AC34" si="5">Y5*AA5</f>
        <v>7.7876722451439048E-2</v>
      </c>
      <c r="AD5" s="2">
        <f t="shared" ref="AD5:AD33" si="6">X5-V5</f>
        <v>0.5</v>
      </c>
      <c r="AF5" s="2">
        <v>1</v>
      </c>
      <c r="AG5" s="3">
        <v>500</v>
      </c>
      <c r="AH5" s="2">
        <f t="dataTable" ref="AH5:AH44" dt2D="0" dtr="0" r1="C5" ca="1"/>
        <v>-749.83434487540399</v>
      </c>
      <c r="AI5" s="3">
        <v>10000</v>
      </c>
      <c r="AJ5" s="2">
        <f t="dataTable" ref="AJ5:AJ44" dt2D="0" dtr="0" r1="C5"/>
        <v>4547.4559999785943</v>
      </c>
      <c r="AK5" s="2">
        <f>(AG5+AI5)/2</f>
        <v>5250</v>
      </c>
      <c r="AL5" s="2">
        <f t="dataTable" ref="AL5:AL44" dt2D="0" dtr="0" r1="C5" ca="1"/>
        <v>2192.4202252319219</v>
      </c>
      <c r="AM5" s="2">
        <f>AH5*AL5</f>
        <v>-1643951.9832783637</v>
      </c>
      <c r="AN5" s="2">
        <f>AJ5*AL5</f>
        <v>9969934.5077053234</v>
      </c>
      <c r="AO5" s="2">
        <f>AI5-AG5</f>
        <v>9500</v>
      </c>
    </row>
    <row r="6" spans="2:41" x14ac:dyDescent="0.2">
      <c r="B6" s="6" t="s">
        <v>143</v>
      </c>
      <c r="C6" s="17">
        <v>400</v>
      </c>
      <c r="D6" s="6" t="s">
        <v>125</v>
      </c>
      <c r="F6" t="s">
        <v>88</v>
      </c>
      <c r="G6" s="8">
        <f>$G$5/$G$4</f>
        <v>120</v>
      </c>
      <c r="H6" s="6" t="s">
        <v>13</v>
      </c>
      <c r="N6" t="s">
        <v>158</v>
      </c>
      <c r="O6" s="17">
        <v>0.63027662333509604</v>
      </c>
      <c r="P6" s="6" t="s">
        <v>115</v>
      </c>
      <c r="U6" s="2">
        <v>2</v>
      </c>
      <c r="V6" s="2">
        <f t="shared" ref="V6:V34" si="7">IF(AB5&gt;0, Z5, V5)</f>
        <v>0</v>
      </c>
      <c r="W6" s="2">
        <f t="shared" si="0"/>
        <v>6.999036955495834E-2</v>
      </c>
      <c r="X6" s="2">
        <f t="shared" ref="X6:X34" si="8">IF(AC5&gt;0, Z5, X5)</f>
        <v>0.25</v>
      </c>
      <c r="Y6" s="2">
        <f t="shared" si="1"/>
        <v>-0.18051611003437923</v>
      </c>
      <c r="Z6" s="2">
        <f t="shared" si="3"/>
        <v>0.125</v>
      </c>
      <c r="AA6" s="2">
        <f t="shared" si="2"/>
        <v>-5.5153019818601559E-2</v>
      </c>
      <c r="AB6" s="2">
        <f t="shared" si="4"/>
        <v>-3.8601802391758644E-3</v>
      </c>
      <c r="AC6" s="2">
        <f t="shared" si="5"/>
        <v>9.9560085943029772E-3</v>
      </c>
      <c r="AD6" s="2">
        <f t="shared" si="6"/>
        <v>0.25</v>
      </c>
      <c r="AF6" s="2">
        <v>2</v>
      </c>
      <c r="AG6" s="2">
        <f>IF(AM5&gt;0, AK5, AG5)</f>
        <v>500</v>
      </c>
      <c r="AH6" s="2">
        <v>-749.83434487540399</v>
      </c>
      <c r="AI6" s="2">
        <f>IF(AN5&gt;0, AK5, AI5)</f>
        <v>5250</v>
      </c>
      <c r="AJ6" s="2">
        <v>2192.4202252319219</v>
      </c>
      <c r="AK6" s="2">
        <f t="shared" ref="AK6:AK43" si="9">(AG6+AI6)/2</f>
        <v>2875</v>
      </c>
      <c r="AL6" s="2">
        <v>801.0456936648286</v>
      </c>
      <c r="AM6" s="2">
        <f t="shared" ref="AM6:AM44" si="10">AH6*AL6</f>
        <v>-600651.57292443025</v>
      </c>
      <c r="AN6" s="2">
        <f t="shared" ref="AN6:AN44" si="11">AJ6*AL6</f>
        <v>1756228.7801257046</v>
      </c>
      <c r="AO6" s="2">
        <f t="shared" ref="AO6:AO44" si="12">AI6-AG6</f>
        <v>4750</v>
      </c>
    </row>
    <row r="7" spans="2:41" x14ac:dyDescent="0.2">
      <c r="B7" s="6" t="s">
        <v>142</v>
      </c>
      <c r="C7" s="17">
        <v>328.86616358013998</v>
      </c>
      <c r="D7" s="6" t="s">
        <v>125</v>
      </c>
      <c r="F7" t="s">
        <v>121</v>
      </c>
      <c r="G7" s="8">
        <f>$C$6*2*PI()/60*$C$9</f>
        <v>162.51463592679659</v>
      </c>
      <c r="H7" s="6" t="s">
        <v>10</v>
      </c>
      <c r="J7" s="29" t="s">
        <v>21</v>
      </c>
      <c r="K7" s="29"/>
      <c r="L7" s="29"/>
      <c r="N7" s="6" t="s">
        <v>159</v>
      </c>
      <c r="O7" s="6">
        <f>O5+$O$6</f>
        <v>0.92458309541041794</v>
      </c>
      <c r="P7" s="6" t="s">
        <v>115</v>
      </c>
      <c r="U7" s="2">
        <v>3</v>
      </c>
      <c r="V7" s="2">
        <f t="shared" si="7"/>
        <v>0</v>
      </c>
      <c r="W7" s="2">
        <f t="shared" si="0"/>
        <v>6.999036955495834E-2</v>
      </c>
      <c r="X7" s="2">
        <f t="shared" si="8"/>
        <v>0.125</v>
      </c>
      <c r="Y7" s="2">
        <f t="shared" si="1"/>
        <v>-5.5153019818601559E-2</v>
      </c>
      <c r="Z7" s="2">
        <f t="shared" si="3"/>
        <v>6.25E-2</v>
      </c>
      <c r="AA7" s="2">
        <f t="shared" si="2"/>
        <v>7.4532726627433571E-3</v>
      </c>
      <c r="AB7" s="2">
        <f t="shared" si="4"/>
        <v>5.2165730805927592E-4</v>
      </c>
      <c r="AC7" s="2">
        <f t="shared" si="5"/>
        <v>-4.1107049488172558E-4</v>
      </c>
      <c r="AD7" s="2">
        <f t="shared" si="6"/>
        <v>0.125</v>
      </c>
      <c r="AF7" s="2">
        <v>3</v>
      </c>
      <c r="AG7" s="2">
        <f t="shared" ref="AG7:AG44" si="13">IF(AM6&gt;0, AK6, AG6)</f>
        <v>500</v>
      </c>
      <c r="AH7" s="2">
        <v>-749.83434487540399</v>
      </c>
      <c r="AI7" s="2">
        <f t="shared" ref="AI7:AI44" si="14">IF(AN6&gt;0, AK6, AI6)</f>
        <v>2875</v>
      </c>
      <c r="AJ7" s="2">
        <v>801.0456936648286</v>
      </c>
      <c r="AK7" s="2">
        <f t="shared" si="9"/>
        <v>1687.5</v>
      </c>
      <c r="AL7" s="2">
        <v>37.856025601574856</v>
      </c>
      <c r="AM7" s="2">
        <f t="shared" si="10"/>
        <v>-28385.748156543403</v>
      </c>
      <c r="AN7" s="2">
        <f t="shared" si="11"/>
        <v>30324.406287407041</v>
      </c>
      <c r="AO7" s="2">
        <f t="shared" si="12"/>
        <v>2375</v>
      </c>
    </row>
    <row r="8" spans="2:41" x14ac:dyDescent="0.2">
      <c r="B8" s="6" t="s">
        <v>9</v>
      </c>
      <c r="C8" s="17">
        <f xml:space="preserve"> 150 * 1609.344 / 3600</f>
        <v>67.055999999999997</v>
      </c>
      <c r="D8" s="6" t="s">
        <v>10</v>
      </c>
      <c r="F8" t="s">
        <v>124</v>
      </c>
      <c r="G8" s="8">
        <f>G7/$C$43</f>
        <v>0.48669179137081531</v>
      </c>
      <c r="H8" s="6" t="s">
        <v>122</v>
      </c>
      <c r="J8" s="6" t="s">
        <v>96</v>
      </c>
      <c r="K8" s="6">
        <f xml:space="preserve"> $C$15 * (G12*G6 + G22*G15 + G31*G27 +G35*G34)/3600</f>
        <v>173.77801723248831</v>
      </c>
      <c r="L8" s="6" t="s">
        <v>102</v>
      </c>
      <c r="N8" s="6" t="s">
        <v>38</v>
      </c>
      <c r="O8" s="6">
        <f xml:space="preserve"> O4 *O7</f>
        <v>2096.4586856156102</v>
      </c>
      <c r="P8" s="6" t="s">
        <v>20</v>
      </c>
      <c r="U8" s="2">
        <v>4</v>
      </c>
      <c r="V8" s="2">
        <f t="shared" si="7"/>
        <v>6.25E-2</v>
      </c>
      <c r="W8" s="2">
        <f t="shared" si="0"/>
        <v>7.4532726627433571E-3</v>
      </c>
      <c r="X8" s="2">
        <f t="shared" si="8"/>
        <v>0.125</v>
      </c>
      <c r="Y8" s="2">
        <f t="shared" si="1"/>
        <v>-5.5153019818601559E-2</v>
      </c>
      <c r="Z8" s="2">
        <f t="shared" si="3"/>
        <v>9.375E-2</v>
      </c>
      <c r="AA8" s="2">
        <f t="shared" si="2"/>
        <v>-2.3841900943154262E-2</v>
      </c>
      <c r="AB8" s="2">
        <f t="shared" si="4"/>
        <v>-1.7770018852744673E-4</v>
      </c>
      <c r="AC8" s="2">
        <f t="shared" si="5"/>
        <v>1.3149528352309223E-3</v>
      </c>
      <c r="AD8" s="2">
        <f t="shared" si="6"/>
        <v>6.25E-2</v>
      </c>
      <c r="AF8" s="2">
        <v>4</v>
      </c>
      <c r="AG8" s="2">
        <f t="shared" si="13"/>
        <v>500</v>
      </c>
      <c r="AH8" s="2">
        <v>-749.83434487540399</v>
      </c>
      <c r="AI8" s="2">
        <f t="shared" si="14"/>
        <v>1687.5</v>
      </c>
      <c r="AJ8" s="2">
        <v>37.856025601574856</v>
      </c>
      <c r="AK8" s="2">
        <f t="shared" si="9"/>
        <v>1093.75</v>
      </c>
      <c r="AL8" s="2">
        <v>-363.66083391150676</v>
      </c>
      <c r="AM8" s="2">
        <f t="shared" si="10"/>
        <v>272685.38315287774</v>
      </c>
      <c r="AN8" s="2">
        <f t="shared" si="11"/>
        <v>-13766.753838844061</v>
      </c>
      <c r="AO8" s="2">
        <f t="shared" si="12"/>
        <v>1187.5</v>
      </c>
    </row>
    <row r="9" spans="2:41" x14ac:dyDescent="0.2">
      <c r="B9" s="6" t="s">
        <v>95</v>
      </c>
      <c r="C9" s="17">
        <v>3.87975114487941</v>
      </c>
      <c r="D9" s="6" t="s">
        <v>8</v>
      </c>
      <c r="F9" t="s">
        <v>19</v>
      </c>
      <c r="G9" s="6">
        <f xml:space="preserve"> $C$5 * $C$44 / $C$18</f>
        <v>3998.4794341110678</v>
      </c>
      <c r="H9" s="6" t="s">
        <v>20</v>
      </c>
      <c r="J9" s="6" t="s">
        <v>138</v>
      </c>
      <c r="K9" s="6">
        <f xml:space="preserve"> $C$15 * (G6 + G15 + G27 + G34)/60</f>
        <v>49.333333333333336</v>
      </c>
      <c r="L9" s="6" t="s">
        <v>103</v>
      </c>
      <c r="N9" s="6" t="s">
        <v>39</v>
      </c>
      <c r="O9" s="6">
        <f xml:space="preserve"> O8</f>
        <v>2096.4586856156102</v>
      </c>
      <c r="P9" s="6" t="s">
        <v>20</v>
      </c>
      <c r="U9" s="2">
        <v>5</v>
      </c>
      <c r="V9" s="2">
        <f t="shared" si="7"/>
        <v>6.25E-2</v>
      </c>
      <c r="W9" s="2">
        <f t="shared" si="0"/>
        <v>7.4532726627433571E-3</v>
      </c>
      <c r="X9" s="2">
        <f t="shared" si="8"/>
        <v>9.375E-2</v>
      </c>
      <c r="Y9" s="2">
        <f t="shared" si="1"/>
        <v>-2.3841900943154262E-2</v>
      </c>
      <c r="Z9" s="2">
        <f t="shared" si="3"/>
        <v>7.8125E-2</v>
      </c>
      <c r="AA9" s="2">
        <f t="shared" si="2"/>
        <v>-8.1922168134344608E-3</v>
      </c>
      <c r="AB9" s="2">
        <f t="shared" si="4"/>
        <v>-6.1058825622837564E-5</v>
      </c>
      <c r="AC9" s="2">
        <f t="shared" si="5"/>
        <v>1.9531802177074728E-4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-363.66083391150676</v>
      </c>
      <c r="AI9" s="2">
        <f t="shared" si="14"/>
        <v>1687.5</v>
      </c>
      <c r="AJ9" s="2">
        <v>37.856025601574856</v>
      </c>
      <c r="AK9" s="2">
        <f t="shared" si="9"/>
        <v>1390.625</v>
      </c>
      <c r="AL9" s="2">
        <v>-163.56932573716301</v>
      </c>
      <c r="AM9" s="2">
        <f t="shared" si="10"/>
        <v>59483.757399919588</v>
      </c>
      <c r="AN9" s="2">
        <f t="shared" si="11"/>
        <v>-6192.08458273838</v>
      </c>
      <c r="AO9" s="2">
        <f t="shared" si="12"/>
        <v>593.75</v>
      </c>
    </row>
    <row r="10" spans="2:41" x14ac:dyDescent="0.2">
      <c r="B10" s="6" t="s">
        <v>131</v>
      </c>
      <c r="C10" s="17">
        <f>(0.071475+0.069425+0.067375+0.065325+0.063275+0.061225+0.059175+0.057125)/8</f>
        <v>6.4299999999999982E-2</v>
      </c>
      <c r="F10" t="s">
        <v>97</v>
      </c>
      <c r="G10" s="6">
        <f>G12/$C$18</f>
        <v>41.433957569526171</v>
      </c>
      <c r="H10" s="6" t="s">
        <v>101</v>
      </c>
      <c r="N10" s="6" t="s">
        <v>113</v>
      </c>
      <c r="O10" s="6">
        <f>O7/(0.3048^2)/($C$5*2.20462/1000)^(2/3)</f>
        <v>4.2388858890750249</v>
      </c>
      <c r="U10" s="2">
        <v>6</v>
      </c>
      <c r="V10" s="2">
        <f t="shared" si="7"/>
        <v>6.25E-2</v>
      </c>
      <c r="W10" s="2">
        <f t="shared" si="0"/>
        <v>7.4532726627433571E-3</v>
      </c>
      <c r="X10" s="2">
        <f t="shared" si="8"/>
        <v>7.8125E-2</v>
      </c>
      <c r="Y10" s="2">
        <f t="shared" si="1"/>
        <v>-8.1922168134344608E-3</v>
      </c>
      <c r="Z10" s="2">
        <f t="shared" si="3"/>
        <v>7.03125E-2</v>
      </c>
      <c r="AA10" s="2">
        <f t="shared" si="2"/>
        <v>-3.6893624267705927E-4</v>
      </c>
      <c r="AB10" s="2">
        <f t="shared" si="4"/>
        <v>-2.7497824118401751E-6</v>
      </c>
      <c r="AC10" s="2">
        <f t="shared" si="5"/>
        <v>3.0224056903443415E-6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-163.56932573716301</v>
      </c>
      <c r="AI10" s="2">
        <f t="shared" si="14"/>
        <v>1687.5</v>
      </c>
      <c r="AJ10" s="2">
        <v>37.856025601574856</v>
      </c>
      <c r="AK10" s="2">
        <f t="shared" si="9"/>
        <v>1539.0625</v>
      </c>
      <c r="AL10" s="2">
        <v>-62.951420165087029</v>
      </c>
      <c r="AM10" s="2">
        <f t="shared" si="10"/>
        <v>10296.921350600132</v>
      </c>
      <c r="AN10" s="2">
        <f t="shared" si="11"/>
        <v>-2383.0905734250305</v>
      </c>
      <c r="AO10" s="2">
        <f t="shared" si="12"/>
        <v>296.875</v>
      </c>
    </row>
    <row r="11" spans="2:41" x14ac:dyDescent="0.2">
      <c r="F11" t="s">
        <v>146</v>
      </c>
      <c r="G11" s="6">
        <f xml:space="preserve"> (G9/$C$44*1000) / ($G$10*1000)</f>
        <v>9.84569313112606</v>
      </c>
      <c r="H11" s="6" t="s">
        <v>147</v>
      </c>
      <c r="J11" s="32" t="s">
        <v>51</v>
      </c>
      <c r="K11" s="32"/>
      <c r="L11" s="32"/>
      <c r="U11" s="2">
        <v>7</v>
      </c>
      <c r="V11" s="2">
        <f t="shared" si="7"/>
        <v>6.25E-2</v>
      </c>
      <c r="W11" s="2">
        <f t="shared" si="0"/>
        <v>7.4532726627433571E-3</v>
      </c>
      <c r="X11" s="2">
        <f t="shared" si="8"/>
        <v>7.03125E-2</v>
      </c>
      <c r="Y11" s="2">
        <f t="shared" si="1"/>
        <v>-3.6893624267705927E-4</v>
      </c>
      <c r="Z11" s="2">
        <f t="shared" si="3"/>
        <v>6.640625E-2</v>
      </c>
      <c r="AA11" s="2">
        <f t="shared" si="2"/>
        <v>3.542303499774524E-3</v>
      </c>
      <c r="AB11" s="2">
        <f t="shared" si="4"/>
        <v>2.640175383800958E-5</v>
      </c>
      <c r="AC11" s="2">
        <f t="shared" si="5"/>
        <v>-1.3068841436286102E-6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-62.951420165087029</v>
      </c>
      <c r="AI11" s="2">
        <f t="shared" si="14"/>
        <v>1687.5</v>
      </c>
      <c r="AJ11" s="2">
        <v>37.856025601574856</v>
      </c>
      <c r="AK11" s="2">
        <f t="shared" si="9"/>
        <v>1613.28125</v>
      </c>
      <c r="AL11" s="2">
        <v>-12.564530619744573</v>
      </c>
      <c r="AM11" s="2">
        <f t="shared" si="10"/>
        <v>790.95504622064198</v>
      </c>
      <c r="AN11" s="2">
        <f t="shared" si="11"/>
        <v>-475.64319281282178</v>
      </c>
      <c r="AO11" s="2">
        <f t="shared" si="12"/>
        <v>148.4375</v>
      </c>
    </row>
    <row r="12" spans="2:41" x14ac:dyDescent="0.2">
      <c r="B12" s="29" t="s">
        <v>11</v>
      </c>
      <c r="C12" s="29"/>
      <c r="D12" s="29"/>
      <c r="F12" s="24" t="s">
        <v>82</v>
      </c>
      <c r="G12" s="25">
        <f xml:space="preserve"> 1/1000 * (($C$5*$C$44)/$C$21 * ( ($G$4/2) + SQRT( ($G$4/2)^2 + ($C$5*$C$44) / (2*$C$41*PI()*$C$9^2 * $C$18) ) ) )</f>
        <v>165.73583027810469</v>
      </c>
      <c r="H12" s="25" t="s">
        <v>101</v>
      </c>
      <c r="J12" s="10" t="s">
        <v>79</v>
      </c>
      <c r="K12" s="6">
        <f>C5</f>
        <v>1631.78412575061</v>
      </c>
      <c r="L12" s="6" t="s">
        <v>7</v>
      </c>
      <c r="N12" s="32" t="s">
        <v>73</v>
      </c>
      <c r="O12" s="34"/>
      <c r="P12" s="34"/>
      <c r="U12" s="2">
        <v>8</v>
      </c>
      <c r="V12" s="2">
        <f t="shared" si="7"/>
        <v>6.640625E-2</v>
      </c>
      <c r="W12" s="2">
        <f t="shared" si="0"/>
        <v>3.542303499774524E-3</v>
      </c>
      <c r="X12" s="2">
        <f t="shared" si="8"/>
        <v>7.03125E-2</v>
      </c>
      <c r="Y12" s="2">
        <f t="shared" si="1"/>
        <v>-3.6893624267705927E-4</v>
      </c>
      <c r="Z12" s="2">
        <f t="shared" si="3"/>
        <v>6.8359375E-2</v>
      </c>
      <c r="AA12" s="2">
        <f t="shared" si="2"/>
        <v>1.5867172894711429E-3</v>
      </c>
      <c r="AB12" s="2">
        <f t="shared" si="4"/>
        <v>5.620634207646376E-6</v>
      </c>
      <c r="AC12" s="2">
        <f t="shared" si="5"/>
        <v>-5.853975149682113E-7</v>
      </c>
      <c r="AD12" s="2">
        <f t="shared" si="6"/>
        <v>3.90625E-3</v>
      </c>
      <c r="AF12" s="2">
        <v>8</v>
      </c>
      <c r="AG12" s="2">
        <f t="shared" si="13"/>
        <v>1613.28125</v>
      </c>
      <c r="AH12" s="2">
        <v>-12.564530619744573</v>
      </c>
      <c r="AI12" s="2">
        <f t="shared" si="14"/>
        <v>1687.5</v>
      </c>
      <c r="AJ12" s="2">
        <v>37.856025601574856</v>
      </c>
      <c r="AK12" s="2">
        <f t="shared" si="9"/>
        <v>1650.390625</v>
      </c>
      <c r="AL12" s="2">
        <v>12.642297213396205</v>
      </c>
      <c r="AM12" s="2">
        <f t="shared" si="10"/>
        <v>-158.84453044162811</v>
      </c>
      <c r="AN12" s="2">
        <f t="shared" si="11"/>
        <v>478.5871269730452</v>
      </c>
      <c r="AO12" s="2">
        <f t="shared" si="12"/>
        <v>74.21875</v>
      </c>
    </row>
    <row r="13" spans="2:41" x14ac:dyDescent="0.2">
      <c r="B13" s="6" t="s">
        <v>68</v>
      </c>
      <c r="C13" s="6">
        <f>C25*100</f>
        <v>600</v>
      </c>
      <c r="D13" s="6" t="s">
        <v>7</v>
      </c>
      <c r="J13" s="11" t="s">
        <v>52</v>
      </c>
      <c r="K13" s="6">
        <f xml:space="preserve"> K8 * 1000 / ($C$36 * $C$37 * $C$38)</f>
        <v>365.07986813547967</v>
      </c>
      <c r="L13" s="6" t="s">
        <v>7</v>
      </c>
      <c r="N13" s="6" t="s">
        <v>74</v>
      </c>
      <c r="O13" s="6">
        <f xml:space="preserve"> SQRT( ($C$5*$C$50)^2 + O9^2)</f>
        <v>16129.216024432266</v>
      </c>
      <c r="P13" s="6" t="s">
        <v>20</v>
      </c>
      <c r="U13" s="2">
        <v>9</v>
      </c>
      <c r="V13" s="2">
        <f t="shared" si="7"/>
        <v>6.8359375E-2</v>
      </c>
      <c r="W13" s="2">
        <f t="shared" si="0"/>
        <v>1.5867172894711429E-3</v>
      </c>
      <c r="X13" s="2">
        <f t="shared" si="8"/>
        <v>7.03125E-2</v>
      </c>
      <c r="Y13" s="2">
        <f t="shared" si="1"/>
        <v>-3.6893624267705927E-4</v>
      </c>
      <c r="Z13" s="2">
        <f t="shared" si="3"/>
        <v>6.93359375E-2</v>
      </c>
      <c r="AA13" s="2">
        <f t="shared" si="2"/>
        <v>6.0889891800099127E-4</v>
      </c>
      <c r="AB13" s="2">
        <f t="shared" si="4"/>
        <v>9.661504407324446E-7</v>
      </c>
      <c r="AC13" s="2">
        <f t="shared" si="5"/>
        <v>-2.2464487897741254E-7</v>
      </c>
      <c r="AD13" s="2">
        <f t="shared" si="6"/>
        <v>1.953125E-3</v>
      </c>
      <c r="AF13" s="2">
        <v>9</v>
      </c>
      <c r="AG13" s="2">
        <f t="shared" si="13"/>
        <v>1613.28125</v>
      </c>
      <c r="AH13" s="2">
        <v>-12.564530619744573</v>
      </c>
      <c r="AI13" s="2">
        <f t="shared" si="14"/>
        <v>1650.390625</v>
      </c>
      <c r="AJ13" s="2">
        <v>12.642297213396205</v>
      </c>
      <c r="AK13" s="2">
        <f t="shared" si="9"/>
        <v>1631.8359375</v>
      </c>
      <c r="AL13" s="2">
        <v>3.79309354061661E-2</v>
      </c>
      <c r="AM13" s="2">
        <f t="shared" si="10"/>
        <v>-0.47658439934632751</v>
      </c>
      <c r="AN13" s="2">
        <f t="shared" si="11"/>
        <v>0.47953415898688512</v>
      </c>
      <c r="AO13" s="2">
        <f t="shared" si="12"/>
        <v>37.109375</v>
      </c>
    </row>
    <row r="14" spans="2:41" x14ac:dyDescent="0.2">
      <c r="B14" s="6" t="s">
        <v>12</v>
      </c>
      <c r="C14" s="17">
        <f xml:space="preserve"> 60 * 1609.344</f>
        <v>96560.639999999999</v>
      </c>
      <c r="D14" s="6" t="s">
        <v>8</v>
      </c>
      <c r="F14" s="32" t="s">
        <v>86</v>
      </c>
      <c r="G14" s="33"/>
      <c r="H14" s="33"/>
      <c r="J14" s="12" t="s">
        <v>126</v>
      </c>
      <c r="K14" s="6">
        <f xml:space="preserve"> $C$54 * $C$18 * (0.0095 * MAX(G9,O18,G28) - 1.9275)</f>
        <v>116.41404178568521</v>
      </c>
      <c r="L14" s="6" t="s">
        <v>7</v>
      </c>
      <c r="N14" s="6" t="s">
        <v>75</v>
      </c>
      <c r="O14" s="6">
        <f>$C$5*$C$50/O13</f>
        <v>0.99151675254811489</v>
      </c>
      <c r="U14" s="2">
        <v>10</v>
      </c>
      <c r="V14" s="2">
        <f t="shared" si="7"/>
        <v>6.93359375E-2</v>
      </c>
      <c r="W14" s="2">
        <f t="shared" si="0"/>
        <v>6.0889891800099127E-4</v>
      </c>
      <c r="X14" s="2">
        <f t="shared" si="8"/>
        <v>7.03125E-2</v>
      </c>
      <c r="Y14" s="2">
        <f t="shared" si="1"/>
        <v>-3.6893624267705927E-4</v>
      </c>
      <c r="Z14" s="2">
        <f t="shared" si="3"/>
        <v>6.982421875E-2</v>
      </c>
      <c r="AA14" s="2">
        <f t="shared" si="2"/>
        <v>1.1998343370757392E-4</v>
      </c>
      <c r="AB14" s="2">
        <f t="shared" si="4"/>
        <v>7.3057782962585428E-8</v>
      </c>
      <c r="AC14" s="2">
        <f t="shared" si="5"/>
        <v>-4.4266237215564347E-8</v>
      </c>
      <c r="AD14" s="2">
        <f t="shared" si="6"/>
        <v>9.765625E-4</v>
      </c>
      <c r="AF14" s="2">
        <v>10</v>
      </c>
      <c r="AG14" s="2">
        <f t="shared" si="13"/>
        <v>1613.28125</v>
      </c>
      <c r="AH14" s="2">
        <v>-12.564530619744573</v>
      </c>
      <c r="AI14" s="2">
        <f t="shared" si="14"/>
        <v>1631.8359375</v>
      </c>
      <c r="AJ14" s="2">
        <v>3.79309354061661E-2</v>
      </c>
      <c r="AK14" s="2">
        <f t="shared" si="9"/>
        <v>1622.55859375</v>
      </c>
      <c r="AL14" s="2">
        <v>-6.2635511780524666</v>
      </c>
      <c r="AM14" s="2">
        <f t="shared" si="10"/>
        <v>78.698580564977405</v>
      </c>
      <c r="AN14" s="2">
        <f t="shared" si="11"/>
        <v>-0.2375823551479237</v>
      </c>
      <c r="AO14" s="2">
        <f t="shared" si="12"/>
        <v>18.5546875</v>
      </c>
    </row>
    <row r="15" spans="2:41" x14ac:dyDescent="0.2">
      <c r="B15" s="6" t="s">
        <v>136</v>
      </c>
      <c r="C15" s="17">
        <v>1</v>
      </c>
      <c r="F15" s="9" t="s">
        <v>89</v>
      </c>
      <c r="G15" s="6">
        <f xml:space="preserve"> $C$14/$C$8</f>
        <v>1440</v>
      </c>
      <c r="H15" s="6" t="s">
        <v>13</v>
      </c>
      <c r="J15" s="12" t="s">
        <v>127</v>
      </c>
      <c r="K15" s="6">
        <f xml:space="preserve"> $C$54 * $C$18 * ( 0.0037 * $C$19^0.28 * ($C$9*3.28084)^1.5 * ($G$7*3.28084)^0.43 * ( 0.01742 * $C$19^0.66 * ($C$10*$C$9*3.28084) * ($C$9*3.28084)^1.3 * ($G$7*3.28084)^0.67 + 0.5*(K14/$C$18)* 2.20462 * 9.80665*3.28084 )^0.55 ) * 0.453592</f>
        <v>230.72340030337034</v>
      </c>
      <c r="L15" s="6" t="s">
        <v>7</v>
      </c>
      <c r="U15" s="2">
        <v>11</v>
      </c>
      <c r="V15" s="2">
        <f t="shared" si="7"/>
        <v>6.982421875E-2</v>
      </c>
      <c r="W15" s="2">
        <f t="shared" si="0"/>
        <v>1.1998343370757392E-4</v>
      </c>
      <c r="X15" s="2">
        <f t="shared" si="8"/>
        <v>7.03125E-2</v>
      </c>
      <c r="Y15" s="2">
        <f t="shared" si="1"/>
        <v>-3.6893624267705927E-4</v>
      </c>
      <c r="Z15" s="2">
        <f t="shared" si="3"/>
        <v>7.0068359375E-2</v>
      </c>
      <c r="AA15" s="2">
        <f t="shared" si="2"/>
        <v>-1.2447588080069516E-4</v>
      </c>
      <c r="AB15" s="2">
        <f t="shared" si="4"/>
        <v>-1.493504359224208E-8</v>
      </c>
      <c r="AC15" s="2">
        <f t="shared" si="5"/>
        <v>4.5923663766525969E-8</v>
      </c>
      <c r="AD15" s="2">
        <f t="shared" si="6"/>
        <v>4.8828125E-4</v>
      </c>
      <c r="AF15" s="2">
        <v>11</v>
      </c>
      <c r="AG15" s="2">
        <f t="shared" si="13"/>
        <v>1622.55859375</v>
      </c>
      <c r="AH15" s="2">
        <v>-6.2635511780524666</v>
      </c>
      <c r="AI15" s="2">
        <f t="shared" si="14"/>
        <v>1631.8359375</v>
      </c>
      <c r="AJ15" s="2">
        <v>3.79309354061661E-2</v>
      </c>
      <c r="AK15" s="2">
        <f t="shared" si="9"/>
        <v>1627.197265625</v>
      </c>
      <c r="AL15" s="2">
        <v>-3.1128708051846843</v>
      </c>
      <c r="AM15" s="2">
        <f t="shared" si="10"/>
        <v>19.49762559893966</v>
      </c>
      <c r="AN15" s="2">
        <f t="shared" si="11"/>
        <v>-0.11807410143920051</v>
      </c>
      <c r="AO15" s="2">
        <f t="shared" si="12"/>
        <v>9.27734375</v>
      </c>
    </row>
    <row r="16" spans="2:41" x14ac:dyDescent="0.2">
      <c r="F16" t="s">
        <v>121</v>
      </c>
      <c r="G16" s="8">
        <f>O19*$C$9</f>
        <v>133.61391210717196</v>
      </c>
      <c r="H16" s="6" t="s">
        <v>10</v>
      </c>
      <c r="J16" s="13" t="s">
        <v>53</v>
      </c>
      <c r="K16" s="6">
        <f xml:space="preserve"> $C$54 * 0.2138 * K4</f>
        <v>56.221252306274273</v>
      </c>
      <c r="L16" s="6" t="s">
        <v>7</v>
      </c>
      <c r="N16" s="32" t="s">
        <v>24</v>
      </c>
      <c r="O16" s="34"/>
      <c r="P16" s="34"/>
      <c r="U16" s="2">
        <v>12</v>
      </c>
      <c r="V16" s="2">
        <f t="shared" si="7"/>
        <v>6.982421875E-2</v>
      </c>
      <c r="W16" s="2">
        <f t="shared" si="0"/>
        <v>1.1998343370757392E-4</v>
      </c>
      <c r="X16" s="2">
        <f t="shared" si="8"/>
        <v>7.0068359375E-2</v>
      </c>
      <c r="Y16" s="2">
        <f t="shared" si="1"/>
        <v>-1.2447588080069516E-4</v>
      </c>
      <c r="Z16" s="2">
        <f t="shared" si="3"/>
        <v>6.99462890625E-2</v>
      </c>
      <c r="AA16" s="2">
        <f t="shared" si="2"/>
        <v>-2.2460925845624313E-6</v>
      </c>
      <c r="AB16" s="2">
        <f t="shared" si="4"/>
        <v>-2.6949390072091982E-10</v>
      </c>
      <c r="AC16" s="2">
        <f t="shared" si="5"/>
        <v>2.7958435282331852E-10</v>
      </c>
      <c r="AD16" s="2">
        <f t="shared" si="6"/>
        <v>2.44140625E-4</v>
      </c>
      <c r="AF16" s="2">
        <v>12</v>
      </c>
      <c r="AG16" s="2">
        <f t="shared" si="13"/>
        <v>1627.197265625</v>
      </c>
      <c r="AH16" s="2">
        <v>-3.1128708051846843</v>
      </c>
      <c r="AI16" s="2">
        <f t="shared" si="14"/>
        <v>1631.8359375</v>
      </c>
      <c r="AJ16" s="2">
        <v>3.79309354061661E-2</v>
      </c>
      <c r="AK16" s="2">
        <f t="shared" si="9"/>
        <v>1629.5166015625</v>
      </c>
      <c r="AL16" s="2">
        <v>-1.5374869464073981</v>
      </c>
      <c r="AM16" s="2">
        <f t="shared" si="10"/>
        <v>4.7859982288241394</v>
      </c>
      <c r="AN16" s="2">
        <f t="shared" si="11"/>
        <v>-5.8318318052002577E-2</v>
      </c>
      <c r="AO16" s="2">
        <f t="shared" si="12"/>
        <v>4.638671875</v>
      </c>
    </row>
    <row r="17" spans="2:41" x14ac:dyDescent="0.2">
      <c r="B17" s="31" t="s">
        <v>110</v>
      </c>
      <c r="C17" s="31"/>
      <c r="D17" s="31"/>
      <c r="F17" s="6" t="s">
        <v>124</v>
      </c>
      <c r="G17" s="6">
        <f>G16/$C$49</f>
        <v>0.40157852994144183</v>
      </c>
      <c r="H17" s="6" t="s">
        <v>122</v>
      </c>
      <c r="J17" s="13" t="s">
        <v>77</v>
      </c>
      <c r="K17" s="6">
        <f xml:space="preserve"> $C$54 * 0.1149 * K4</f>
        <v>30.214321281529067</v>
      </c>
      <c r="L17" s="6" t="s">
        <v>7</v>
      </c>
      <c r="N17" s="6" t="s">
        <v>25</v>
      </c>
      <c r="O17" s="6">
        <f xml:space="preserve"> ACOS(O14)/PI()*180</f>
        <v>7.4683763582385412</v>
      </c>
      <c r="P17" s="6" t="s">
        <v>40</v>
      </c>
      <c r="U17" s="2">
        <v>13</v>
      </c>
      <c r="V17" s="2">
        <f t="shared" si="7"/>
        <v>6.982421875E-2</v>
      </c>
      <c r="W17" s="2">
        <f t="shared" si="0"/>
        <v>1.1998343370757392E-4</v>
      </c>
      <c r="X17" s="2">
        <f t="shared" si="8"/>
        <v>6.99462890625E-2</v>
      </c>
      <c r="Y17" s="2">
        <f t="shared" si="1"/>
        <v>-2.2460925845624313E-6</v>
      </c>
      <c r="Z17" s="2">
        <f t="shared" si="3"/>
        <v>6.988525390625E-2</v>
      </c>
      <c r="AA17" s="2">
        <f t="shared" si="2"/>
        <v>5.8868703307124459E-5</v>
      </c>
      <c r="AB17" s="2">
        <f t="shared" si="4"/>
        <v>7.0632691607012049E-9</v>
      </c>
      <c r="AC17" s="2">
        <f t="shared" si="5"/>
        <v>-1.3222455796093812E-10</v>
      </c>
      <c r="AD17" s="2">
        <f t="shared" si="6"/>
        <v>1.220703125E-4</v>
      </c>
      <c r="AF17" s="2">
        <v>13</v>
      </c>
      <c r="AG17" s="2">
        <f t="shared" si="13"/>
        <v>1629.5166015625</v>
      </c>
      <c r="AH17" s="2">
        <v>-1.5374869464073981</v>
      </c>
      <c r="AI17" s="2">
        <f t="shared" si="14"/>
        <v>1631.8359375</v>
      </c>
      <c r="AJ17" s="2">
        <v>3.79309354061661E-2</v>
      </c>
      <c r="AK17" s="2">
        <f t="shared" si="9"/>
        <v>1630.67626953125</v>
      </c>
      <c r="AL17" s="2">
        <v>-0.74978032893636737</v>
      </c>
      <c r="AM17" s="2">
        <f t="shared" si="10"/>
        <v>1.1527774684127099</v>
      </c>
      <c r="AN17" s="2">
        <f t="shared" si="11"/>
        <v>-2.843986922569932E-2</v>
      </c>
      <c r="AO17" s="2">
        <f t="shared" si="12"/>
        <v>2.3193359375</v>
      </c>
    </row>
    <row r="18" spans="2:41" x14ac:dyDescent="0.2">
      <c r="B18" s="6" t="s">
        <v>94</v>
      </c>
      <c r="C18" s="17">
        <v>4</v>
      </c>
      <c r="F18" s="9" t="s">
        <v>19</v>
      </c>
      <c r="G18" s="6">
        <f>O18</f>
        <v>4032.3040061080665</v>
      </c>
      <c r="H18" s="6" t="s">
        <v>20</v>
      </c>
      <c r="J18" s="14" t="s">
        <v>60</v>
      </c>
      <c r="K18" s="6">
        <f xml:space="preserve"> $C$55 * (14.86 * ($C$5*2.20462)^0.144 * ($C$26/(PI()*$C$27))^0.778 * ($C$26*3.28084)^0.383 * $C$25^0.455 * 0.453592)</f>
        <v>126.25177407098101</v>
      </c>
      <c r="L18" s="6" t="s">
        <v>7</v>
      </c>
      <c r="N18" s="6" t="s">
        <v>19</v>
      </c>
      <c r="O18" s="6">
        <f xml:space="preserve"> O13 / $C$18</f>
        <v>4032.3040061080665</v>
      </c>
      <c r="P18" s="6" t="s">
        <v>20</v>
      </c>
      <c r="U18" s="2">
        <v>14</v>
      </c>
      <c r="V18" s="2">
        <f t="shared" si="7"/>
        <v>6.988525390625E-2</v>
      </c>
      <c r="W18" s="2">
        <f t="shared" si="0"/>
        <v>5.8868703307124459E-5</v>
      </c>
      <c r="X18" s="2">
        <f t="shared" si="8"/>
        <v>6.99462890625E-2</v>
      </c>
      <c r="Y18" s="2">
        <f t="shared" si="1"/>
        <v>-2.2460925845624313E-6</v>
      </c>
      <c r="Z18" s="2">
        <f t="shared" si="3"/>
        <v>6.9915771484375E-2</v>
      </c>
      <c r="AA18" s="2">
        <f t="shared" si="2"/>
        <v>2.8311313547052519E-5</v>
      </c>
      <c r="AB18" s="2">
        <f t="shared" si="4"/>
        <v>1.6666503174364081E-9</v>
      </c>
      <c r="AC18" s="2">
        <f t="shared" si="5"/>
        <v>-6.3589831417256574E-11</v>
      </c>
      <c r="AD18" s="2">
        <f t="shared" si="6"/>
        <v>6.103515625E-5</v>
      </c>
      <c r="AF18" s="2">
        <v>14</v>
      </c>
      <c r="AG18" s="2">
        <f t="shared" si="13"/>
        <v>1630.67626953125</v>
      </c>
      <c r="AH18" s="2">
        <v>-0.74978032893636737</v>
      </c>
      <c r="AI18" s="2">
        <f t="shared" si="14"/>
        <v>1631.8359375</v>
      </c>
      <c r="AJ18" s="2">
        <v>3.79309354061661E-2</v>
      </c>
      <c r="AK18" s="2">
        <f t="shared" si="9"/>
        <v>1631.256103515625</v>
      </c>
      <c r="AL18" s="2">
        <v>-0.35592747770897404</v>
      </c>
      <c r="AM18" s="2">
        <f t="shared" si="10"/>
        <v>0.26686742131412611</v>
      </c>
      <c r="AN18" s="2">
        <f t="shared" si="11"/>
        <v>-1.3500662166258719E-2</v>
      </c>
      <c r="AO18" s="2">
        <f t="shared" si="12"/>
        <v>1.15966796875</v>
      </c>
    </row>
    <row r="19" spans="2:41" x14ac:dyDescent="0.2">
      <c r="B19" t="s">
        <v>109</v>
      </c>
      <c r="C19" s="1">
        <v>3</v>
      </c>
      <c r="D19"/>
      <c r="F19" s="9" t="s">
        <v>97</v>
      </c>
      <c r="G19" s="6">
        <f xml:space="preserve"> 1/1000 * (O23 + O18 * (O25 * O28 + $C$8 * SIN(O17/180*PI())))</f>
        <v>54.783727301873121</v>
      </c>
      <c r="H19" s="6" t="s">
        <v>101</v>
      </c>
      <c r="J19" s="14" t="s">
        <v>61</v>
      </c>
      <c r="K19" s="6">
        <f xml:space="preserve"> $C$55 * C31 * $C$5</f>
        <v>18.275982208406834</v>
      </c>
      <c r="L19" s="6" t="s">
        <v>7</v>
      </c>
      <c r="N19" s="6" t="s">
        <v>26</v>
      </c>
      <c r="O19" s="6">
        <f>$C$7*2*PI()/60</f>
        <v>34.438784117254237</v>
      </c>
      <c r="P19" s="6" t="s">
        <v>27</v>
      </c>
      <c r="U19" s="2">
        <v>15</v>
      </c>
      <c r="V19" s="2">
        <f t="shared" si="7"/>
        <v>6.9915771484375E-2</v>
      </c>
      <c r="W19" s="2">
        <f t="shared" si="0"/>
        <v>2.8311313547052519E-5</v>
      </c>
      <c r="X19" s="2">
        <f t="shared" si="8"/>
        <v>6.99462890625E-2</v>
      </c>
      <c r="Y19" s="2">
        <f t="shared" si="1"/>
        <v>-2.2460925845624313E-6</v>
      </c>
      <c r="Z19" s="2">
        <f t="shared" si="3"/>
        <v>6.99310302734375E-2</v>
      </c>
      <c r="AA19" s="2">
        <f t="shared" si="2"/>
        <v>1.3032612527608123E-5</v>
      </c>
      <c r="AB19" s="2">
        <f t="shared" si="4"/>
        <v>3.6897037960635819E-10</v>
      </c>
      <c r="AC19" s="2">
        <f t="shared" si="5"/>
        <v>-2.9272454355736048E-11</v>
      </c>
      <c r="AD19" s="2">
        <f t="shared" si="6"/>
        <v>3.0517578125E-5</v>
      </c>
      <c r="AF19" s="2">
        <v>15</v>
      </c>
      <c r="AG19" s="2">
        <f t="shared" si="13"/>
        <v>1631.256103515625</v>
      </c>
      <c r="AH19" s="2">
        <v>-0.35592747770897404</v>
      </c>
      <c r="AI19" s="2">
        <f t="shared" si="14"/>
        <v>1631.8359375</v>
      </c>
      <c r="AJ19" s="2">
        <v>3.79309354061661E-2</v>
      </c>
      <c r="AK19" s="2">
        <f t="shared" si="9"/>
        <v>1631.5460205078125</v>
      </c>
      <c r="AL19" s="2">
        <v>-0.15899672975888279</v>
      </c>
      <c r="AM19" s="2">
        <f t="shared" si="10"/>
        <v>5.6591304987054523E-2</v>
      </c>
      <c r="AN19" s="2">
        <f t="shared" si="11"/>
        <v>-6.0308946862758306E-3</v>
      </c>
      <c r="AO19" s="2">
        <f t="shared" si="12"/>
        <v>0.579833984375</v>
      </c>
    </row>
    <row r="20" spans="2:41" x14ac:dyDescent="0.2">
      <c r="B20" s="6" t="s">
        <v>119</v>
      </c>
      <c r="C20" s="6">
        <f>$C$19*$C$10/PI()</f>
        <v>6.1401977044853208E-2</v>
      </c>
      <c r="F20" t="s">
        <v>146</v>
      </c>
      <c r="G20" s="6">
        <f xml:space="preserve"> (G18/$C$50*1000) / ($G$19*1000)</f>
        <v>7.5101926803830086</v>
      </c>
      <c r="H20" s="6" t="s">
        <v>147</v>
      </c>
      <c r="J20" s="14" t="s">
        <v>62</v>
      </c>
      <c r="K20" s="6">
        <f xml:space="preserve"> $C$55 * 0</f>
        <v>0</v>
      </c>
      <c r="L20" s="6" t="s">
        <v>7</v>
      </c>
      <c r="N20" s="6" t="s">
        <v>28</v>
      </c>
      <c r="O20" s="6">
        <f xml:space="preserve"> $C$8 * COS(O17/180*PI()) / (O19 * $C$9)</f>
        <v>0.49760647158910321</v>
      </c>
      <c r="U20" s="2">
        <v>16</v>
      </c>
      <c r="V20" s="2">
        <f t="shared" si="7"/>
        <v>6.99310302734375E-2</v>
      </c>
      <c r="W20" s="2">
        <f t="shared" si="0"/>
        <v>1.3032612527608123E-5</v>
      </c>
      <c r="X20" s="2">
        <f t="shared" si="8"/>
        <v>6.99462890625E-2</v>
      </c>
      <c r="Y20" s="2">
        <f t="shared" si="1"/>
        <v>-2.2460925845624313E-6</v>
      </c>
      <c r="Z20" s="2">
        <f t="shared" si="3"/>
        <v>6.993865966796875E-2</v>
      </c>
      <c r="AA20" s="2">
        <f t="shared" si="2"/>
        <v>5.3932604830997377E-6</v>
      </c>
      <c r="AB20" s="2">
        <f t="shared" si="4"/>
        <v>7.0288274136699476E-11</v>
      </c>
      <c r="AC20" s="2">
        <f t="shared" si="5"/>
        <v>-1.2113762377703917E-11</v>
      </c>
      <c r="AD20" s="2">
        <f t="shared" si="6"/>
        <v>1.52587890625E-5</v>
      </c>
      <c r="AF20" s="2">
        <v>16</v>
      </c>
      <c r="AG20" s="2">
        <f t="shared" si="13"/>
        <v>1631.5460205078125</v>
      </c>
      <c r="AH20" s="2">
        <v>-0.15899672975888279</v>
      </c>
      <c r="AI20" s="2">
        <f t="shared" si="14"/>
        <v>1631.8359375</v>
      </c>
      <c r="AJ20" s="2">
        <v>3.79309354061661E-2</v>
      </c>
      <c r="AK20" s="2">
        <f t="shared" si="9"/>
        <v>1631.6909790039062</v>
      </c>
      <c r="AL20" s="2">
        <v>-6.0534744280175801E-2</v>
      </c>
      <c r="AM20" s="2">
        <f t="shared" si="10"/>
        <v>9.624826377338188E-3</v>
      </c>
      <c r="AN20" s="2">
        <f t="shared" si="11"/>
        <v>-2.2961394751201312E-3</v>
      </c>
      <c r="AO20" s="2">
        <f t="shared" si="12"/>
        <v>0.2899169921875</v>
      </c>
    </row>
    <row r="21" spans="2:41" x14ac:dyDescent="0.2">
      <c r="B21" s="6" t="s">
        <v>120</v>
      </c>
      <c r="C21" s="17">
        <v>0.75</v>
      </c>
      <c r="F21" s="9" t="s">
        <v>148</v>
      </c>
      <c r="G21" s="6">
        <f>O21/ ($C$19*$C$10/PI())</f>
        <v>7.7128497569346255E-2</v>
      </c>
      <c r="J21" s="14" t="s">
        <v>63</v>
      </c>
      <c r="K21" s="6">
        <f xml:space="preserve"> $C$55 * 0</f>
        <v>0</v>
      </c>
      <c r="L21" s="6" t="s">
        <v>7</v>
      </c>
      <c r="N21" s="6" t="s">
        <v>29</v>
      </c>
      <c r="O21" s="6">
        <f xml:space="preserve"> O18 / ($C$47 * PI() * $C$9^2 * O19^2 * $C$9^2)</f>
        <v>4.7358422372570149E-3</v>
      </c>
      <c r="U21" s="2">
        <v>17</v>
      </c>
      <c r="V21" s="2">
        <f t="shared" si="7"/>
        <v>6.993865966796875E-2</v>
      </c>
      <c r="W21" s="2">
        <f t="shared" si="0"/>
        <v>5.3932604830997377E-6</v>
      </c>
      <c r="X21" s="2">
        <f t="shared" si="8"/>
        <v>6.99462890625E-2</v>
      </c>
      <c r="Y21" s="2">
        <f t="shared" si="1"/>
        <v>-2.2460925845624313E-6</v>
      </c>
      <c r="Z21" s="2">
        <f t="shared" si="3"/>
        <v>6.9942474365234375E-2</v>
      </c>
      <c r="AA21" s="2">
        <f t="shared" si="2"/>
        <v>1.5735840771663456E-6</v>
      </c>
      <c r="AB21" s="2">
        <f t="shared" si="4"/>
        <v>8.4867488202162199E-12</v>
      </c>
      <c r="AC21" s="2">
        <f t="shared" si="5"/>
        <v>-3.5344155269088457E-12</v>
      </c>
      <c r="AD21" s="2">
        <f t="shared" si="6"/>
        <v>7.62939453125E-6</v>
      </c>
      <c r="AF21" s="2">
        <v>17</v>
      </c>
      <c r="AG21" s="2">
        <f t="shared" si="13"/>
        <v>1631.6909790039062</v>
      </c>
      <c r="AH21" s="2">
        <v>-6.0534744280175801E-2</v>
      </c>
      <c r="AI21" s="2">
        <f t="shared" si="14"/>
        <v>1631.8359375</v>
      </c>
      <c r="AJ21" s="2">
        <v>3.79309354061661E-2</v>
      </c>
      <c r="AK21" s="2">
        <f t="shared" si="9"/>
        <v>1631.7634582519531</v>
      </c>
      <c r="AL21" s="2">
        <v>-1.1302366209747561E-2</v>
      </c>
      <c r="AM21" s="2">
        <f t="shared" si="10"/>
        <v>6.8418584826796837E-4</v>
      </c>
      <c r="AN21" s="2">
        <f t="shared" si="11"/>
        <v>-4.287093226387691E-4</v>
      </c>
      <c r="AO21" s="2">
        <f t="shared" si="12"/>
        <v>0.14495849609375</v>
      </c>
    </row>
    <row r="22" spans="2:41" x14ac:dyDescent="0.2">
      <c r="B22" s="6" t="s">
        <v>155</v>
      </c>
      <c r="C22" s="17">
        <v>50</v>
      </c>
      <c r="D22" s="6" t="s">
        <v>58</v>
      </c>
      <c r="F22" s="26" t="s">
        <v>132</v>
      </c>
      <c r="G22" s="25">
        <f>$C$18 * G19</f>
        <v>219.13490920749248</v>
      </c>
      <c r="H22" s="25" t="s">
        <v>101</v>
      </c>
      <c r="J22" s="14" t="s">
        <v>112</v>
      </c>
      <c r="K22" s="6">
        <f>$C$55*(0.14*$G$12*1000/745.7)*0.453592</f>
        <v>11.291084931581976</v>
      </c>
      <c r="L22" s="6" t="s">
        <v>7</v>
      </c>
      <c r="N22" s="6" t="s">
        <v>1</v>
      </c>
      <c r="O22" s="17">
        <v>8.8999999999999999E-3</v>
      </c>
      <c r="U22" s="2">
        <v>18</v>
      </c>
      <c r="V22" s="2">
        <f t="shared" si="7"/>
        <v>6.9942474365234375E-2</v>
      </c>
      <c r="W22" s="2">
        <f t="shared" si="0"/>
        <v>1.5735840771663456E-6</v>
      </c>
      <c r="X22" s="2">
        <f t="shared" si="8"/>
        <v>6.99462890625E-2</v>
      </c>
      <c r="Y22" s="2">
        <f t="shared" si="1"/>
        <v>-2.2460925845624313E-6</v>
      </c>
      <c r="Z22" s="2">
        <f t="shared" si="3"/>
        <v>6.9944381713867188E-2</v>
      </c>
      <c r="AA22" s="2">
        <f t="shared" si="2"/>
        <v>-3.3625422171668085E-7</v>
      </c>
      <c r="AB22" s="2">
        <f t="shared" si="4"/>
        <v>-5.2912428917333097E-13</v>
      </c>
      <c r="AC22" s="2">
        <f t="shared" si="5"/>
        <v>7.5525811392564849E-13</v>
      </c>
      <c r="AD22" s="2">
        <f t="shared" si="6"/>
        <v>3.814697265625E-6</v>
      </c>
      <c r="AF22" s="2">
        <v>18</v>
      </c>
      <c r="AG22" s="2">
        <f t="shared" si="13"/>
        <v>1631.7634582519531</v>
      </c>
      <c r="AH22" s="2">
        <v>-1.1302366209747561E-2</v>
      </c>
      <c r="AI22" s="2">
        <f t="shared" si="14"/>
        <v>1631.8359375</v>
      </c>
      <c r="AJ22" s="2">
        <v>3.79309354061661E-2</v>
      </c>
      <c r="AK22" s="2">
        <f t="shared" si="9"/>
        <v>1631.7996978759766</v>
      </c>
      <c r="AL22" s="2">
        <v>1.3314169155592026E-2</v>
      </c>
      <c r="AM22" s="2">
        <f t="shared" si="10"/>
        <v>-1.5048161557502652E-4</v>
      </c>
      <c r="AN22" s="2">
        <f t="shared" si="11"/>
        <v>5.0501889022753024E-4</v>
      </c>
      <c r="AO22" s="2">
        <f t="shared" si="12"/>
        <v>7.2479248046875E-2</v>
      </c>
    </row>
    <row r="23" spans="2:41" x14ac:dyDescent="0.2">
      <c r="J23" s="15" t="s">
        <v>64</v>
      </c>
      <c r="K23" s="6">
        <f xml:space="preserve"> $C$56 * (0.0268 * $C$5)</f>
        <v>34.985451656093083</v>
      </c>
      <c r="L23" s="6" t="s">
        <v>7</v>
      </c>
      <c r="N23" s="6" t="s">
        <v>30</v>
      </c>
      <c r="O23" s="6">
        <f xml:space="preserve"> ($C$20 * O22 / 8) * (1 + 4.65 *O20^ 2) * ( PI() * $C$47 * O19^3 *$C$9^ 5)</f>
        <v>16719.011636984684</v>
      </c>
      <c r="P23" s="6" t="s">
        <v>18</v>
      </c>
      <c r="U23" s="2">
        <v>19</v>
      </c>
      <c r="V23" s="2">
        <f t="shared" si="7"/>
        <v>6.9942474365234375E-2</v>
      </c>
      <c r="W23" s="2">
        <f t="shared" si="0"/>
        <v>1.5735840771663456E-6</v>
      </c>
      <c r="X23" s="2">
        <f t="shared" si="8"/>
        <v>6.9944381713867188E-2</v>
      </c>
      <c r="Y23" s="2">
        <f t="shared" si="1"/>
        <v>-3.3625422171668085E-7</v>
      </c>
      <c r="Z23" s="2">
        <f t="shared" si="3"/>
        <v>6.9943428039550781E-2</v>
      </c>
      <c r="AA23" s="2">
        <f t="shared" si="2"/>
        <v>6.1866493571149928E-7</v>
      </c>
      <c r="AB23" s="2">
        <f t="shared" si="4"/>
        <v>9.735212919367561E-13</v>
      </c>
      <c r="AC23" s="2">
        <f t="shared" si="5"/>
        <v>-2.0802869646107058E-13</v>
      </c>
      <c r="AD23" s="2">
        <f t="shared" si="6"/>
        <v>1.9073486328125E-6</v>
      </c>
      <c r="AF23" s="2">
        <v>19</v>
      </c>
      <c r="AG23" s="2">
        <f t="shared" si="13"/>
        <v>1631.7634582519531</v>
      </c>
      <c r="AH23" s="2">
        <v>-1.1302366209747561E-2</v>
      </c>
      <c r="AI23" s="2">
        <f t="shared" si="14"/>
        <v>1631.7996978759766</v>
      </c>
      <c r="AJ23" s="2">
        <v>1.3314169155592026E-2</v>
      </c>
      <c r="AK23" s="2">
        <f t="shared" si="9"/>
        <v>1631.7815780639648</v>
      </c>
      <c r="AL23" s="2">
        <v>1.0058726127226691E-3</v>
      </c>
      <c r="AM23" s="2">
        <f t="shared" si="10"/>
        <v>-1.136874062934719E-5</v>
      </c>
      <c r="AN23" s="2">
        <f t="shared" si="11"/>
        <v>1.3392358114766924E-5</v>
      </c>
      <c r="AO23" s="2">
        <f t="shared" si="12"/>
        <v>3.62396240234375E-2</v>
      </c>
    </row>
    <row r="24" spans="2:41" x14ac:dyDescent="0.2">
      <c r="B24" s="31" t="s">
        <v>104</v>
      </c>
      <c r="C24" s="31"/>
      <c r="D24" s="31"/>
      <c r="F24" s="32" t="s">
        <v>81</v>
      </c>
      <c r="G24" s="33"/>
      <c r="H24" s="33"/>
      <c r="J24" s="15" t="s">
        <v>65</v>
      </c>
      <c r="K24" s="6">
        <f xml:space="preserve"> $C$56 * (11.5 * ($C$5*2.20462/1000)^0.4 * 0.453592)</f>
        <v>6.9638882348323268</v>
      </c>
      <c r="L24" s="6" t="s">
        <v>7</v>
      </c>
      <c r="N24" s="6" t="s">
        <v>31</v>
      </c>
      <c r="O24" s="18">
        <f>Z34</f>
        <v>6.9944045972079039E-2</v>
      </c>
      <c r="U24" s="2">
        <v>20</v>
      </c>
      <c r="V24" s="2">
        <f t="shared" si="7"/>
        <v>6.9943428039550781E-2</v>
      </c>
      <c r="W24" s="2">
        <f t="shared" si="0"/>
        <v>6.1866493571149928E-7</v>
      </c>
      <c r="X24" s="2">
        <f t="shared" si="8"/>
        <v>6.9944381713867188E-2</v>
      </c>
      <c r="Y24" s="2">
        <f t="shared" si="1"/>
        <v>-3.3625422171668085E-7</v>
      </c>
      <c r="Z24" s="2">
        <f t="shared" si="3"/>
        <v>6.9943904876708984E-2</v>
      </c>
      <c r="AA24" s="2">
        <f t="shared" si="2"/>
        <v>1.4120535898887177E-7</v>
      </c>
      <c r="AB24" s="2">
        <f t="shared" si="4"/>
        <v>8.7358804340969532E-14</v>
      </c>
      <c r="AC24" s="2">
        <f t="shared" si="5"/>
        <v>-4.7480898089027597E-14</v>
      </c>
      <c r="AD24" s="2">
        <f t="shared" si="6"/>
        <v>9.5367431640625E-7</v>
      </c>
      <c r="AF24" s="2">
        <v>20</v>
      </c>
      <c r="AG24" s="2">
        <f t="shared" si="13"/>
        <v>1631.7634582519531</v>
      </c>
      <c r="AH24" s="2">
        <v>-1.1302366209747561E-2</v>
      </c>
      <c r="AI24" s="2">
        <f t="shared" si="14"/>
        <v>1631.7815780639648</v>
      </c>
      <c r="AJ24" s="2">
        <v>1.0058726127226691E-3</v>
      </c>
      <c r="AK24" s="2">
        <f t="shared" si="9"/>
        <v>1631.772518157959</v>
      </c>
      <c r="AL24" s="2">
        <v>-5.1460208353546477E-3</v>
      </c>
      <c r="AM24" s="2">
        <f t="shared" si="10"/>
        <v>5.8162212004169289E-5</v>
      </c>
      <c r="AN24" s="2">
        <f t="shared" si="11"/>
        <v>-5.1762414227834718E-6</v>
      </c>
      <c r="AO24" s="2">
        <f t="shared" si="12"/>
        <v>1.811981201171875E-2</v>
      </c>
    </row>
    <row r="25" spans="2:41" x14ac:dyDescent="0.2">
      <c r="B25" t="s">
        <v>105</v>
      </c>
      <c r="C25" s="1">
        <v>6</v>
      </c>
      <c r="D25"/>
      <c r="F25" t="s">
        <v>85</v>
      </c>
      <c r="G25" s="1">
        <f>300*0.3048/60</f>
        <v>1.524</v>
      </c>
      <c r="H25" t="s">
        <v>10</v>
      </c>
      <c r="J25" s="15" t="s">
        <v>66</v>
      </c>
      <c r="K25" s="6">
        <f xml:space="preserve"> $C$56 * (8 * ($C$5/1000))</f>
        <v>10.443418404803905</v>
      </c>
      <c r="L25" s="6" t="s">
        <v>7</v>
      </c>
      <c r="N25" s="6" t="s">
        <v>32</v>
      </c>
      <c r="O25" s="6">
        <f xml:space="preserve"> O19 * $C$9 * O24 - $C$8 * SIN(O17/180*PI())</f>
        <v>0.62962863071196473</v>
      </c>
      <c r="P25" s="6" t="s">
        <v>10</v>
      </c>
      <c r="U25" s="2">
        <v>21</v>
      </c>
      <c r="V25" s="2">
        <f t="shared" si="7"/>
        <v>6.9943904876708984E-2</v>
      </c>
      <c r="W25" s="2">
        <f t="shared" si="0"/>
        <v>1.4120535898887177E-7</v>
      </c>
      <c r="X25" s="2">
        <f t="shared" si="8"/>
        <v>6.9944381713867188E-2</v>
      </c>
      <c r="Y25" s="2">
        <f t="shared" si="1"/>
        <v>-3.3625422171668085E-7</v>
      </c>
      <c r="Z25" s="2">
        <f t="shared" si="3"/>
        <v>6.9944143295288086E-2</v>
      </c>
      <c r="AA25" s="2">
        <f t="shared" si="2"/>
        <v>-9.7524430864304179E-8</v>
      </c>
      <c r="AB25" s="2">
        <f t="shared" si="4"/>
        <v>-1.3770972270379478E-14</v>
      </c>
      <c r="AC25" s="2">
        <f t="shared" si="5"/>
        <v>3.279300159863885E-14</v>
      </c>
      <c r="AD25" s="2">
        <f t="shared" si="6"/>
        <v>4.76837158203125E-7</v>
      </c>
      <c r="AF25" s="2">
        <v>21</v>
      </c>
      <c r="AG25" s="2">
        <f t="shared" si="13"/>
        <v>1631.772518157959</v>
      </c>
      <c r="AH25" s="2">
        <v>-5.1460208353546477E-3</v>
      </c>
      <c r="AI25" s="2">
        <f t="shared" si="14"/>
        <v>1631.7815780639648</v>
      </c>
      <c r="AJ25" s="2">
        <v>1.0058726127226691E-3</v>
      </c>
      <c r="AK25" s="2">
        <f t="shared" si="9"/>
        <v>1631.7770481109619</v>
      </c>
      <c r="AL25" s="2">
        <v>-2.0723090970022895E-3</v>
      </c>
      <c r="AM25" s="2">
        <f t="shared" si="10"/>
        <v>1.0664145790468758E-5</v>
      </c>
      <c r="AN25" s="2">
        <f t="shared" si="11"/>
        <v>-2.0844789657706483E-6</v>
      </c>
      <c r="AO25" s="2">
        <f t="shared" si="12"/>
        <v>9.059906005859375E-3</v>
      </c>
    </row>
    <row r="26" spans="2:41" x14ac:dyDescent="0.2">
      <c r="B26" t="s">
        <v>106</v>
      </c>
      <c r="C26" s="1">
        <v>6.4008000000000003</v>
      </c>
      <c r="D26" t="s">
        <v>8</v>
      </c>
      <c r="F26" t="s">
        <v>91</v>
      </c>
      <c r="G26" s="1">
        <f>1000*0.3048</f>
        <v>304.8</v>
      </c>
      <c r="H26" t="s">
        <v>8</v>
      </c>
      <c r="J26" s="15" t="s">
        <v>67</v>
      </c>
      <c r="K26" s="6">
        <f xml:space="preserve"> $C$56 * (13 * ($C$5*2.20462/1000)^1.3 * 0.453592)</f>
        <v>24.916905583575531</v>
      </c>
      <c r="L26" s="6" t="s">
        <v>7</v>
      </c>
      <c r="N26" s="6" t="s">
        <v>33</v>
      </c>
      <c r="O26" s="6">
        <f xml:space="preserve"> 1/$C$21 - O23 * SQRT( (2*$C$47*PI()*$C$9^2) / O18^3 )</f>
        <v>0.69562508053931604</v>
      </c>
      <c r="U26" s="2">
        <v>22</v>
      </c>
      <c r="V26" s="2">
        <f t="shared" si="7"/>
        <v>6.9943904876708984E-2</v>
      </c>
      <c r="W26" s="2">
        <f t="shared" si="0"/>
        <v>1.4120535898887177E-7</v>
      </c>
      <c r="X26" s="2">
        <f t="shared" si="8"/>
        <v>6.9944143295288086E-2</v>
      </c>
      <c r="Y26" s="2">
        <f t="shared" si="1"/>
        <v>-9.7524430864304179E-8</v>
      </c>
      <c r="Z26" s="2">
        <f t="shared" si="3"/>
        <v>6.9944024085998535E-2</v>
      </c>
      <c r="AA26" s="2">
        <f t="shared" si="2"/>
        <v>2.1840464187183883E-8</v>
      </c>
      <c r="AB26" s="2">
        <f t="shared" si="4"/>
        <v>3.0839905860348977E-15</v>
      </c>
      <c r="AC26" s="2">
        <f t="shared" si="5"/>
        <v>-2.1299788396673261E-15</v>
      </c>
      <c r="AD26" s="2">
        <f t="shared" si="6"/>
        <v>2.384185791015625E-7</v>
      </c>
      <c r="AF26" s="2">
        <v>22</v>
      </c>
      <c r="AG26" s="2">
        <f t="shared" si="13"/>
        <v>1631.7770481109619</v>
      </c>
      <c r="AH26" s="2">
        <v>-2.0723090970022895E-3</v>
      </c>
      <c r="AI26" s="2">
        <f t="shared" si="14"/>
        <v>1631.7815780639648</v>
      </c>
      <c r="AJ26" s="2">
        <v>1.0058726127226691E-3</v>
      </c>
      <c r="AK26" s="2">
        <f t="shared" si="9"/>
        <v>1631.7793130874634</v>
      </c>
      <c r="AL26" s="2">
        <v>-5.3098550642971531E-4</v>
      </c>
      <c r="AM26" s="2">
        <f t="shared" si="10"/>
        <v>1.1003660953506668E-6</v>
      </c>
      <c r="AN26" s="2">
        <f t="shared" si="11"/>
        <v>-5.3410377867032741E-7</v>
      </c>
      <c r="AO26" s="2">
        <f t="shared" si="12"/>
        <v>4.5299530029296875E-3</v>
      </c>
    </row>
    <row r="27" spans="2:41" x14ac:dyDescent="0.2">
      <c r="B27" t="s">
        <v>107</v>
      </c>
      <c r="C27" s="1">
        <v>2.0560284000000002</v>
      </c>
      <c r="D27" t="s">
        <v>8</v>
      </c>
      <c r="F27" t="s">
        <v>90</v>
      </c>
      <c r="G27" s="8">
        <f>$G$26/$G$25</f>
        <v>200</v>
      </c>
      <c r="H27" t="s">
        <v>13</v>
      </c>
      <c r="J27" s="10" t="s">
        <v>54</v>
      </c>
      <c r="K27" s="10">
        <f>$C$5 - $C$13 - SUM(K13:K26)</f>
        <v>2.7368479966298764E-3</v>
      </c>
      <c r="L27" s="10" t="s">
        <v>7</v>
      </c>
      <c r="N27" s="6" t="s">
        <v>34</v>
      </c>
      <c r="O27" s="17">
        <v>1.1499999999999999</v>
      </c>
      <c r="U27" s="2">
        <v>23</v>
      </c>
      <c r="V27" s="2">
        <f t="shared" si="7"/>
        <v>6.9944024085998535E-2</v>
      </c>
      <c r="W27" s="2">
        <f t="shared" si="0"/>
        <v>2.1840464187183883E-8</v>
      </c>
      <c r="X27" s="2">
        <f t="shared" si="8"/>
        <v>6.9944143295288086E-2</v>
      </c>
      <c r="Y27" s="2">
        <f t="shared" si="1"/>
        <v>-9.7524430864304179E-8</v>
      </c>
      <c r="Z27" s="2">
        <f t="shared" si="3"/>
        <v>6.9944083690643311E-2</v>
      </c>
      <c r="AA27" s="2">
        <f t="shared" si="2"/>
        <v>-3.7841983310804572E-8</v>
      </c>
      <c r="AB27" s="2">
        <f t="shared" si="4"/>
        <v>-8.2648648127163746E-16</v>
      </c>
      <c r="AC27" s="2">
        <f t="shared" si="5"/>
        <v>3.6905178851627131E-15</v>
      </c>
      <c r="AD27" s="2">
        <f t="shared" si="6"/>
        <v>1.1920928955078125E-7</v>
      </c>
      <c r="AF27" s="2">
        <v>23</v>
      </c>
      <c r="AG27" s="2">
        <f t="shared" si="13"/>
        <v>1631.7793130874634</v>
      </c>
      <c r="AH27" s="2">
        <v>-5.3098550642971531E-4</v>
      </c>
      <c r="AI27" s="2">
        <f t="shared" si="14"/>
        <v>1631.7815780639648</v>
      </c>
      <c r="AJ27" s="2">
        <v>1.0058726127226691E-3</v>
      </c>
      <c r="AK27" s="2">
        <f t="shared" si="9"/>
        <v>1631.7804455757141</v>
      </c>
      <c r="AL27" s="2">
        <v>2.3744344048282073E-4</v>
      </c>
      <c r="AM27" s="2">
        <f t="shared" si="10"/>
        <v>-1.2607902549318452E-7</v>
      </c>
      <c r="AN27" s="2">
        <f t="shared" si="11"/>
        <v>2.388378538523145E-7</v>
      </c>
      <c r="AO27" s="2">
        <f t="shared" si="12"/>
        <v>2.2649765014648438E-3</v>
      </c>
    </row>
    <row r="28" spans="2:41" x14ac:dyDescent="0.2">
      <c r="F28" t="s">
        <v>19</v>
      </c>
      <c r="G28" s="6">
        <f xml:space="preserve"> $C$5 * $C$44 / $C$18</f>
        <v>3998.4794341110678</v>
      </c>
      <c r="H28" t="s">
        <v>20</v>
      </c>
      <c r="J28" s="6" t="s">
        <v>55</v>
      </c>
      <c r="K28" s="4" t="str">
        <f>IF(ABS(K27)&lt;1, "TRUE", "FALSE")</f>
        <v>TRUE</v>
      </c>
      <c r="N28" s="6" t="s">
        <v>35</v>
      </c>
      <c r="O28" s="6">
        <f xml:space="preserve"> 1/$C$53 * LN( EXP($C$53 * O26) + EXP($C$53 * O27) )</f>
        <v>1.150000040077708</v>
      </c>
      <c r="U28" s="2">
        <v>24</v>
      </c>
      <c r="V28" s="2">
        <f t="shared" si="7"/>
        <v>6.9944024085998535E-2</v>
      </c>
      <c r="W28" s="2">
        <f t="shared" si="0"/>
        <v>2.1840464187183883E-8</v>
      </c>
      <c r="X28" s="2">
        <f t="shared" si="8"/>
        <v>6.9944083690643311E-2</v>
      </c>
      <c r="Y28" s="2">
        <f t="shared" si="1"/>
        <v>-3.7841983310804572E-8</v>
      </c>
      <c r="Z28" s="2">
        <f t="shared" si="3"/>
        <v>6.9944053888320923E-2</v>
      </c>
      <c r="AA28" s="2">
        <f t="shared" si="2"/>
        <v>-8.0007595548714505E-9</v>
      </c>
      <c r="AB28" s="2">
        <f t="shared" si="4"/>
        <v>-1.7474030252843918E-16</v>
      </c>
      <c r="AC28" s="2">
        <f t="shared" si="5"/>
        <v>3.0276460954920565E-16</v>
      </c>
      <c r="AD28" s="2">
        <f t="shared" si="6"/>
        <v>5.9604644775390625E-8</v>
      </c>
      <c r="AF28" s="2">
        <v>24</v>
      </c>
      <c r="AG28" s="2">
        <f t="shared" si="13"/>
        <v>1631.7793130874634</v>
      </c>
      <c r="AH28" s="2">
        <v>-5.3098550642971531E-4</v>
      </c>
      <c r="AI28" s="2">
        <f t="shared" si="14"/>
        <v>1631.7804455757141</v>
      </c>
      <c r="AJ28" s="2">
        <v>2.3744344048282073E-4</v>
      </c>
      <c r="AK28" s="2">
        <f t="shared" si="9"/>
        <v>1631.7798793315887</v>
      </c>
      <c r="AL28" s="2">
        <v>-1.4677106082672253E-4</v>
      </c>
      <c r="AM28" s="2">
        <f t="shared" si="10"/>
        <v>7.7933306062303812E-8</v>
      </c>
      <c r="AN28" s="2">
        <f t="shared" si="11"/>
        <v>-3.4849825646010355E-8</v>
      </c>
      <c r="AO28" s="2">
        <f t="shared" si="12"/>
        <v>1.1324882507324219E-3</v>
      </c>
    </row>
    <row r="29" spans="2:41" x14ac:dyDescent="0.2">
      <c r="B29" s="31" t="s">
        <v>108</v>
      </c>
      <c r="C29" s="31"/>
      <c r="D29" s="31"/>
      <c r="F29" t="s">
        <v>97</v>
      </c>
      <c r="G29" s="6">
        <f>G31/$C$18</f>
        <v>33.995502619756358</v>
      </c>
      <c r="H29" t="s">
        <v>18</v>
      </c>
      <c r="U29" s="2">
        <v>25</v>
      </c>
      <c r="V29" s="2">
        <f t="shared" si="7"/>
        <v>6.9944024085998535E-2</v>
      </c>
      <c r="W29" s="2">
        <f t="shared" si="0"/>
        <v>2.1840464187183883E-8</v>
      </c>
      <c r="X29" s="2">
        <f t="shared" si="8"/>
        <v>6.9944053888320923E-2</v>
      </c>
      <c r="Y29" s="2">
        <f t="shared" si="1"/>
        <v>-8.0007595548714505E-9</v>
      </c>
      <c r="Z29" s="2">
        <f t="shared" si="3"/>
        <v>6.9944038987159729E-2</v>
      </c>
      <c r="AA29" s="2">
        <f t="shared" si="2"/>
        <v>6.9198523161562164E-9</v>
      </c>
      <c r="AB29" s="2">
        <f t="shared" si="4"/>
        <v>1.5113278669161128E-16</v>
      </c>
      <c r="AC29" s="2">
        <f t="shared" si="5"/>
        <v>-5.5364074536786184E-17</v>
      </c>
      <c r="AD29" s="2">
        <f t="shared" si="6"/>
        <v>2.9802322387695312E-8</v>
      </c>
      <c r="AF29" s="2">
        <v>25</v>
      </c>
      <c r="AG29" s="2">
        <f t="shared" si="13"/>
        <v>1631.7798793315887</v>
      </c>
      <c r="AH29" s="2">
        <v>-1.4677106082672253E-4</v>
      </c>
      <c r="AI29" s="2">
        <f t="shared" si="14"/>
        <v>1631.7804455757141</v>
      </c>
      <c r="AJ29" s="2">
        <v>2.3744344048282073E-4</v>
      </c>
      <c r="AK29" s="2">
        <f t="shared" si="9"/>
        <v>1631.7801624536514</v>
      </c>
      <c r="AL29" s="2">
        <v>4.3102994141008821E-5</v>
      </c>
      <c r="AM29" s="2">
        <f t="shared" si="10"/>
        <v>-6.3262721748838706E-9</v>
      </c>
      <c r="AN29" s="2">
        <f t="shared" si="11"/>
        <v>1.0234523223952E-8</v>
      </c>
      <c r="AO29" s="2">
        <f t="shared" si="12"/>
        <v>5.6624412536621094E-4</v>
      </c>
    </row>
    <row r="30" spans="2:41" x14ac:dyDescent="0.2">
      <c r="B30" s="6" t="s">
        <v>116</v>
      </c>
      <c r="C30" s="21" t="s">
        <v>133</v>
      </c>
      <c r="F30" t="s">
        <v>146</v>
      </c>
      <c r="G30" s="6">
        <f xml:space="preserve"> (G28/$C$44*1000) / (G29*1000)</f>
        <v>12.00000000001695</v>
      </c>
      <c r="H30" s="6" t="s">
        <v>147</v>
      </c>
      <c r="J30" s="29" t="s">
        <v>111</v>
      </c>
      <c r="K30" s="29"/>
      <c r="L30" s="29"/>
      <c r="U30" s="2">
        <v>26</v>
      </c>
      <c r="V30" s="2">
        <f t="shared" si="7"/>
        <v>6.9944038987159729E-2</v>
      </c>
      <c r="W30" s="2">
        <f t="shared" si="0"/>
        <v>6.9198523161562164E-9</v>
      </c>
      <c r="X30" s="2">
        <f t="shared" si="8"/>
        <v>6.9944053888320923E-2</v>
      </c>
      <c r="Y30" s="2">
        <f t="shared" si="1"/>
        <v>-8.0007595548714505E-9</v>
      </c>
      <c r="Z30" s="2">
        <f t="shared" si="3"/>
        <v>6.9944046437740326E-2</v>
      </c>
      <c r="AA30" s="2">
        <f t="shared" si="2"/>
        <v>-5.4045361241872314E-10</v>
      </c>
      <c r="AB30" s="2">
        <f t="shared" si="4"/>
        <v>-3.7398591816706956E-18</v>
      </c>
      <c r="AC30" s="2">
        <f t="shared" si="5"/>
        <v>4.3240394035238908E-18</v>
      </c>
      <c r="AD30" s="2">
        <f t="shared" si="6"/>
        <v>1.4901161193847656E-8</v>
      </c>
      <c r="AF30" s="2">
        <v>26</v>
      </c>
      <c r="AG30" s="2">
        <f t="shared" si="13"/>
        <v>1631.7798793315887</v>
      </c>
      <c r="AH30" s="2">
        <v>-1.4677106082672253E-4</v>
      </c>
      <c r="AI30" s="2">
        <f t="shared" si="14"/>
        <v>1631.7801624536514</v>
      </c>
      <c r="AJ30" s="2">
        <v>4.3102994141008821E-5</v>
      </c>
      <c r="AK30" s="2">
        <f t="shared" si="9"/>
        <v>1631.7800208926201</v>
      </c>
      <c r="AL30" s="2">
        <v>-5.1834035048159421E-5</v>
      </c>
      <c r="AM30" s="2">
        <f t="shared" si="10"/>
        <v>7.6077363109478741E-9</v>
      </c>
      <c r="AN30" s="2">
        <f t="shared" si="11"/>
        <v>-2.2342021089856616E-9</v>
      </c>
      <c r="AO30" s="2">
        <f t="shared" si="12"/>
        <v>2.8312206268310547E-4</v>
      </c>
    </row>
    <row r="31" spans="2:41" x14ac:dyDescent="0.2">
      <c r="B31" s="6" t="s">
        <v>117</v>
      </c>
      <c r="C31" s="6">
        <f>IF(C30="wheeled",0.0325,0.014)</f>
        <v>1.4E-2</v>
      </c>
      <c r="F31" s="24" t="s">
        <v>83</v>
      </c>
      <c r="G31" s="25">
        <f xml:space="preserve"> 1/1000 * IF($G$25&gt;= 2*SQRT(($C$5*$C$44)/(2*$C$41*$C$18*PI()*$C$9*$C$9)), ($C$5*$C$44)/$C$21 * ( ($G$25/2) - SQRT( ($G$25/2)^2 - ($C$5*$C$44)/(2*$C$41*$C$18*PI()*$C$9*$C$9 ) ) ), 1/$C$21 * SQRT(($C$5*$C$44)^3/(2*$C$41*$C$18*PI()*$C$9*$C$9)) )</f>
        <v>135.98201047902543</v>
      </c>
      <c r="H31" s="24" t="s">
        <v>101</v>
      </c>
      <c r="J31" s="6" t="s">
        <v>57</v>
      </c>
      <c r="K31" s="6">
        <f>ROUND($C$13,2)</f>
        <v>600</v>
      </c>
      <c r="L31" s="6" t="s">
        <v>7</v>
      </c>
      <c r="U31" s="2">
        <v>27</v>
      </c>
      <c r="V31" s="2">
        <f t="shared" si="7"/>
        <v>6.9944038987159729E-2</v>
      </c>
      <c r="W31" s="2">
        <f t="shared" si="0"/>
        <v>6.9198523161562164E-9</v>
      </c>
      <c r="X31" s="2">
        <f t="shared" si="8"/>
        <v>6.9944046437740326E-2</v>
      </c>
      <c r="Y31" s="2">
        <f t="shared" si="1"/>
        <v>-5.4045361241872314E-10</v>
      </c>
      <c r="Z31" s="2">
        <f t="shared" si="3"/>
        <v>6.9944042712450027E-2</v>
      </c>
      <c r="AA31" s="2">
        <f t="shared" si="2"/>
        <v>3.1896993518687466E-9</v>
      </c>
      <c r="AB31" s="2">
        <f t="shared" si="4"/>
        <v>2.2072248447870929E-17</v>
      </c>
      <c r="AC31" s="2">
        <f t="shared" si="5"/>
        <v>-1.723884537247124E-18</v>
      </c>
      <c r="AD31" s="2">
        <f t="shared" si="6"/>
        <v>7.4505805969238281E-9</v>
      </c>
      <c r="AF31" s="2">
        <v>27</v>
      </c>
      <c r="AG31" s="2">
        <f t="shared" si="13"/>
        <v>1631.7800208926201</v>
      </c>
      <c r="AH31" s="2">
        <v>-5.1834035048159421E-5</v>
      </c>
      <c r="AI31" s="2">
        <f t="shared" si="14"/>
        <v>1631.7801624536514</v>
      </c>
      <c r="AJ31" s="2">
        <v>4.3102994141008821E-5</v>
      </c>
      <c r="AK31" s="2">
        <f t="shared" si="9"/>
        <v>1631.7800916731358</v>
      </c>
      <c r="AL31" s="2">
        <v>-4.3655206809489755E-6</v>
      </c>
      <c r="AM31" s="2">
        <f t="shared" si="10"/>
        <v>2.2628255197977398E-10</v>
      </c>
      <c r="AN31" s="2">
        <f t="shared" si="11"/>
        <v>-1.8816701233339653E-10</v>
      </c>
      <c r="AO31" s="2">
        <f t="shared" si="12"/>
        <v>1.4156103134155273E-4</v>
      </c>
    </row>
    <row r="32" spans="2:41" x14ac:dyDescent="0.2">
      <c r="B32" t="s">
        <v>134</v>
      </c>
      <c r="C32" s="1">
        <v>2.8540374719999999</v>
      </c>
      <c r="D32" t="s">
        <v>8</v>
      </c>
      <c r="J32" s="11" t="s">
        <v>52</v>
      </c>
      <c r="K32" s="6">
        <f>ROUND(K13,2)</f>
        <v>365.08</v>
      </c>
      <c r="L32" s="6" t="s">
        <v>7</v>
      </c>
      <c r="U32" s="2">
        <v>28</v>
      </c>
      <c r="V32" s="2">
        <f t="shared" si="7"/>
        <v>6.9944042712450027E-2</v>
      </c>
      <c r="W32" s="2">
        <f t="shared" si="0"/>
        <v>3.1896993518687466E-9</v>
      </c>
      <c r="X32" s="2">
        <f t="shared" si="8"/>
        <v>6.9944046437740326E-2</v>
      </c>
      <c r="Y32" s="2">
        <f t="shared" si="1"/>
        <v>-5.4045361241872314E-10</v>
      </c>
      <c r="Z32" s="2">
        <f t="shared" si="3"/>
        <v>6.9944044575095177E-2</v>
      </c>
      <c r="AA32" s="2">
        <f t="shared" si="2"/>
        <v>1.3246228697250118E-9</v>
      </c>
      <c r="AB32" s="2">
        <f t="shared" si="4"/>
        <v>4.225148709032389E-18</v>
      </c>
      <c r="AC32" s="2">
        <f t="shared" si="5"/>
        <v>-7.158972150353383E-19</v>
      </c>
      <c r="AD32" s="2">
        <f t="shared" si="6"/>
        <v>3.7252902984619141E-9</v>
      </c>
      <c r="AF32" s="2">
        <v>28</v>
      </c>
      <c r="AG32" s="2">
        <f t="shared" si="13"/>
        <v>1631.7800916731358</v>
      </c>
      <c r="AH32" s="2">
        <v>-4.3655206809489755E-6</v>
      </c>
      <c r="AI32" s="2">
        <f t="shared" si="14"/>
        <v>1631.7801624536514</v>
      </c>
      <c r="AJ32" s="2">
        <v>4.3102994141008821E-5</v>
      </c>
      <c r="AK32" s="2">
        <f t="shared" si="9"/>
        <v>1631.7801270633936</v>
      </c>
      <c r="AL32" s="2">
        <v>1.9368736502656247E-5</v>
      </c>
      <c r="AM32" s="2">
        <f t="shared" si="10"/>
        <v>-8.455461976619718E-11</v>
      </c>
      <c r="AN32" s="2">
        <f t="shared" si="11"/>
        <v>8.3485053599273592E-10</v>
      </c>
      <c r="AO32" s="2">
        <f t="shared" si="12"/>
        <v>7.0780515670776367E-5</v>
      </c>
    </row>
    <row r="33" spans="2:41" x14ac:dyDescent="0.2">
      <c r="B33" t="s">
        <v>135</v>
      </c>
      <c r="C33" s="1">
        <f>(0.750222528+0.849998808)/2</f>
        <v>0.80011066800000008</v>
      </c>
      <c r="D33"/>
      <c r="F33" s="32" t="s">
        <v>156</v>
      </c>
      <c r="G33" s="33"/>
      <c r="H33" s="33"/>
      <c r="J33" s="19" t="s">
        <v>78</v>
      </c>
      <c r="K33" s="6">
        <f>ROUND(SUM(K14:K17),2)</f>
        <v>433.57</v>
      </c>
      <c r="L33" s="6" t="s">
        <v>7</v>
      </c>
      <c r="U33" s="2">
        <v>29</v>
      </c>
      <c r="V33" s="2">
        <f t="shared" si="7"/>
        <v>6.9944044575095177E-2</v>
      </c>
      <c r="W33" s="2">
        <f t="shared" si="0"/>
        <v>1.3246228697250118E-9</v>
      </c>
      <c r="X33" s="2">
        <f t="shared" si="8"/>
        <v>6.9944046437740326E-2</v>
      </c>
      <c r="Y33" s="2">
        <f t="shared" si="1"/>
        <v>-5.4045361241872314E-10</v>
      </c>
      <c r="Z33" s="2">
        <f t="shared" si="3"/>
        <v>6.9944045506417751E-2</v>
      </c>
      <c r="AA33" s="2">
        <f t="shared" si="2"/>
        <v>3.9208462865314431E-10</v>
      </c>
      <c r="AB33" s="2">
        <f t="shared" si="4"/>
        <v>5.1936426598159358E-19</v>
      </c>
      <c r="AC33" s="2">
        <f t="shared" si="5"/>
        <v>-2.1190355392944544E-19</v>
      </c>
      <c r="AD33" s="2">
        <f t="shared" si="6"/>
        <v>1.862645149230957E-9</v>
      </c>
      <c r="AF33" s="2">
        <v>29</v>
      </c>
      <c r="AG33" s="2">
        <f t="shared" si="13"/>
        <v>1631.7800916731358</v>
      </c>
      <c r="AH33" s="2">
        <v>-4.3655206809489755E-6</v>
      </c>
      <c r="AI33" s="2">
        <f t="shared" si="14"/>
        <v>1631.7801270633936</v>
      </c>
      <c r="AJ33" s="2">
        <v>1.9368736502656247E-5</v>
      </c>
      <c r="AK33" s="2">
        <f t="shared" si="9"/>
        <v>1631.7801093682647</v>
      </c>
      <c r="AL33" s="2">
        <v>9.7347967766836518E-6</v>
      </c>
      <c r="AM33" s="2">
        <f t="shared" si="10"/>
        <v>-4.2497456653447908E-11</v>
      </c>
      <c r="AN33" s="2">
        <f t="shared" si="11"/>
        <v>1.8855071367449303E-10</v>
      </c>
      <c r="AO33" s="2">
        <f t="shared" si="12"/>
        <v>3.5390257835388184E-5</v>
      </c>
    </row>
    <row r="34" spans="2:41" x14ac:dyDescent="0.2">
      <c r="F34" s="9" t="s">
        <v>157</v>
      </c>
      <c r="G34" s="17">
        <f>20*60</f>
        <v>1200</v>
      </c>
      <c r="H34" s="6" t="s">
        <v>13</v>
      </c>
      <c r="J34" s="20" t="s">
        <v>69</v>
      </c>
      <c r="K34" s="6">
        <f>ROUND(SUM(K18:K22),2)</f>
        <v>155.82</v>
      </c>
      <c r="L34" s="6" t="s">
        <v>7</v>
      </c>
      <c r="U34" s="2">
        <v>30</v>
      </c>
      <c r="V34" s="2">
        <f t="shared" si="7"/>
        <v>6.9944045506417751E-2</v>
      </c>
      <c r="W34" s="2">
        <f t="shared" si="0"/>
        <v>3.9208462865314431E-10</v>
      </c>
      <c r="X34" s="2">
        <f t="shared" si="8"/>
        <v>6.9944046437740326E-2</v>
      </c>
      <c r="Y34" s="2">
        <f t="shared" si="1"/>
        <v>-5.4045361241872314E-10</v>
      </c>
      <c r="Z34" s="2">
        <f t="shared" si="3"/>
        <v>6.9944045972079039E-2</v>
      </c>
      <c r="AA34" s="2">
        <f t="shared" si="2"/>
        <v>-7.4184491882789416E-11</v>
      </c>
      <c r="AB34" s="2">
        <f t="shared" si="4"/>
        <v>-2.9086598951685686E-20</v>
      </c>
      <c r="AC34" s="2">
        <f t="shared" si="5"/>
        <v>4.0093276623500984E-20</v>
      </c>
      <c r="AD34" s="2">
        <f>X34-V34</f>
        <v>9.3132257461547852E-10</v>
      </c>
      <c r="AF34" s="2">
        <v>30</v>
      </c>
      <c r="AG34" s="2">
        <f t="shared" si="13"/>
        <v>1631.7800916731358</v>
      </c>
      <c r="AH34" s="2">
        <v>-4.3655206809489755E-6</v>
      </c>
      <c r="AI34" s="2">
        <f t="shared" si="14"/>
        <v>1631.7801093682647</v>
      </c>
      <c r="AJ34" s="2">
        <v>9.7347967766836518E-6</v>
      </c>
      <c r="AK34" s="2">
        <f t="shared" si="9"/>
        <v>1631.7801005207002</v>
      </c>
      <c r="AL34" s="2">
        <v>4.9178265726368409E-6</v>
      </c>
      <c r="AM34" s="2">
        <f t="shared" si="10"/>
        <v>-2.1468873608166548E-11</v>
      </c>
      <c r="AN34" s="2">
        <f t="shared" si="11"/>
        <v>4.7874042267594329E-11</v>
      </c>
      <c r="AO34" s="2">
        <f t="shared" si="12"/>
        <v>1.7695128917694092E-5</v>
      </c>
    </row>
    <row r="35" spans="2:41" x14ac:dyDescent="0.2">
      <c r="B35" s="29" t="s">
        <v>2</v>
      </c>
      <c r="C35" s="29"/>
      <c r="D35" s="29"/>
      <c r="F35" s="26" t="s">
        <v>132</v>
      </c>
      <c r="G35" s="25">
        <f xml:space="preserve"> G22</f>
        <v>219.13490920749248</v>
      </c>
      <c r="H35" s="25" t="s">
        <v>101</v>
      </c>
      <c r="J35" s="15" t="s">
        <v>70</v>
      </c>
      <c r="K35" s="6">
        <f>ROUND(SUM(K23:K26),2)</f>
        <v>77.31</v>
      </c>
      <c r="L35" s="6" t="s">
        <v>7</v>
      </c>
      <c r="AF35" s="2">
        <v>31</v>
      </c>
      <c r="AG35" s="2">
        <f t="shared" si="13"/>
        <v>1631.7800916731358</v>
      </c>
      <c r="AH35" s="2">
        <v>-4.3655206809489755E-6</v>
      </c>
      <c r="AI35" s="2">
        <f t="shared" si="14"/>
        <v>1631.7801005207002</v>
      </c>
      <c r="AJ35" s="2">
        <v>4.9178265726368409E-6</v>
      </c>
      <c r="AK35" s="2">
        <f t="shared" si="9"/>
        <v>1631.780096096918</v>
      </c>
      <c r="AL35" s="2">
        <v>-1.9570359199860832E-6</v>
      </c>
      <c r="AM35" s="2">
        <f t="shared" si="10"/>
        <v>8.5434807820592505E-12</v>
      </c>
      <c r="AN35" s="2">
        <f t="shared" si="11"/>
        <v>-9.6243632509123461E-12</v>
      </c>
      <c r="AO35" s="2">
        <f t="shared" si="12"/>
        <v>8.8475644588470459E-6</v>
      </c>
    </row>
    <row r="36" spans="2:41" x14ac:dyDescent="0.2">
      <c r="B36" s="6" t="s">
        <v>3</v>
      </c>
      <c r="C36" s="17">
        <v>700</v>
      </c>
      <c r="D36" s="6" t="s">
        <v>4</v>
      </c>
      <c r="J36" s="10" t="s">
        <v>59</v>
      </c>
      <c r="K36" s="10">
        <f>SUM(K31:K35)</f>
        <v>1631.7799999999997</v>
      </c>
      <c r="L36" s="6" t="s">
        <v>7</v>
      </c>
      <c r="AF36" s="2">
        <v>32</v>
      </c>
      <c r="AG36" s="2">
        <f t="shared" si="13"/>
        <v>1631.780096096918</v>
      </c>
      <c r="AH36" s="2">
        <v>-1.9570359199860832E-6</v>
      </c>
      <c r="AI36" s="2">
        <f t="shared" si="14"/>
        <v>1631.7801005207002</v>
      </c>
      <c r="AJ36" s="2">
        <v>4.9178265726368409E-6</v>
      </c>
      <c r="AK36" s="2">
        <f t="shared" si="9"/>
        <v>1631.7800983088091</v>
      </c>
      <c r="AL36" s="2">
        <v>3.7135844195290701E-6</v>
      </c>
      <c r="AM36" s="2">
        <f t="shared" si="10"/>
        <v>-7.2676181009190584E-12</v>
      </c>
      <c r="AN36" s="2">
        <f t="shared" si="11"/>
        <v>1.8262764138090219E-11</v>
      </c>
      <c r="AO36" s="2">
        <f t="shared" si="12"/>
        <v>4.4237822294235229E-6</v>
      </c>
    </row>
    <row r="37" spans="2:41" x14ac:dyDescent="0.2">
      <c r="B37" s="6" t="s">
        <v>5</v>
      </c>
      <c r="C37" s="17">
        <v>0.85</v>
      </c>
      <c r="AF37" s="2">
        <v>33</v>
      </c>
      <c r="AG37" s="2">
        <f t="shared" si="13"/>
        <v>1631.780096096918</v>
      </c>
      <c r="AH37" s="2">
        <v>-1.9570359199860832E-6</v>
      </c>
      <c r="AI37" s="2">
        <f t="shared" si="14"/>
        <v>1631.7800983088091</v>
      </c>
      <c r="AJ37" s="2">
        <v>3.7135844195290701E-6</v>
      </c>
      <c r="AK37" s="2">
        <f t="shared" si="9"/>
        <v>1631.7800972028635</v>
      </c>
      <c r="AL37" s="2">
        <v>-1.3549147297453601E-6</v>
      </c>
      <c r="AM37" s="2">
        <f t="shared" si="10"/>
        <v>2.651616794629906E-12</v>
      </c>
      <c r="AN37" s="2">
        <f t="shared" si="11"/>
        <v>-5.03159023017281E-12</v>
      </c>
      <c r="AO37" s="2">
        <f t="shared" si="12"/>
        <v>2.2118911147117615E-6</v>
      </c>
    </row>
    <row r="38" spans="2:41" x14ac:dyDescent="0.2">
      <c r="B38" s="6" t="s">
        <v>6</v>
      </c>
      <c r="C38" s="17">
        <v>0.8</v>
      </c>
      <c r="J38" s="29" t="s">
        <v>56</v>
      </c>
      <c r="K38" s="29"/>
      <c r="L38" s="29"/>
      <c r="AF38" s="2">
        <v>34</v>
      </c>
      <c r="AG38" s="2">
        <f t="shared" si="13"/>
        <v>1631.7800972028635</v>
      </c>
      <c r="AH38" s="2">
        <v>-1.3549147297453601E-6</v>
      </c>
      <c r="AI38" s="2">
        <f t="shared" si="14"/>
        <v>1631.7800983088091</v>
      </c>
      <c r="AJ38" s="2">
        <v>3.7135844195290701E-6</v>
      </c>
      <c r="AK38" s="2">
        <f t="shared" si="9"/>
        <v>1631.7800977558363</v>
      </c>
      <c r="AL38" s="2">
        <v>-1.0538542483118363E-6</v>
      </c>
      <c r="AM38" s="2">
        <f t="shared" si="10"/>
        <v>1.4278826440424312E-12</v>
      </c>
      <c r="AN38" s="2">
        <f t="shared" si="11"/>
        <v>-3.9135767169853551E-12</v>
      </c>
      <c r="AO38" s="2">
        <f t="shared" si="12"/>
        <v>1.1059455573558807E-6</v>
      </c>
    </row>
    <row r="39" spans="2:41" x14ac:dyDescent="0.2">
      <c r="J39" s="6" t="s">
        <v>57</v>
      </c>
      <c r="K39" s="6">
        <f>ROUND($C$13/$C$5 * 100, 2)</f>
        <v>36.770000000000003</v>
      </c>
      <c r="L39" s="6" t="s">
        <v>58</v>
      </c>
      <c r="AF39" s="2">
        <v>35</v>
      </c>
      <c r="AG39" s="2">
        <f t="shared" si="13"/>
        <v>1631.7800977558363</v>
      </c>
      <c r="AH39" s="2">
        <v>-1.0538542483118363E-6</v>
      </c>
      <c r="AI39" s="2">
        <f t="shared" si="14"/>
        <v>1631.7800983088091</v>
      </c>
      <c r="AJ39" s="2">
        <v>3.7135844195290701E-6</v>
      </c>
      <c r="AK39" s="2">
        <f t="shared" si="9"/>
        <v>1631.7800980323227</v>
      </c>
      <c r="AL39" s="2">
        <v>3.5630539514386328E-6</v>
      </c>
      <c r="AM39" s="2">
        <f t="shared" si="10"/>
        <v>-3.7549395436878783E-12</v>
      </c>
      <c r="AN39" s="2">
        <f t="shared" si="11"/>
        <v>1.3231701640003995E-11</v>
      </c>
      <c r="AO39" s="2">
        <f t="shared" si="12"/>
        <v>5.5297277867794037E-7</v>
      </c>
    </row>
    <row r="40" spans="2:41" x14ac:dyDescent="0.2">
      <c r="B40" s="29" t="s">
        <v>144</v>
      </c>
      <c r="C40" s="30"/>
      <c r="D40" s="30"/>
      <c r="J40" s="11" t="s">
        <v>52</v>
      </c>
      <c r="K40" s="6">
        <f>ROUND(K13/$C$5 * 100, 2)</f>
        <v>22.37</v>
      </c>
      <c r="L40" s="6" t="s">
        <v>58</v>
      </c>
      <c r="AF40" s="2">
        <v>36</v>
      </c>
      <c r="AG40" s="2">
        <f t="shared" si="13"/>
        <v>1631.7800977558363</v>
      </c>
      <c r="AH40" s="2">
        <v>-1.0538542483118363E-6</v>
      </c>
      <c r="AI40" s="2">
        <f t="shared" si="14"/>
        <v>1631.7800980323227</v>
      </c>
      <c r="AJ40" s="2">
        <v>3.5630539514386328E-6</v>
      </c>
      <c r="AK40" s="2">
        <f t="shared" si="9"/>
        <v>1631.7800978940795</v>
      </c>
      <c r="AL40" s="2">
        <v>-9.7858924164029304E-7</v>
      </c>
      <c r="AM40" s="2">
        <f t="shared" si="10"/>
        <v>1.0312904296548809E-12</v>
      </c>
      <c r="AN40" s="2">
        <f t="shared" si="11"/>
        <v>-3.4867662642617812E-12</v>
      </c>
      <c r="AO40" s="2">
        <f t="shared" si="12"/>
        <v>2.7648638933897018E-7</v>
      </c>
    </row>
    <row r="41" spans="2:41" x14ac:dyDescent="0.2">
      <c r="B41" s="6" t="s">
        <v>14</v>
      </c>
      <c r="C41" s="17">
        <v>1.0397562309141399</v>
      </c>
      <c r="D41" s="6" t="s">
        <v>15</v>
      </c>
      <c r="J41" s="19" t="s">
        <v>78</v>
      </c>
      <c r="K41" s="6">
        <f>ROUND(SUM(K14:K17)/$C$5 * 100, 2)</f>
        <v>26.57</v>
      </c>
      <c r="L41" s="6" t="s">
        <v>58</v>
      </c>
      <c r="AF41" s="2">
        <v>37</v>
      </c>
      <c r="AG41" s="2">
        <f t="shared" si="13"/>
        <v>1631.7800978940795</v>
      </c>
      <c r="AH41" s="2">
        <v>-9.7858924164029304E-7</v>
      </c>
      <c r="AI41" s="2">
        <f t="shared" si="14"/>
        <v>1631.7800980323227</v>
      </c>
      <c r="AJ41" s="2">
        <v>3.5630539514386328E-6</v>
      </c>
      <c r="AK41" s="2">
        <f t="shared" si="9"/>
        <v>1631.7800979632011</v>
      </c>
      <c r="AL41" s="2">
        <v>-9.4095616987033281E-7</v>
      </c>
      <c r="AM41" s="2">
        <f t="shared" si="10"/>
        <v>9.2080958469016374E-13</v>
      </c>
      <c r="AN41" s="2">
        <f t="shared" si="11"/>
        <v>-3.3526775991870507E-12</v>
      </c>
      <c r="AO41" s="2">
        <f t="shared" si="12"/>
        <v>1.3824319466948509E-7</v>
      </c>
    </row>
    <row r="42" spans="2:41" x14ac:dyDescent="0.2">
      <c r="B42" s="6" t="s">
        <v>130</v>
      </c>
      <c r="C42" s="23">
        <v>1.7363179204150701E-5</v>
      </c>
      <c r="D42" s="6" t="s">
        <v>129</v>
      </c>
      <c r="J42" s="20" t="s">
        <v>69</v>
      </c>
      <c r="K42" s="6">
        <f>ROUND(SUM(K18:K22)/$C$5 * 100, 2)</f>
        <v>9.5500000000000007</v>
      </c>
      <c r="L42" s="6" t="s">
        <v>58</v>
      </c>
      <c r="AF42" s="2">
        <v>38</v>
      </c>
      <c r="AG42" s="2">
        <f t="shared" si="13"/>
        <v>1631.7800979632011</v>
      </c>
      <c r="AH42" s="2">
        <v>-9.4095616987033281E-7</v>
      </c>
      <c r="AI42" s="2">
        <f t="shared" si="14"/>
        <v>1631.7800980323227</v>
      </c>
      <c r="AJ42" s="2">
        <v>3.5630539514386328E-6</v>
      </c>
      <c r="AK42" s="2">
        <f t="shared" si="9"/>
        <v>1631.7800979977619</v>
      </c>
      <c r="AL42" s="2">
        <v>3.544238097674679E-6</v>
      </c>
      <c r="AM42" s="2">
        <f t="shared" si="10"/>
        <v>-3.3349727054964805E-12</v>
      </c>
      <c r="AN42" s="2">
        <f t="shared" si="11"/>
        <v>1.2628311558759108E-11</v>
      </c>
      <c r="AO42" s="2">
        <f t="shared" si="12"/>
        <v>6.9121597334742546E-8</v>
      </c>
    </row>
    <row r="43" spans="2:41" x14ac:dyDescent="0.2">
      <c r="B43" s="6" t="s">
        <v>123</v>
      </c>
      <c r="C43" s="17">
        <v>333.91694458017901</v>
      </c>
      <c r="D43" s="6" t="s">
        <v>10</v>
      </c>
      <c r="J43" s="15" t="s">
        <v>70</v>
      </c>
      <c r="K43" s="6">
        <f>ROUND(SUM(K23:K26)/$C$5*100, 2)</f>
        <v>4.74</v>
      </c>
      <c r="L43" s="6" t="s">
        <v>58</v>
      </c>
      <c r="N43" s="6" t="s">
        <v>151</v>
      </c>
      <c r="O43" s="6">
        <v>3</v>
      </c>
      <c r="AF43" s="2">
        <v>39</v>
      </c>
      <c r="AG43" s="2">
        <f t="shared" si="13"/>
        <v>1631.7800979632011</v>
      </c>
      <c r="AH43" s="2">
        <v>-9.4095616987033281E-7</v>
      </c>
      <c r="AI43" s="2">
        <f t="shared" si="14"/>
        <v>1631.7800979977619</v>
      </c>
      <c r="AJ43" s="2">
        <v>3.544238097674679E-6</v>
      </c>
      <c r="AK43" s="2">
        <f t="shared" si="9"/>
        <v>1631.7800979804815</v>
      </c>
      <c r="AL43" s="2">
        <v>3.5348296023585135E-6</v>
      </c>
      <c r="AM43" s="2">
        <f t="shared" si="10"/>
        <v>-3.3261197237795384E-12</v>
      </c>
      <c r="AN43" s="2">
        <f t="shared" si="11"/>
        <v>1.252827774546728E-11</v>
      </c>
      <c r="AO43" s="2">
        <f t="shared" si="12"/>
        <v>3.4560798667371273E-8</v>
      </c>
    </row>
    <row r="44" spans="2:41" x14ac:dyDescent="0.2">
      <c r="B44" s="6" t="s">
        <v>16</v>
      </c>
      <c r="C44" s="1">
        <v>9.80149119240094</v>
      </c>
      <c r="D44" s="6" t="s">
        <v>17</v>
      </c>
      <c r="J44" s="10" t="s">
        <v>59</v>
      </c>
      <c r="K44" s="10">
        <f>SUM(K39:K43)</f>
        <v>100</v>
      </c>
      <c r="L44" s="10" t="s">
        <v>58</v>
      </c>
      <c r="N44" s="6" t="s">
        <v>152</v>
      </c>
      <c r="O44" s="6">
        <f>O43*C6</f>
        <v>1200</v>
      </c>
      <c r="P44" s="6" t="s">
        <v>125</v>
      </c>
      <c r="AF44" s="2">
        <v>40</v>
      </c>
      <c r="AG44" s="2">
        <f t="shared" si="13"/>
        <v>1631.7800979632011</v>
      </c>
      <c r="AH44" s="2">
        <v>-9.4095616987033281E-7</v>
      </c>
      <c r="AI44" s="2">
        <f t="shared" si="14"/>
        <v>1631.7800979804815</v>
      </c>
      <c r="AJ44" s="2">
        <v>3.5348296023585135E-6</v>
      </c>
      <c r="AK44" s="5">
        <f>(AG44+AI44)/2</f>
        <v>1631.7800979718413</v>
      </c>
      <c r="AL44" s="2">
        <v>3.5301254683872685E-6</v>
      </c>
      <c r="AM44" s="2">
        <f t="shared" si="10"/>
        <v>-3.3216933398953988E-12</v>
      </c>
      <c r="AN44" s="2">
        <f t="shared" si="11"/>
        <v>1.247839200569503E-11</v>
      </c>
      <c r="AO44" s="2">
        <f t="shared" si="12"/>
        <v>1.7280399333685637E-8</v>
      </c>
    </row>
    <row r="45" spans="2:41" x14ac:dyDescent="0.2">
      <c r="N45" s="6" t="s">
        <v>150</v>
      </c>
      <c r="O45" s="6">
        <f>O44*2*PI()/60</f>
        <v>125.66370614359172</v>
      </c>
      <c r="P45" s="6" t="s">
        <v>27</v>
      </c>
    </row>
    <row r="46" spans="2:41" x14ac:dyDescent="0.2">
      <c r="B46" s="29" t="s">
        <v>145</v>
      </c>
      <c r="C46" s="30"/>
      <c r="D46" s="30"/>
      <c r="J46" s="29" t="s">
        <v>56</v>
      </c>
      <c r="K46" s="29"/>
      <c r="L46" s="29"/>
      <c r="N46" s="6" t="s">
        <v>153</v>
      </c>
      <c r="O46" s="6">
        <f>G12*1000/O45</f>
        <v>1318.8838318099888</v>
      </c>
      <c r="P46" s="6" t="s">
        <v>128</v>
      </c>
    </row>
    <row r="47" spans="2:41" x14ac:dyDescent="0.2">
      <c r="B47" s="6" t="s">
        <v>14</v>
      </c>
      <c r="C47" s="17">
        <v>1.00854450666398</v>
      </c>
      <c r="D47" s="6" t="s">
        <v>15</v>
      </c>
      <c r="J47" s="6" t="s">
        <v>57</v>
      </c>
      <c r="K47" s="6">
        <f>ROUND($C$13/$C$5 * 100, 2)</f>
        <v>36.770000000000003</v>
      </c>
      <c r="L47" s="6" t="s">
        <v>58</v>
      </c>
      <c r="N47" s="6" t="s">
        <v>154</v>
      </c>
      <c r="O47" s="6">
        <f>0.377*O46^0.6945</f>
        <v>55.37640971712711</v>
      </c>
    </row>
    <row r="48" spans="2:41" x14ac:dyDescent="0.2">
      <c r="B48" s="6" t="s">
        <v>130</v>
      </c>
      <c r="C48" s="23">
        <v>1.7265641515845801E-5</v>
      </c>
      <c r="D48" s="6" t="s">
        <v>129</v>
      </c>
      <c r="J48" s="11" t="s">
        <v>52</v>
      </c>
      <c r="K48" s="6">
        <f>ROUND(K13/$C$5 * 100, 2)</f>
        <v>22.37</v>
      </c>
      <c r="L48" s="6" t="s">
        <v>58</v>
      </c>
    </row>
    <row r="49" spans="2:12" x14ac:dyDescent="0.2">
      <c r="B49" s="6" t="s">
        <v>123</v>
      </c>
      <c r="C49" s="17">
        <v>332.721752148093</v>
      </c>
      <c r="D49" s="6" t="s">
        <v>10</v>
      </c>
      <c r="J49" s="20" t="s">
        <v>149</v>
      </c>
      <c r="K49" s="6">
        <f>ROUND(SUM(K14:K26)/$C$5 * 100, 2)</f>
        <v>40.86</v>
      </c>
      <c r="L49" s="6" t="s">
        <v>58</v>
      </c>
    </row>
    <row r="50" spans="2:12" x14ac:dyDescent="0.2">
      <c r="B50" s="6" t="s">
        <v>16</v>
      </c>
      <c r="C50" s="1">
        <v>9.8005536647414697</v>
      </c>
      <c r="D50" s="6" t="s">
        <v>17</v>
      </c>
      <c r="J50" s="10" t="s">
        <v>59</v>
      </c>
      <c r="K50" s="10">
        <f>SUM(K47:K49)</f>
        <v>100</v>
      </c>
      <c r="L50" s="10" t="s">
        <v>58</v>
      </c>
    </row>
    <row r="52" spans="2:12" x14ac:dyDescent="0.2">
      <c r="B52" s="29" t="s">
        <v>71</v>
      </c>
      <c r="C52" s="29"/>
      <c r="D52" s="29"/>
    </row>
    <row r="53" spans="2:12" x14ac:dyDescent="0.2">
      <c r="B53" s="6" t="s">
        <v>137</v>
      </c>
      <c r="C53" s="17">
        <v>30</v>
      </c>
    </row>
    <row r="54" spans="2:12" x14ac:dyDescent="0.2">
      <c r="B54" s="6" t="s">
        <v>139</v>
      </c>
      <c r="C54" s="17">
        <v>0.8</v>
      </c>
    </row>
    <row r="55" spans="2:12" x14ac:dyDescent="0.2">
      <c r="B55" s="6" t="s">
        <v>140</v>
      </c>
      <c r="C55" s="17">
        <v>0.8</v>
      </c>
    </row>
    <row r="56" spans="2:12" x14ac:dyDescent="0.2">
      <c r="B56" s="6" t="s">
        <v>141</v>
      </c>
      <c r="C56" s="17">
        <v>0.8</v>
      </c>
    </row>
  </sheetData>
  <mergeCells count="23">
    <mergeCell ref="J38:L38"/>
    <mergeCell ref="B40:D40"/>
    <mergeCell ref="B46:D46"/>
    <mergeCell ref="J46:L46"/>
    <mergeCell ref="B52:D52"/>
    <mergeCell ref="N3:P3"/>
    <mergeCell ref="B35:D35"/>
    <mergeCell ref="J11:L11"/>
    <mergeCell ref="B12:D12"/>
    <mergeCell ref="N12:P12"/>
    <mergeCell ref="F14:H14"/>
    <mergeCell ref="N16:P16"/>
    <mergeCell ref="B17:D17"/>
    <mergeCell ref="B24:D24"/>
    <mergeCell ref="F24:H24"/>
    <mergeCell ref="B29:D29"/>
    <mergeCell ref="J30:L30"/>
    <mergeCell ref="F33:H33"/>
    <mergeCell ref="J7:L7"/>
    <mergeCell ref="B1:D1"/>
    <mergeCell ref="B3:D3"/>
    <mergeCell ref="F3:H3"/>
    <mergeCell ref="J3:L3"/>
  </mergeCells>
  <conditionalFormatting sqref="K28">
    <cfRule type="containsText" dxfId="5" priority="1" operator="containsText" text="FALSE">
      <formula>NOT(ISERROR(SEARCH("FALSE",K28)))</formula>
    </cfRule>
    <cfRule type="containsText" dxfId="4" priority="2" operator="containsText" text="TRUE">
      <formula>NOT(ISERROR(SEARCH("TRUE",K28)))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NOT(ISERROR(SEARCH("YES",K28)))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obj_val</vt:lpstr>
      <vt:lpstr>uniform_250</vt:lpstr>
      <vt:lpstr>uniform_400</vt:lpstr>
      <vt:lpstr>uniform_550</vt:lpstr>
      <vt:lpstr>uniform_700</vt:lpstr>
      <vt:lpstr>linear_250</vt:lpstr>
      <vt:lpstr>linear_400</vt:lpstr>
      <vt:lpstr>linear_550</vt:lpstr>
      <vt:lpstr>linear_700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2025-05-13T13:58:54Z</dcterms:modified>
</cp:coreProperties>
</file>