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6_multipoint_optimization_with_varying_batteries/weighted_sum_of_takeoff_weight/liftcruise/"/>
    </mc:Choice>
  </mc:AlternateContent>
  <xr:revisionPtr revIDLastSave="0" documentId="13_ncr:1_{DF0C641D-5831-E44B-A0B0-AC79E3495CD2}" xr6:coauthVersionLast="47" xr6:coauthVersionMax="47" xr10:uidLastSave="{00000000-0000-0000-0000-000000000000}"/>
  <bookViews>
    <workbookView xWindow="15320" yWindow="740" windowWidth="14920" windowHeight="18900" xr2:uid="{843CD013-835A-1741-B375-CD508AE79BD2}"/>
  </bookViews>
  <sheets>
    <sheet name="obj_val" sheetId="26" r:id="rId1"/>
    <sheet name="uniform_250" sheetId="12" r:id="rId2"/>
    <sheet name="uniform_400" sheetId="19" r:id="rId3"/>
    <sheet name="uniform_550" sheetId="20" r:id="rId4"/>
    <sheet name="uniform_700" sheetId="21" r:id="rId5"/>
    <sheet name="linear_250" sheetId="22" r:id="rId6"/>
    <sheet name="linear_400" sheetId="23" r:id="rId7"/>
    <sheet name="linear_550" sheetId="24" r:id="rId8"/>
    <sheet name="linear_700" sheetId="2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6" l="1"/>
  <c r="E14" i="26"/>
  <c r="E13" i="26"/>
  <c r="E10" i="26"/>
  <c r="E9" i="26"/>
  <c r="E8" i="26"/>
  <c r="E12" i="26"/>
  <c r="E7" i="26"/>
  <c r="F4" i="26" l="1"/>
  <c r="E4" i="26"/>
  <c r="C56" i="25"/>
  <c r="C55" i="25"/>
  <c r="C51" i="25"/>
  <c r="C50" i="25"/>
  <c r="AN44" i="25"/>
  <c r="AM44" i="25"/>
  <c r="AN43" i="25"/>
  <c r="AM43" i="25"/>
  <c r="AN42" i="25"/>
  <c r="AM42" i="25"/>
  <c r="AN41" i="25"/>
  <c r="AM41" i="25"/>
  <c r="C41" i="25"/>
  <c r="K21" i="25" s="1"/>
  <c r="AN40" i="25"/>
  <c r="AM40" i="25"/>
  <c r="AN39" i="25"/>
  <c r="AM39" i="25"/>
  <c r="AN38" i="25"/>
  <c r="AM38" i="25"/>
  <c r="AN37" i="25"/>
  <c r="AM37" i="25"/>
  <c r="AN36" i="25"/>
  <c r="AM36" i="25"/>
  <c r="AN35" i="25"/>
  <c r="AM35" i="25"/>
  <c r="AN34" i="25"/>
  <c r="AM34" i="25"/>
  <c r="AN33" i="25"/>
  <c r="AM33" i="25"/>
  <c r="AN32" i="25"/>
  <c r="AM32" i="25"/>
  <c r="G32" i="25"/>
  <c r="AN31" i="25"/>
  <c r="AM31" i="25"/>
  <c r="AN30" i="25"/>
  <c r="AM30" i="25"/>
  <c r="AN29" i="25"/>
  <c r="AM29" i="25"/>
  <c r="K29" i="25"/>
  <c r="G29" i="25"/>
  <c r="G27" i="25" s="1"/>
  <c r="AN28" i="25"/>
  <c r="AM28" i="25"/>
  <c r="K28" i="25"/>
  <c r="AN27" i="25"/>
  <c r="AM27" i="25"/>
  <c r="K27" i="25"/>
  <c r="AN26" i="25"/>
  <c r="AM26" i="25"/>
  <c r="K26" i="25"/>
  <c r="G26" i="25"/>
  <c r="AN25" i="25"/>
  <c r="AM25" i="25"/>
  <c r="G25" i="25"/>
  <c r="AN24" i="25"/>
  <c r="AM24" i="25"/>
  <c r="K24" i="25"/>
  <c r="G24" i="25"/>
  <c r="AN23" i="25"/>
  <c r="AM23" i="25"/>
  <c r="K23" i="25"/>
  <c r="G23" i="25"/>
  <c r="C23" i="25"/>
  <c r="AN22" i="25"/>
  <c r="AM22" i="25"/>
  <c r="K22" i="25"/>
  <c r="AN21" i="25"/>
  <c r="AM21" i="25"/>
  <c r="O21" i="25"/>
  <c r="G14" i="25" s="1"/>
  <c r="G15" i="25" s="1"/>
  <c r="AN20" i="25"/>
  <c r="AM20" i="25"/>
  <c r="K20" i="25"/>
  <c r="AN19" i="25"/>
  <c r="AM19" i="25"/>
  <c r="O19" i="25"/>
  <c r="AN18" i="25"/>
  <c r="AM18" i="25"/>
  <c r="AN17" i="25"/>
  <c r="AM17" i="25"/>
  <c r="C17" i="25"/>
  <c r="AN16" i="25"/>
  <c r="AM16" i="25"/>
  <c r="C16" i="25"/>
  <c r="AN15" i="25"/>
  <c r="AM15" i="25"/>
  <c r="AN14" i="25"/>
  <c r="AM14" i="25"/>
  <c r="K14" i="25"/>
  <c r="AN13" i="25"/>
  <c r="AM13" i="25"/>
  <c r="AN12" i="25"/>
  <c r="AM12" i="25"/>
  <c r="AN11" i="25"/>
  <c r="AM11" i="25"/>
  <c r="O11" i="25"/>
  <c r="C11" i="25"/>
  <c r="C30" i="25" s="1"/>
  <c r="AN10" i="25"/>
  <c r="AM10" i="25"/>
  <c r="AN9" i="25"/>
  <c r="AM9" i="25"/>
  <c r="O9" i="25"/>
  <c r="C9" i="25"/>
  <c r="AN8" i="25"/>
  <c r="AM8" i="25"/>
  <c r="AN7" i="25"/>
  <c r="AM7" i="25"/>
  <c r="G7" i="25"/>
  <c r="C7" i="25"/>
  <c r="AN6" i="25"/>
  <c r="AM6" i="25"/>
  <c r="O6" i="25"/>
  <c r="AO5" i="25"/>
  <c r="AN5" i="25"/>
  <c r="AI6" i="25" s="1"/>
  <c r="AM5" i="25"/>
  <c r="AG6" i="25" s="1"/>
  <c r="AK5" i="25"/>
  <c r="G5" i="25"/>
  <c r="G6" i="25" s="1"/>
  <c r="AD4" i="25"/>
  <c r="Z4" i="25"/>
  <c r="O4" i="25"/>
  <c r="G4" i="25"/>
  <c r="G10" i="25" s="1"/>
  <c r="C56" i="24"/>
  <c r="C55" i="24"/>
  <c r="C51" i="24"/>
  <c r="C50" i="24"/>
  <c r="AN44" i="24"/>
  <c r="AM44" i="24"/>
  <c r="AN43" i="24"/>
  <c r="AM43" i="24"/>
  <c r="AN42" i="24"/>
  <c r="AM42" i="24"/>
  <c r="AN41" i="24"/>
  <c r="AM41" i="24"/>
  <c r="C41" i="24"/>
  <c r="K21" i="24" s="1"/>
  <c r="AN40" i="24"/>
  <c r="AM40" i="24"/>
  <c r="AN39" i="24"/>
  <c r="AM39" i="24"/>
  <c r="AN38" i="24"/>
  <c r="AM38" i="24"/>
  <c r="AN37" i="24"/>
  <c r="AM37" i="24"/>
  <c r="AN36" i="24"/>
  <c r="AM36" i="24"/>
  <c r="AN35" i="24"/>
  <c r="AM35" i="24"/>
  <c r="AN34" i="24"/>
  <c r="AM34" i="24"/>
  <c r="AN33" i="24"/>
  <c r="AM33" i="24"/>
  <c r="AN32" i="24"/>
  <c r="AM32" i="24"/>
  <c r="G32" i="24"/>
  <c r="AN31" i="24"/>
  <c r="AM31" i="24"/>
  <c r="AN30" i="24"/>
  <c r="AM30" i="24"/>
  <c r="AN29" i="24"/>
  <c r="AM29" i="24"/>
  <c r="K29" i="24"/>
  <c r="G29" i="24"/>
  <c r="G27" i="24" s="1"/>
  <c r="AN28" i="24"/>
  <c r="AM28" i="24"/>
  <c r="K28" i="24"/>
  <c r="AN27" i="24"/>
  <c r="AM27" i="24"/>
  <c r="K27" i="24"/>
  <c r="AN26" i="24"/>
  <c r="AM26" i="24"/>
  <c r="K26" i="24"/>
  <c r="G26" i="24"/>
  <c r="AN25" i="24"/>
  <c r="AM25" i="24"/>
  <c r="G25" i="24"/>
  <c r="AN24" i="24"/>
  <c r="AM24" i="24"/>
  <c r="K24" i="24"/>
  <c r="G24" i="24"/>
  <c r="AN23" i="24"/>
  <c r="AM23" i="24"/>
  <c r="K23" i="24"/>
  <c r="G23" i="24"/>
  <c r="C23" i="24"/>
  <c r="AN22" i="24"/>
  <c r="AM22" i="24"/>
  <c r="K22" i="24"/>
  <c r="AN21" i="24"/>
  <c r="AM21" i="24"/>
  <c r="O21" i="24"/>
  <c r="G14" i="24" s="1"/>
  <c r="G15" i="24" s="1"/>
  <c r="AN20" i="24"/>
  <c r="AM20" i="24"/>
  <c r="K20" i="24"/>
  <c r="AN19" i="24"/>
  <c r="AM19" i="24"/>
  <c r="O19" i="24"/>
  <c r="AN18" i="24"/>
  <c r="AM18" i="24"/>
  <c r="AN17" i="24"/>
  <c r="AM17" i="24"/>
  <c r="C17" i="24"/>
  <c r="AN16" i="24"/>
  <c r="AM16" i="24"/>
  <c r="C16" i="24"/>
  <c r="AN15" i="24"/>
  <c r="AM15" i="24"/>
  <c r="AN14" i="24"/>
  <c r="AM14" i="24"/>
  <c r="K14" i="24"/>
  <c r="AN13" i="24"/>
  <c r="AM13" i="24"/>
  <c r="AN12" i="24"/>
  <c r="AM12" i="24"/>
  <c r="AN11" i="24"/>
  <c r="AM11" i="24"/>
  <c r="O11" i="24"/>
  <c r="C11" i="24"/>
  <c r="C30" i="24" s="1"/>
  <c r="AN10" i="24"/>
  <c r="AM10" i="24"/>
  <c r="AN9" i="24"/>
  <c r="AM9" i="24"/>
  <c r="O9" i="24"/>
  <c r="C9" i="24"/>
  <c r="AN8" i="24"/>
  <c r="AM8" i="24"/>
  <c r="AN7" i="24"/>
  <c r="AM7" i="24"/>
  <c r="G7" i="24"/>
  <c r="C7" i="24"/>
  <c r="AN6" i="24"/>
  <c r="AM6" i="24"/>
  <c r="O6" i="24"/>
  <c r="AO5" i="24"/>
  <c r="AN5" i="24"/>
  <c r="AI6" i="24" s="1"/>
  <c r="AM5" i="24"/>
  <c r="AG6" i="24" s="1"/>
  <c r="AK5" i="24"/>
  <c r="G5" i="24"/>
  <c r="G6" i="24" s="1"/>
  <c r="AD4" i="24"/>
  <c r="Z4" i="24"/>
  <c r="O4" i="24"/>
  <c r="G4" i="24"/>
  <c r="G10" i="24" s="1"/>
  <c r="C56" i="23"/>
  <c r="C55" i="23"/>
  <c r="C51" i="23"/>
  <c r="C50" i="23"/>
  <c r="AN44" i="23"/>
  <c r="AM44" i="23"/>
  <c r="AN43" i="23"/>
  <c r="AM43" i="23"/>
  <c r="AN42" i="23"/>
  <c r="AM42" i="23"/>
  <c r="AN41" i="23"/>
  <c r="AM41" i="23"/>
  <c r="C41" i="23"/>
  <c r="K21" i="23" s="1"/>
  <c r="AN40" i="23"/>
  <c r="AM40" i="23"/>
  <c r="AN39" i="23"/>
  <c r="AM39" i="23"/>
  <c r="AN38" i="23"/>
  <c r="AM38" i="23"/>
  <c r="AN37" i="23"/>
  <c r="AM37" i="23"/>
  <c r="AN36" i="23"/>
  <c r="AM36" i="23"/>
  <c r="AN35" i="23"/>
  <c r="AM35" i="23"/>
  <c r="AN34" i="23"/>
  <c r="AM34" i="23"/>
  <c r="AN33" i="23"/>
  <c r="AM33" i="23"/>
  <c r="AN32" i="23"/>
  <c r="AM32" i="23"/>
  <c r="G32" i="23"/>
  <c r="AN31" i="23"/>
  <c r="AM31" i="23"/>
  <c r="AN30" i="23"/>
  <c r="AM30" i="23"/>
  <c r="AN29" i="23"/>
  <c r="AM29" i="23"/>
  <c r="K29" i="23"/>
  <c r="G29" i="23"/>
  <c r="G27" i="23" s="1"/>
  <c r="AN28" i="23"/>
  <c r="AM28" i="23"/>
  <c r="K28" i="23"/>
  <c r="AN27" i="23"/>
  <c r="AM27" i="23"/>
  <c r="K27" i="23"/>
  <c r="AN26" i="23"/>
  <c r="AM26" i="23"/>
  <c r="K26" i="23"/>
  <c r="G26" i="23"/>
  <c r="AN25" i="23"/>
  <c r="AM25" i="23"/>
  <c r="G25" i="23"/>
  <c r="AN24" i="23"/>
  <c r="AM24" i="23"/>
  <c r="K24" i="23"/>
  <c r="G24" i="23"/>
  <c r="AN23" i="23"/>
  <c r="AM23" i="23"/>
  <c r="K23" i="23"/>
  <c r="G23" i="23"/>
  <c r="C23" i="23"/>
  <c r="AN22" i="23"/>
  <c r="AM22" i="23"/>
  <c r="K22" i="23"/>
  <c r="AN21" i="23"/>
  <c r="AM21" i="23"/>
  <c r="O21" i="23"/>
  <c r="G14" i="23" s="1"/>
  <c r="G15" i="23" s="1"/>
  <c r="AN20" i="23"/>
  <c r="AM20" i="23"/>
  <c r="K20" i="23"/>
  <c r="AN19" i="23"/>
  <c r="AM19" i="23"/>
  <c r="O19" i="23"/>
  <c r="AN18" i="23"/>
  <c r="AM18" i="23"/>
  <c r="AN17" i="23"/>
  <c r="AM17" i="23"/>
  <c r="C17" i="23"/>
  <c r="AN16" i="23"/>
  <c r="AM16" i="23"/>
  <c r="C16" i="23"/>
  <c r="AN15" i="23"/>
  <c r="AM15" i="23"/>
  <c r="AN14" i="23"/>
  <c r="AM14" i="23"/>
  <c r="K14" i="23"/>
  <c r="AN13" i="23"/>
  <c r="AM13" i="23"/>
  <c r="AN12" i="23"/>
  <c r="AM12" i="23"/>
  <c r="AN11" i="23"/>
  <c r="AM11" i="23"/>
  <c r="O11" i="23"/>
  <c r="C11" i="23"/>
  <c r="C30" i="23" s="1"/>
  <c r="AN10" i="23"/>
  <c r="AM10" i="23"/>
  <c r="AN9" i="23"/>
  <c r="AM9" i="23"/>
  <c r="O9" i="23"/>
  <c r="C9" i="23"/>
  <c r="AN8" i="23"/>
  <c r="AM8" i="23"/>
  <c r="AN7" i="23"/>
  <c r="AM7" i="23"/>
  <c r="G7" i="23"/>
  <c r="C7" i="23"/>
  <c r="AN6" i="23"/>
  <c r="AM6" i="23"/>
  <c r="O6" i="23"/>
  <c r="AO5" i="23"/>
  <c r="AN5" i="23"/>
  <c r="AI6" i="23" s="1"/>
  <c r="AM5" i="23"/>
  <c r="AG6" i="23" s="1"/>
  <c r="AK5" i="23"/>
  <c r="G5" i="23"/>
  <c r="G6" i="23" s="1"/>
  <c r="AD4" i="23"/>
  <c r="Z4" i="23"/>
  <c r="O4" i="23"/>
  <c r="G4" i="23"/>
  <c r="G10" i="23" s="1"/>
  <c r="C56" i="22"/>
  <c r="C55" i="22"/>
  <c r="C51" i="22"/>
  <c r="C50" i="22"/>
  <c r="AN44" i="22"/>
  <c r="AM44" i="22"/>
  <c r="AN43" i="22"/>
  <c r="AM43" i="22"/>
  <c r="AN42" i="22"/>
  <c r="AM42" i="22"/>
  <c r="AN41" i="22"/>
  <c r="AM41" i="22"/>
  <c r="C41" i="22"/>
  <c r="K21" i="22" s="1"/>
  <c r="AN40" i="22"/>
  <c r="AM40" i="22"/>
  <c r="AN39" i="22"/>
  <c r="AM39" i="22"/>
  <c r="AN38" i="22"/>
  <c r="AM38" i="22"/>
  <c r="AN37" i="22"/>
  <c r="AM37" i="22"/>
  <c r="AN36" i="22"/>
  <c r="AM36" i="22"/>
  <c r="AN35" i="22"/>
  <c r="AM35" i="22"/>
  <c r="AN34" i="22"/>
  <c r="AM34" i="22"/>
  <c r="AN33" i="22"/>
  <c r="AM33" i="22"/>
  <c r="AN32" i="22"/>
  <c r="AM32" i="22"/>
  <c r="G32" i="22"/>
  <c r="AN31" i="22"/>
  <c r="AM31" i="22"/>
  <c r="AN30" i="22"/>
  <c r="AM30" i="22"/>
  <c r="AN29" i="22"/>
  <c r="AM29" i="22"/>
  <c r="K29" i="22"/>
  <c r="G29" i="22"/>
  <c r="G27" i="22" s="1"/>
  <c r="AN28" i="22"/>
  <c r="AM28" i="22"/>
  <c r="K28" i="22"/>
  <c r="AN27" i="22"/>
  <c r="AM27" i="22"/>
  <c r="K27" i="22"/>
  <c r="AN26" i="22"/>
  <c r="AM26" i="22"/>
  <c r="K26" i="22"/>
  <c r="G26" i="22"/>
  <c r="AN25" i="22"/>
  <c r="AM25" i="22"/>
  <c r="G25" i="22"/>
  <c r="AN24" i="22"/>
  <c r="AM24" i="22"/>
  <c r="K24" i="22"/>
  <c r="G24" i="22"/>
  <c r="AN23" i="22"/>
  <c r="AM23" i="22"/>
  <c r="K23" i="22"/>
  <c r="G23" i="22"/>
  <c r="C23" i="22"/>
  <c r="AN22" i="22"/>
  <c r="AM22" i="22"/>
  <c r="K22" i="22"/>
  <c r="AN21" i="22"/>
  <c r="AM21" i="22"/>
  <c r="O21" i="22"/>
  <c r="G14" i="22" s="1"/>
  <c r="G15" i="22" s="1"/>
  <c r="AN20" i="22"/>
  <c r="AM20" i="22"/>
  <c r="K20" i="22"/>
  <c r="AN19" i="22"/>
  <c r="AM19" i="22"/>
  <c r="O19" i="22"/>
  <c r="AN18" i="22"/>
  <c r="AM18" i="22"/>
  <c r="AN17" i="22"/>
  <c r="AM17" i="22"/>
  <c r="C17" i="22"/>
  <c r="AN16" i="22"/>
  <c r="AM16" i="22"/>
  <c r="C16" i="22"/>
  <c r="AN15" i="22"/>
  <c r="AM15" i="22"/>
  <c r="AN14" i="22"/>
  <c r="AM14" i="22"/>
  <c r="K14" i="22"/>
  <c r="AN13" i="22"/>
  <c r="AM13" i="22"/>
  <c r="AN12" i="22"/>
  <c r="AM12" i="22"/>
  <c r="AN11" i="22"/>
  <c r="AM11" i="22"/>
  <c r="O11" i="22"/>
  <c r="C11" i="22"/>
  <c r="C30" i="22" s="1"/>
  <c r="AN10" i="22"/>
  <c r="AM10" i="22"/>
  <c r="AN9" i="22"/>
  <c r="AM9" i="22"/>
  <c r="O9" i="22"/>
  <c r="C9" i="22"/>
  <c r="AN8" i="22"/>
  <c r="AM8" i="22"/>
  <c r="AN7" i="22"/>
  <c r="AM7" i="22"/>
  <c r="G7" i="22"/>
  <c r="C7" i="22"/>
  <c r="AN6" i="22"/>
  <c r="AM6" i="22"/>
  <c r="O6" i="22"/>
  <c r="AO5" i="22"/>
  <c r="AN5" i="22"/>
  <c r="AI6" i="22" s="1"/>
  <c r="AM5" i="22"/>
  <c r="AG6" i="22" s="1"/>
  <c r="AK5" i="22"/>
  <c r="G5" i="22"/>
  <c r="G6" i="22" s="1"/>
  <c r="AD4" i="22"/>
  <c r="Z4" i="22"/>
  <c r="O4" i="22"/>
  <c r="G4" i="22"/>
  <c r="G10" i="22" s="1"/>
  <c r="C56" i="21"/>
  <c r="C55" i="21"/>
  <c r="C51" i="21"/>
  <c r="C50" i="21"/>
  <c r="AN44" i="21"/>
  <c r="AM44" i="21"/>
  <c r="AN43" i="21"/>
  <c r="AM43" i="21"/>
  <c r="AN42" i="21"/>
  <c r="AM42" i="21"/>
  <c r="AN41" i="21"/>
  <c r="AM41" i="21"/>
  <c r="C41" i="21"/>
  <c r="K21" i="21" s="1"/>
  <c r="AN40" i="21"/>
  <c r="AM40" i="21"/>
  <c r="AN39" i="21"/>
  <c r="AM39" i="21"/>
  <c r="AN38" i="21"/>
  <c r="AM38" i="21"/>
  <c r="AN37" i="21"/>
  <c r="AM37" i="21"/>
  <c r="AN36" i="21"/>
  <c r="AM36" i="21"/>
  <c r="AN35" i="21"/>
  <c r="AM35" i="21"/>
  <c r="AN34" i="21"/>
  <c r="AM34" i="21"/>
  <c r="AN33" i="21"/>
  <c r="AM33" i="21"/>
  <c r="AN32" i="21"/>
  <c r="AM32" i="21"/>
  <c r="G32" i="21"/>
  <c r="AN31" i="21"/>
  <c r="AM31" i="21"/>
  <c r="AN30" i="21"/>
  <c r="AM30" i="21"/>
  <c r="AN29" i="21"/>
  <c r="AM29" i="21"/>
  <c r="K29" i="21"/>
  <c r="G29" i="21"/>
  <c r="G27" i="21" s="1"/>
  <c r="AN28" i="21"/>
  <c r="AM28" i="21"/>
  <c r="K28" i="21"/>
  <c r="AN27" i="21"/>
  <c r="AM27" i="21"/>
  <c r="K27" i="21"/>
  <c r="AN26" i="21"/>
  <c r="AM26" i="21"/>
  <c r="K26" i="21"/>
  <c r="G26" i="21"/>
  <c r="AN25" i="21"/>
  <c r="AM25" i="21"/>
  <c r="G25" i="21"/>
  <c r="AN24" i="21"/>
  <c r="AM24" i="21"/>
  <c r="K24" i="21"/>
  <c r="G24" i="21"/>
  <c r="AN23" i="21"/>
  <c r="AM23" i="21"/>
  <c r="K23" i="21"/>
  <c r="G23" i="21"/>
  <c r="C23" i="21"/>
  <c r="AN22" i="21"/>
  <c r="AM22" i="21"/>
  <c r="O22" i="21"/>
  <c r="K22" i="21"/>
  <c r="AN21" i="21"/>
  <c r="AM21" i="21"/>
  <c r="O21" i="21"/>
  <c r="AN20" i="21"/>
  <c r="AM20" i="21"/>
  <c r="K20" i="21"/>
  <c r="AN19" i="21"/>
  <c r="AM19" i="21"/>
  <c r="O19" i="21"/>
  <c r="AN18" i="21"/>
  <c r="AM18" i="21"/>
  <c r="AN17" i="21"/>
  <c r="AM17" i="21"/>
  <c r="C17" i="21"/>
  <c r="AN16" i="21"/>
  <c r="AM16" i="21"/>
  <c r="C16" i="21"/>
  <c r="AN15" i="21"/>
  <c r="AM15" i="21"/>
  <c r="AN14" i="21"/>
  <c r="AM14" i="21"/>
  <c r="K14" i="21"/>
  <c r="G14" i="21"/>
  <c r="G15" i="21" s="1"/>
  <c r="AN13" i="21"/>
  <c r="AM13" i="21"/>
  <c r="AN12" i="21"/>
  <c r="AM12" i="21"/>
  <c r="AN11" i="21"/>
  <c r="AM11" i="21"/>
  <c r="O11" i="21"/>
  <c r="C11" i="21"/>
  <c r="C30" i="21" s="1"/>
  <c r="AN10" i="21"/>
  <c r="AM10" i="21"/>
  <c r="AN9" i="21"/>
  <c r="AM9" i="21"/>
  <c r="O9" i="21"/>
  <c r="C9" i="21"/>
  <c r="AN8" i="21"/>
  <c r="AM8" i="21"/>
  <c r="AN7" i="21"/>
  <c r="AM7" i="21"/>
  <c r="G7" i="21"/>
  <c r="C7" i="21"/>
  <c r="AN6" i="21"/>
  <c r="AM6" i="21"/>
  <c r="O6" i="21"/>
  <c r="AO5" i="21"/>
  <c r="AN5" i="21"/>
  <c r="AI6" i="21" s="1"/>
  <c r="AM5" i="21"/>
  <c r="AG6" i="21" s="1"/>
  <c r="AK5" i="21"/>
  <c r="G5" i="21"/>
  <c r="G6" i="21" s="1"/>
  <c r="AD4" i="21"/>
  <c r="Z4" i="21"/>
  <c r="O4" i="21"/>
  <c r="G4" i="21"/>
  <c r="G10" i="21" s="1"/>
  <c r="C56" i="20"/>
  <c r="C55" i="20"/>
  <c r="C51" i="20"/>
  <c r="C50" i="20"/>
  <c r="AN44" i="20"/>
  <c r="AM44" i="20"/>
  <c r="AN43" i="20"/>
  <c r="AM43" i="20"/>
  <c r="AN42" i="20"/>
  <c r="AM42" i="20"/>
  <c r="AN41" i="20"/>
  <c r="AM41" i="20"/>
  <c r="C41" i="20"/>
  <c r="K21" i="20" s="1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AN33" i="20"/>
  <c r="AM33" i="20"/>
  <c r="AN32" i="20"/>
  <c r="AM32" i="20"/>
  <c r="G32" i="20"/>
  <c r="AN31" i="20"/>
  <c r="AM31" i="20"/>
  <c r="AN30" i="20"/>
  <c r="AM30" i="20"/>
  <c r="AN29" i="20"/>
  <c r="AM29" i="20"/>
  <c r="K29" i="20"/>
  <c r="G29" i="20"/>
  <c r="G27" i="20" s="1"/>
  <c r="AN28" i="20"/>
  <c r="AM28" i="20"/>
  <c r="K28" i="20"/>
  <c r="AN27" i="20"/>
  <c r="AM27" i="20"/>
  <c r="K27" i="20"/>
  <c r="AN26" i="20"/>
  <c r="AM26" i="20"/>
  <c r="K26" i="20"/>
  <c r="G26" i="20"/>
  <c r="AN25" i="20"/>
  <c r="AM25" i="20"/>
  <c r="G25" i="20"/>
  <c r="AN24" i="20"/>
  <c r="AM24" i="20"/>
  <c r="K24" i="20"/>
  <c r="G24" i="20"/>
  <c r="AN23" i="20"/>
  <c r="AM23" i="20"/>
  <c r="K23" i="20"/>
  <c r="G23" i="20"/>
  <c r="C23" i="20"/>
  <c r="AN22" i="20"/>
  <c r="AM22" i="20"/>
  <c r="O22" i="20"/>
  <c r="K22" i="20"/>
  <c r="AN21" i="20"/>
  <c r="AM21" i="20"/>
  <c r="O21" i="20"/>
  <c r="G14" i="20" s="1"/>
  <c r="G15" i="20" s="1"/>
  <c r="AN20" i="20"/>
  <c r="AM20" i="20"/>
  <c r="K20" i="20"/>
  <c r="AN19" i="20"/>
  <c r="AM19" i="20"/>
  <c r="O19" i="20"/>
  <c r="AN18" i="20"/>
  <c r="AM18" i="20"/>
  <c r="AN17" i="20"/>
  <c r="AM17" i="20"/>
  <c r="C17" i="20"/>
  <c r="AN16" i="20"/>
  <c r="AM16" i="20"/>
  <c r="C16" i="20"/>
  <c r="AN15" i="20"/>
  <c r="AM15" i="20"/>
  <c r="AN14" i="20"/>
  <c r="AM14" i="20"/>
  <c r="K14" i="20"/>
  <c r="AN13" i="20"/>
  <c r="AM13" i="20"/>
  <c r="AN12" i="20"/>
  <c r="AM12" i="20"/>
  <c r="AN11" i="20"/>
  <c r="AM11" i="20"/>
  <c r="O11" i="20"/>
  <c r="C11" i="20"/>
  <c r="C30" i="20" s="1"/>
  <c r="AN10" i="20"/>
  <c r="AM10" i="20"/>
  <c r="AN9" i="20"/>
  <c r="AM9" i="20"/>
  <c r="O9" i="20"/>
  <c r="C9" i="20"/>
  <c r="AN8" i="20"/>
  <c r="AM8" i="20"/>
  <c r="AN7" i="20"/>
  <c r="AM7" i="20"/>
  <c r="G7" i="20"/>
  <c r="C7" i="20"/>
  <c r="AN6" i="20"/>
  <c r="AM6" i="20"/>
  <c r="O6" i="20"/>
  <c r="AO5" i="20"/>
  <c r="AN5" i="20"/>
  <c r="AI6" i="20" s="1"/>
  <c r="AM5" i="20"/>
  <c r="AG6" i="20" s="1"/>
  <c r="AK5" i="20"/>
  <c r="G5" i="20"/>
  <c r="G6" i="20" s="1"/>
  <c r="AD4" i="20"/>
  <c r="Z4" i="20"/>
  <c r="O4" i="20"/>
  <c r="G4" i="20"/>
  <c r="G10" i="20" s="1"/>
  <c r="C56" i="19"/>
  <c r="C55" i="19"/>
  <c r="C51" i="19"/>
  <c r="C50" i="19"/>
  <c r="AN44" i="19"/>
  <c r="AM44" i="19"/>
  <c r="AN43" i="19"/>
  <c r="AM43" i="19"/>
  <c r="AN42" i="19"/>
  <c r="AM42" i="19"/>
  <c r="AN41" i="19"/>
  <c r="AM41" i="19"/>
  <c r="C41" i="19"/>
  <c r="K21" i="19" s="1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AN33" i="19"/>
  <c r="AM33" i="19"/>
  <c r="AN32" i="19"/>
  <c r="AM32" i="19"/>
  <c r="G32" i="19"/>
  <c r="AN31" i="19"/>
  <c r="AM31" i="19"/>
  <c r="AN30" i="19"/>
  <c r="AM30" i="19"/>
  <c r="AN29" i="19"/>
  <c r="AM29" i="19"/>
  <c r="K29" i="19"/>
  <c r="G29" i="19"/>
  <c r="G27" i="19" s="1"/>
  <c r="AN28" i="19"/>
  <c r="AM28" i="19"/>
  <c r="K28" i="19"/>
  <c r="AN27" i="19"/>
  <c r="AM27" i="19"/>
  <c r="K27" i="19"/>
  <c r="AN26" i="19"/>
  <c r="AM26" i="19"/>
  <c r="K26" i="19"/>
  <c r="G26" i="19"/>
  <c r="AN25" i="19"/>
  <c r="AM25" i="19"/>
  <c r="G25" i="19"/>
  <c r="AN24" i="19"/>
  <c r="AM24" i="19"/>
  <c r="K24" i="19"/>
  <c r="G24" i="19"/>
  <c r="AN23" i="19"/>
  <c r="AM23" i="19"/>
  <c r="K23" i="19"/>
  <c r="G23" i="19"/>
  <c r="C23" i="19"/>
  <c r="AN22" i="19"/>
  <c r="AM22" i="19"/>
  <c r="K22" i="19"/>
  <c r="AN21" i="19"/>
  <c r="AM21" i="19"/>
  <c r="O21" i="19"/>
  <c r="G14" i="19" s="1"/>
  <c r="G15" i="19" s="1"/>
  <c r="AN20" i="19"/>
  <c r="AM20" i="19"/>
  <c r="K20" i="19"/>
  <c r="AN19" i="19"/>
  <c r="AM19" i="19"/>
  <c r="O19" i="19"/>
  <c r="AN18" i="19"/>
  <c r="AM18" i="19"/>
  <c r="AN17" i="19"/>
  <c r="AM17" i="19"/>
  <c r="C17" i="19"/>
  <c r="AN16" i="19"/>
  <c r="AM16" i="19"/>
  <c r="C16" i="19"/>
  <c r="AN15" i="19"/>
  <c r="AM15" i="19"/>
  <c r="AN14" i="19"/>
  <c r="AM14" i="19"/>
  <c r="K14" i="19"/>
  <c r="AN13" i="19"/>
  <c r="AM13" i="19"/>
  <c r="AN12" i="19"/>
  <c r="AM12" i="19"/>
  <c r="AN11" i="19"/>
  <c r="AM11" i="19"/>
  <c r="O11" i="19"/>
  <c r="C11" i="19"/>
  <c r="C30" i="19" s="1"/>
  <c r="AN10" i="19"/>
  <c r="AM10" i="19"/>
  <c r="AN9" i="19"/>
  <c r="AM9" i="19"/>
  <c r="O9" i="19"/>
  <c r="C9" i="19"/>
  <c r="AN8" i="19"/>
  <c r="AM8" i="19"/>
  <c r="AN7" i="19"/>
  <c r="AM7" i="19"/>
  <c r="G7" i="19"/>
  <c r="C7" i="19"/>
  <c r="AN6" i="19"/>
  <c r="AM6" i="19"/>
  <c r="O6" i="19"/>
  <c r="AO5" i="19"/>
  <c r="AN5" i="19"/>
  <c r="AI6" i="19" s="1"/>
  <c r="AM5" i="19"/>
  <c r="AG6" i="19" s="1"/>
  <c r="AK5" i="19"/>
  <c r="G5" i="19"/>
  <c r="G6" i="19" s="1"/>
  <c r="AD4" i="19"/>
  <c r="Z4" i="19"/>
  <c r="O4" i="19"/>
  <c r="G4" i="19"/>
  <c r="G10" i="19" s="1"/>
  <c r="O9" i="12"/>
  <c r="O10" i="12" s="1"/>
  <c r="C7" i="12"/>
  <c r="C17" i="12"/>
  <c r="G32" i="12"/>
  <c r="O22" i="23" l="1"/>
  <c r="O25" i="23" s="1"/>
  <c r="O22" i="22"/>
  <c r="AK6" i="19"/>
  <c r="AI7" i="19" s="1"/>
  <c r="O25" i="21"/>
  <c r="AK6" i="21"/>
  <c r="AI7" i="21" s="1"/>
  <c r="K46" i="25"/>
  <c r="AK6" i="23"/>
  <c r="AI7" i="23" s="1"/>
  <c r="AK6" i="22"/>
  <c r="AI7" i="22" s="1"/>
  <c r="AI8" i="22" s="1"/>
  <c r="K38" i="25"/>
  <c r="G28" i="25"/>
  <c r="K4" i="25"/>
  <c r="G8" i="25"/>
  <c r="G9" i="25" s="1"/>
  <c r="K25" i="25"/>
  <c r="K45" i="25" s="1"/>
  <c r="AO6" i="25"/>
  <c r="G13" i="25"/>
  <c r="K11" i="25" s="1"/>
  <c r="O22" i="25"/>
  <c r="O5" i="25"/>
  <c r="AK6" i="25"/>
  <c r="AI7" i="25" s="1"/>
  <c r="AG7" i="25"/>
  <c r="K42" i="25"/>
  <c r="K34" i="25"/>
  <c r="O12" i="25"/>
  <c r="O13" i="25" s="1"/>
  <c r="O16" i="25" s="1"/>
  <c r="K46" i="24"/>
  <c r="AG7" i="24"/>
  <c r="K38" i="24"/>
  <c r="G28" i="24"/>
  <c r="AO6" i="24"/>
  <c r="K46" i="23"/>
  <c r="G13" i="24"/>
  <c r="K11" i="24" s="1"/>
  <c r="O5" i="24"/>
  <c r="K25" i="24"/>
  <c r="K37" i="24" s="1"/>
  <c r="K4" i="24"/>
  <c r="G8" i="24"/>
  <c r="G9" i="24" s="1"/>
  <c r="AK6" i="24"/>
  <c r="AI7" i="24" s="1"/>
  <c r="O22" i="24"/>
  <c r="O25" i="24" s="1"/>
  <c r="K34" i="24"/>
  <c r="O12" i="24"/>
  <c r="O13" i="24" s="1"/>
  <c r="O16" i="24" s="1"/>
  <c r="K42" i="24"/>
  <c r="K38" i="23"/>
  <c r="G28" i="23"/>
  <c r="AO6" i="23"/>
  <c r="O5" i="23"/>
  <c r="G13" i="23"/>
  <c r="K11" i="23"/>
  <c r="K4" i="23"/>
  <c r="K25" i="23"/>
  <c r="K45" i="23" s="1"/>
  <c r="G8" i="23"/>
  <c r="G9" i="23" s="1"/>
  <c r="AG7" i="23"/>
  <c r="AK7" i="23" s="1"/>
  <c r="AG8" i="23" s="1"/>
  <c r="K42" i="23"/>
  <c r="K34" i="23"/>
  <c r="K38" i="22"/>
  <c r="AG7" i="22"/>
  <c r="G28" i="22"/>
  <c r="K46" i="22"/>
  <c r="K46" i="21"/>
  <c r="K4" i="22"/>
  <c r="G8" i="22"/>
  <c r="G9" i="22" s="1"/>
  <c r="K25" i="22"/>
  <c r="K37" i="22" s="1"/>
  <c r="O25" i="22"/>
  <c r="G13" i="22"/>
  <c r="O5" i="22"/>
  <c r="K11" i="22"/>
  <c r="AO6" i="22"/>
  <c r="K34" i="22"/>
  <c r="K42" i="22"/>
  <c r="O12" i="22"/>
  <c r="O13" i="22" s="1"/>
  <c r="O16" i="22" s="1"/>
  <c r="K38" i="21"/>
  <c r="G28" i="21"/>
  <c r="AO6" i="21"/>
  <c r="G13" i="21"/>
  <c r="O5" i="21"/>
  <c r="K25" i="21"/>
  <c r="K45" i="21" s="1"/>
  <c r="K4" i="21"/>
  <c r="G8" i="21"/>
  <c r="G9" i="21" s="1"/>
  <c r="K11" i="21"/>
  <c r="AG7" i="21"/>
  <c r="K34" i="21"/>
  <c r="K42" i="21"/>
  <c r="O25" i="20"/>
  <c r="K46" i="20"/>
  <c r="AG7" i="20"/>
  <c r="K38" i="20"/>
  <c r="AO6" i="20"/>
  <c r="G28" i="20"/>
  <c r="K38" i="19"/>
  <c r="G13" i="20"/>
  <c r="K11" i="20" s="1"/>
  <c r="O5" i="20"/>
  <c r="AK6" i="20"/>
  <c r="AI7" i="20" s="1"/>
  <c r="K25" i="20"/>
  <c r="K37" i="20" s="1"/>
  <c r="G8" i="20"/>
  <c r="G9" i="20" s="1"/>
  <c r="K4" i="20"/>
  <c r="K42" i="20"/>
  <c r="O12" i="20"/>
  <c r="O13" i="20" s="1"/>
  <c r="O16" i="20" s="1"/>
  <c r="K34" i="20"/>
  <c r="G28" i="19"/>
  <c r="K46" i="19"/>
  <c r="AG7" i="19"/>
  <c r="G13" i="19"/>
  <c r="K11" i="19" s="1"/>
  <c r="O5" i="19"/>
  <c r="O22" i="19"/>
  <c r="O25" i="19" s="1"/>
  <c r="AO6" i="19"/>
  <c r="K4" i="19"/>
  <c r="G8" i="19"/>
  <c r="G9" i="19" s="1"/>
  <c r="K25" i="19"/>
  <c r="K37" i="19" s="1"/>
  <c r="K34" i="19"/>
  <c r="K42" i="19"/>
  <c r="O12" i="19"/>
  <c r="O13" i="19" s="1"/>
  <c r="O16" i="19" s="1"/>
  <c r="C9" i="12"/>
  <c r="O11" i="12"/>
  <c r="O5" i="12"/>
  <c r="O19" i="12"/>
  <c r="AI8" i="23" l="1"/>
  <c r="AK7" i="21"/>
  <c r="AI8" i="21" s="1"/>
  <c r="AK7" i="25"/>
  <c r="AG8" i="25" s="1"/>
  <c r="AO7" i="24"/>
  <c r="K37" i="25"/>
  <c r="AK7" i="22"/>
  <c r="AG8" i="22" s="1"/>
  <c r="AK8" i="22" s="1"/>
  <c r="AI9" i="22" s="1"/>
  <c r="AI10" i="22" s="1"/>
  <c r="AO7" i="25"/>
  <c r="O25" i="25"/>
  <c r="K5" i="25"/>
  <c r="O14" i="25"/>
  <c r="O10" i="25"/>
  <c r="AK7" i="24"/>
  <c r="AG8" i="24" s="1"/>
  <c r="K45" i="24"/>
  <c r="O10" i="24"/>
  <c r="O14" i="24"/>
  <c r="K5" i="24"/>
  <c r="K37" i="23"/>
  <c r="AK8" i="23"/>
  <c r="AI9" i="23" s="1"/>
  <c r="AG9" i="23"/>
  <c r="AO8" i="23"/>
  <c r="AO7" i="23"/>
  <c r="O10" i="23"/>
  <c r="K5" i="23"/>
  <c r="O12" i="23"/>
  <c r="O13" i="23" s="1"/>
  <c r="O16" i="23" s="1"/>
  <c r="AO7" i="22"/>
  <c r="AK7" i="19"/>
  <c r="AI8" i="19" s="1"/>
  <c r="K45" i="22"/>
  <c r="AO7" i="20"/>
  <c r="AO7" i="19"/>
  <c r="O14" i="22"/>
  <c r="O10" i="22"/>
  <c r="K5" i="22"/>
  <c r="AO7" i="21"/>
  <c r="K5" i="21"/>
  <c r="AG8" i="21"/>
  <c r="AK8" i="21" s="1"/>
  <c r="AG9" i="21" s="1"/>
  <c r="K37" i="21"/>
  <c r="O10" i="21"/>
  <c r="O12" i="21"/>
  <c r="O13" i="21" s="1"/>
  <c r="O16" i="21" s="1"/>
  <c r="K45" i="20"/>
  <c r="K5" i="20"/>
  <c r="AK7" i="20"/>
  <c r="AG8" i="20" s="1"/>
  <c r="O14" i="20"/>
  <c r="O10" i="20"/>
  <c r="K45" i="19"/>
  <c r="K5" i="19"/>
  <c r="O14" i="19"/>
  <c r="O10" i="19"/>
  <c r="C56" i="12"/>
  <c r="C55" i="12"/>
  <c r="C51" i="12"/>
  <c r="C50" i="12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O22" i="12" s="1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K11" i="12" s="1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K5" i="12"/>
  <c r="G5" i="12"/>
  <c r="AD4" i="12"/>
  <c r="Z4" i="12"/>
  <c r="G4" i="12"/>
  <c r="AG8" i="19" l="1"/>
  <c r="AI8" i="25"/>
  <c r="AO8" i="25" s="1"/>
  <c r="AG9" i="22"/>
  <c r="AK9" i="22" s="1"/>
  <c r="AG10" i="22" s="1"/>
  <c r="AO10" i="22" s="1"/>
  <c r="AO8" i="22"/>
  <c r="AI8" i="24"/>
  <c r="AO8" i="24" s="1"/>
  <c r="AK9" i="23"/>
  <c r="AG10" i="23" s="1"/>
  <c r="O20" i="25"/>
  <c r="O15" i="25"/>
  <c r="O28" i="25"/>
  <c r="O30" i="25" s="1"/>
  <c r="O20" i="24"/>
  <c r="O15" i="24"/>
  <c r="AK8" i="24"/>
  <c r="AI9" i="24" s="1"/>
  <c r="AO8" i="19"/>
  <c r="O14" i="23"/>
  <c r="AO9" i="23"/>
  <c r="AO9" i="22"/>
  <c r="O20" i="22"/>
  <c r="O15" i="22"/>
  <c r="AI9" i="21"/>
  <c r="AK9" i="21" s="1"/>
  <c r="AK8" i="19"/>
  <c r="AI9" i="19" s="1"/>
  <c r="O14" i="21"/>
  <c r="AO8" i="21"/>
  <c r="AG9" i="19"/>
  <c r="AI8" i="20"/>
  <c r="AK8" i="20" s="1"/>
  <c r="O20" i="20"/>
  <c r="O15" i="20"/>
  <c r="O20" i="19"/>
  <c r="O15" i="19"/>
  <c r="AG6" i="12"/>
  <c r="G14" i="12"/>
  <c r="G15" i="12" s="1"/>
  <c r="O25" i="12"/>
  <c r="G6" i="12"/>
  <c r="AI6" i="12"/>
  <c r="G25" i="12"/>
  <c r="K42" i="12"/>
  <c r="AI10" i="23" l="1"/>
  <c r="AK10" i="23" s="1"/>
  <c r="AG11" i="23" s="1"/>
  <c r="AK8" i="25"/>
  <c r="AG9" i="25" s="1"/>
  <c r="AK9" i="19"/>
  <c r="AI9" i="25"/>
  <c r="AI10" i="25" s="1"/>
  <c r="AG9" i="24"/>
  <c r="O23" i="25"/>
  <c r="G16" i="25"/>
  <c r="K16" i="25"/>
  <c r="AK10" i="22"/>
  <c r="AO9" i="24"/>
  <c r="AK9" i="24"/>
  <c r="AG10" i="24" s="1"/>
  <c r="O23" i="24"/>
  <c r="G16" i="24"/>
  <c r="K16" i="24"/>
  <c r="O28" i="24"/>
  <c r="O30" i="24" s="1"/>
  <c r="AO9" i="21"/>
  <c r="AO10" i="23"/>
  <c r="AI11" i="23"/>
  <c r="AO11" i="23" s="1"/>
  <c r="O20" i="23"/>
  <c r="O15" i="23"/>
  <c r="AO8" i="20"/>
  <c r="G16" i="22"/>
  <c r="O23" i="22"/>
  <c r="K16" i="22"/>
  <c r="O28" i="22"/>
  <c r="O30" i="22" s="1"/>
  <c r="AG10" i="21"/>
  <c r="AI10" i="21"/>
  <c r="AI9" i="20"/>
  <c r="AI10" i="20" s="1"/>
  <c r="AG9" i="20"/>
  <c r="O20" i="21"/>
  <c r="O15" i="21"/>
  <c r="AO9" i="19"/>
  <c r="AG10" i="19"/>
  <c r="AI10" i="19"/>
  <c r="G16" i="20"/>
  <c r="O23" i="20"/>
  <c r="K16" i="20"/>
  <c r="O28" i="20"/>
  <c r="O30" i="20" s="1"/>
  <c r="G16" i="19"/>
  <c r="O23" i="19"/>
  <c r="K16" i="19"/>
  <c r="O28" i="19"/>
  <c r="O30" i="19" s="1"/>
  <c r="AO6" i="12"/>
  <c r="AK6" i="12"/>
  <c r="AG7" i="12" s="1"/>
  <c r="AG11" i="22" l="1"/>
  <c r="AI11" i="22"/>
  <c r="AO9" i="25"/>
  <c r="AK9" i="25"/>
  <c r="AG10" i="25" s="1"/>
  <c r="AK10" i="25" s="1"/>
  <c r="AG11" i="25" s="1"/>
  <c r="AI10" i="24"/>
  <c r="AO10" i="24" s="1"/>
  <c r="AO9" i="20"/>
  <c r="AO11" i="22"/>
  <c r="AK10" i="24"/>
  <c r="AG11" i="24" s="1"/>
  <c r="G19" i="25"/>
  <c r="AA4" i="25"/>
  <c r="W4" i="25"/>
  <c r="Y4" i="25"/>
  <c r="AO10" i="21"/>
  <c r="G19" i="24"/>
  <c r="W4" i="24"/>
  <c r="AA4" i="24"/>
  <c r="Y4" i="24"/>
  <c r="O23" i="23"/>
  <c r="G16" i="23"/>
  <c r="O28" i="23"/>
  <c r="O30" i="23" s="1"/>
  <c r="K16" i="23"/>
  <c r="AK11" i="23"/>
  <c r="AO10" i="19"/>
  <c r="AK9" i="20"/>
  <c r="AG10" i="20" s="1"/>
  <c r="AO10" i="20" s="1"/>
  <c r="G19" i="22"/>
  <c r="Y4" i="22"/>
  <c r="W4" i="22"/>
  <c r="AA4" i="22"/>
  <c r="AK10" i="19"/>
  <c r="AG11" i="19" s="1"/>
  <c r="AK10" i="21"/>
  <c r="G16" i="21"/>
  <c r="O23" i="21"/>
  <c r="K16" i="21"/>
  <c r="O28" i="21"/>
  <c r="O30" i="21" s="1"/>
  <c r="G19" i="20"/>
  <c r="W4" i="20"/>
  <c r="Y4" i="20"/>
  <c r="AA4" i="20"/>
  <c r="G19" i="19"/>
  <c r="Y4" i="19"/>
  <c r="W4" i="19"/>
  <c r="AA4" i="19"/>
  <c r="AI7" i="12"/>
  <c r="AO7" i="12" s="1"/>
  <c r="AI11" i="24" l="1"/>
  <c r="AK11" i="22"/>
  <c r="AO10" i="25"/>
  <c r="AI11" i="19"/>
  <c r="AK11" i="19" s="1"/>
  <c r="AI12" i="19" s="1"/>
  <c r="AI11" i="25"/>
  <c r="AO11" i="24"/>
  <c r="AB4" i="25"/>
  <c r="V5" i="25" s="1"/>
  <c r="W5" i="25" s="1"/>
  <c r="AI12" i="23"/>
  <c r="AG12" i="23"/>
  <c r="AO12" i="23" s="1"/>
  <c r="AK10" i="20"/>
  <c r="AG11" i="20" s="1"/>
  <c r="AG12" i="20" s="1"/>
  <c r="AO11" i="25"/>
  <c r="AK11" i="25"/>
  <c r="AI12" i="25" s="1"/>
  <c r="AC4" i="25"/>
  <c r="X5" i="25" s="1"/>
  <c r="AC4" i="24"/>
  <c r="X5" i="24" s="1"/>
  <c r="Y5" i="24" s="1"/>
  <c r="AB4" i="24"/>
  <c r="V5" i="24" s="1"/>
  <c r="AK11" i="24"/>
  <c r="G19" i="23"/>
  <c r="W4" i="23"/>
  <c r="AA4" i="23"/>
  <c r="Y4" i="23"/>
  <c r="AB4" i="22"/>
  <c r="V5" i="22" s="1"/>
  <c r="W5" i="22" s="1"/>
  <c r="AC4" i="22"/>
  <c r="X5" i="22" s="1"/>
  <c r="Y5" i="22" s="1"/>
  <c r="AG11" i="21"/>
  <c r="AI11" i="21"/>
  <c r="G19" i="21"/>
  <c r="Y4" i="21"/>
  <c r="W4" i="21"/>
  <c r="AA4" i="21"/>
  <c r="AI11" i="20"/>
  <c r="AC4" i="20"/>
  <c r="X5" i="20" s="1"/>
  <c r="AB4" i="20"/>
  <c r="V5" i="20" s="1"/>
  <c r="AC4" i="19"/>
  <c r="X5" i="19" s="1"/>
  <c r="Y5" i="19" s="1"/>
  <c r="AB4" i="19"/>
  <c r="V5" i="19" s="1"/>
  <c r="AK7" i="12"/>
  <c r="AI8" i="12" s="1"/>
  <c r="AO11" i="19" l="1"/>
  <c r="AI12" i="22"/>
  <c r="AG12" i="22"/>
  <c r="AK12" i="22" s="1"/>
  <c r="AK12" i="23"/>
  <c r="AG13" i="23" s="1"/>
  <c r="AG12" i="25"/>
  <c r="AK12" i="25" s="1"/>
  <c r="AG13" i="25" s="1"/>
  <c r="AK11" i="20"/>
  <c r="AI12" i="20" s="1"/>
  <c r="AK12" i="20" s="1"/>
  <c r="AG13" i="20" s="1"/>
  <c r="AO11" i="21"/>
  <c r="Z5" i="24"/>
  <c r="AA5" i="24" s="1"/>
  <c r="AC5" i="24" s="1"/>
  <c r="X6" i="24" s="1"/>
  <c r="Y6" i="24" s="1"/>
  <c r="AI12" i="24"/>
  <c r="AG12" i="24"/>
  <c r="W5" i="24"/>
  <c r="AG12" i="19"/>
  <c r="AO12" i="19" s="1"/>
  <c r="AD5" i="24"/>
  <c r="AD5" i="25"/>
  <c r="Y5" i="25"/>
  <c r="Z5" i="25"/>
  <c r="AA5" i="25" s="1"/>
  <c r="AB5" i="25" s="1"/>
  <c r="V6" i="25" s="1"/>
  <c r="AO11" i="20"/>
  <c r="AB4" i="23"/>
  <c r="V5" i="23" s="1"/>
  <c r="W5" i="23" s="1"/>
  <c r="AD5" i="22"/>
  <c r="AC4" i="23"/>
  <c r="X5" i="23" s="1"/>
  <c r="Z5" i="22"/>
  <c r="AA5" i="22" s="1"/>
  <c r="AC5" i="22" s="1"/>
  <c r="X6" i="22" s="1"/>
  <c r="AK11" i="21"/>
  <c r="AI12" i="21" s="1"/>
  <c r="AB4" i="21"/>
  <c r="V5" i="21" s="1"/>
  <c r="AC4" i="21"/>
  <c r="X5" i="21" s="1"/>
  <c r="Z5" i="20"/>
  <c r="AA5" i="20" s="1"/>
  <c r="W5" i="20"/>
  <c r="AD5" i="20"/>
  <c r="Y5" i="20"/>
  <c r="Z5" i="19"/>
  <c r="AA5" i="19" s="1"/>
  <c r="AC5" i="19" s="1"/>
  <c r="X6" i="19" s="1"/>
  <c r="W5" i="19"/>
  <c r="AD5" i="19"/>
  <c r="AG8" i="12"/>
  <c r="AO8" i="12" s="1"/>
  <c r="AI13" i="23" l="1"/>
  <c r="AK13" i="23" s="1"/>
  <c r="AI14" i="23" s="1"/>
  <c r="AB5" i="24"/>
  <c r="V6" i="24" s="1"/>
  <c r="Z6" i="24" s="1"/>
  <c r="AA6" i="24" s="1"/>
  <c r="AC6" i="24" s="1"/>
  <c r="X7" i="24" s="1"/>
  <c r="Y7" i="24" s="1"/>
  <c r="AO12" i="20"/>
  <c r="AO12" i="25"/>
  <c r="AG14" i="23"/>
  <c r="AK14" i="23" s="1"/>
  <c r="AG15" i="23" s="1"/>
  <c r="AG13" i="22"/>
  <c r="AI13" i="22"/>
  <c r="AO13" i="22" s="1"/>
  <c r="AO12" i="22"/>
  <c r="AO13" i="23"/>
  <c r="AO12" i="24"/>
  <c r="AI13" i="25"/>
  <c r="AK13" i="25" s="1"/>
  <c r="AI14" i="25" s="1"/>
  <c r="AD6" i="24"/>
  <c r="AK12" i="24"/>
  <c r="AK12" i="19"/>
  <c r="AC5" i="25"/>
  <c r="X6" i="25" s="1"/>
  <c r="Z6" i="25" s="1"/>
  <c r="AA6" i="25" s="1"/>
  <c r="W6" i="25"/>
  <c r="AD5" i="23"/>
  <c r="Y5" i="23"/>
  <c r="AO14" i="23"/>
  <c r="Z5" i="23"/>
  <c r="AA5" i="23" s="1"/>
  <c r="AB5" i="23" s="1"/>
  <c r="V6" i="23" s="1"/>
  <c r="AC5" i="20"/>
  <c r="X6" i="20" s="1"/>
  <c r="Y6" i="20" s="1"/>
  <c r="Y6" i="22"/>
  <c r="AB5" i="22"/>
  <c r="V6" i="22" s="1"/>
  <c r="AI13" i="20"/>
  <c r="AO13" i="20" s="1"/>
  <c r="AG12" i="21"/>
  <c r="AO12" i="21" s="1"/>
  <c r="AD5" i="21"/>
  <c r="Y5" i="21"/>
  <c r="Z5" i="21"/>
  <c r="AA5" i="21" s="1"/>
  <c r="W5" i="21"/>
  <c r="AB5" i="19"/>
  <c r="V6" i="19" s="1"/>
  <c r="Z6" i="19" s="1"/>
  <c r="AA6" i="19" s="1"/>
  <c r="AB5" i="20"/>
  <c r="V6" i="20" s="1"/>
  <c r="Y6" i="19"/>
  <c r="AK8" i="12"/>
  <c r="AI9" i="12" s="1"/>
  <c r="W6" i="24" l="1"/>
  <c r="AB6" i="24" s="1"/>
  <c r="V7" i="24" s="1"/>
  <c r="AK13" i="22"/>
  <c r="AO13" i="25"/>
  <c r="AG14" i="25"/>
  <c r="AK14" i="25" s="1"/>
  <c r="AG15" i="25" s="1"/>
  <c r="AG13" i="24"/>
  <c r="AI13" i="24"/>
  <c r="AK13" i="24"/>
  <c r="AI15" i="23"/>
  <c r="AO15" i="23" s="1"/>
  <c r="AG13" i="19"/>
  <c r="AI13" i="19"/>
  <c r="AB6" i="25"/>
  <c r="V7" i="25" s="1"/>
  <c r="AD6" i="25"/>
  <c r="Y6" i="25"/>
  <c r="AC6" i="25" s="1"/>
  <c r="X7" i="25" s="1"/>
  <c r="AK13" i="20"/>
  <c r="AI14" i="20" s="1"/>
  <c r="AD6" i="20"/>
  <c r="AK12" i="21"/>
  <c r="AI13" i="21" s="1"/>
  <c r="W6" i="23"/>
  <c r="AC5" i="23"/>
  <c r="X6" i="23" s="1"/>
  <c r="Z6" i="22"/>
  <c r="AA6" i="22" s="1"/>
  <c r="AC6" i="22" s="1"/>
  <c r="X7" i="22" s="1"/>
  <c r="W6" i="22"/>
  <c r="AD6" i="22"/>
  <c r="AB5" i="21"/>
  <c r="V6" i="21" s="1"/>
  <c r="W6" i="21" s="1"/>
  <c r="AD6" i="19"/>
  <c r="W6" i="19"/>
  <c r="AB6" i="19" s="1"/>
  <c r="V7" i="19" s="1"/>
  <c r="AC5" i="21"/>
  <c r="X6" i="21" s="1"/>
  <c r="Z6" i="20"/>
  <c r="AA6" i="20" s="1"/>
  <c r="AC6" i="20" s="1"/>
  <c r="X7" i="20" s="1"/>
  <c r="W6" i="20"/>
  <c r="AG14" i="20"/>
  <c r="AC6" i="19"/>
  <c r="X7" i="19" s="1"/>
  <c r="AG9" i="12"/>
  <c r="AO9" i="12" s="1"/>
  <c r="AD7" i="24" l="1"/>
  <c r="Z7" i="24"/>
  <c r="AA7" i="24" s="1"/>
  <c r="AC7" i="24" s="1"/>
  <c r="X8" i="24" s="1"/>
  <c r="Y8" i="24" s="1"/>
  <c r="W7" i="24"/>
  <c r="AO14" i="25"/>
  <c r="AI14" i="22"/>
  <c r="AG14" i="22"/>
  <c r="AK15" i="23"/>
  <c r="AI16" i="23" s="1"/>
  <c r="AO13" i="19"/>
  <c r="AK13" i="19"/>
  <c r="AG14" i="19" s="1"/>
  <c r="AB7" i="24"/>
  <c r="V8" i="24" s="1"/>
  <c r="Z8" i="24" s="1"/>
  <c r="AA8" i="24" s="1"/>
  <c r="AI15" i="25"/>
  <c r="AO15" i="25" s="1"/>
  <c r="AO13" i="24"/>
  <c r="AI14" i="24"/>
  <c r="AG14" i="24"/>
  <c r="AG13" i="21"/>
  <c r="AK13" i="21" s="1"/>
  <c r="AI14" i="21" s="1"/>
  <c r="AI14" i="19"/>
  <c r="AB6" i="20"/>
  <c r="V7" i="20" s="1"/>
  <c r="W7" i="20" s="1"/>
  <c r="AD7" i="25"/>
  <c r="Y7" i="25"/>
  <c r="Z7" i="25"/>
  <c r="AA7" i="25" s="1"/>
  <c r="W7" i="25"/>
  <c r="AB6" i="22"/>
  <c r="V7" i="22" s="1"/>
  <c r="Z7" i="22" s="1"/>
  <c r="AA7" i="22" s="1"/>
  <c r="AD6" i="23"/>
  <c r="Y6" i="23"/>
  <c r="Z6" i="23"/>
  <c r="AA6" i="23" s="1"/>
  <c r="AB6" i="23" s="1"/>
  <c r="V7" i="23" s="1"/>
  <c r="Y7" i="22"/>
  <c r="AO14" i="20"/>
  <c r="AD6" i="21"/>
  <c r="Y6" i="21"/>
  <c r="Z6" i="21"/>
  <c r="AA6" i="21" s="1"/>
  <c r="AB6" i="21" s="1"/>
  <c r="V7" i="21" s="1"/>
  <c r="AK14" i="20"/>
  <c r="AG15" i="20" s="1"/>
  <c r="Y7" i="20"/>
  <c r="Z7" i="19"/>
  <c r="AA7" i="19" s="1"/>
  <c r="W7" i="19"/>
  <c r="AD7" i="19"/>
  <c r="Y7" i="19"/>
  <c r="AK9" i="12"/>
  <c r="AI10" i="12" s="1"/>
  <c r="AK14" i="22" l="1"/>
  <c r="AK15" i="25"/>
  <c r="AI16" i="25" s="1"/>
  <c r="AD8" i="24"/>
  <c r="AG16" i="23"/>
  <c r="AO16" i="23" s="1"/>
  <c r="W8" i="24"/>
  <c r="AB8" i="24" s="1"/>
  <c r="V9" i="24" s="1"/>
  <c r="AC8" i="24"/>
  <c r="X9" i="24" s="1"/>
  <c r="Y9" i="24" s="1"/>
  <c r="AG15" i="22"/>
  <c r="AI15" i="22"/>
  <c r="AO14" i="22"/>
  <c r="AK14" i="24"/>
  <c r="AG15" i="24" s="1"/>
  <c r="AK16" i="23"/>
  <c r="AG17" i="23" s="1"/>
  <c r="AO13" i="21"/>
  <c r="AG16" i="25"/>
  <c r="AG14" i="21"/>
  <c r="AO14" i="21" s="1"/>
  <c r="AO14" i="19"/>
  <c r="AD7" i="20"/>
  <c r="AO14" i="24"/>
  <c r="Z7" i="20"/>
  <c r="AA7" i="20" s="1"/>
  <c r="AB7" i="20" s="1"/>
  <c r="V8" i="20" s="1"/>
  <c r="W8" i="20" s="1"/>
  <c r="AK14" i="19"/>
  <c r="AD7" i="22"/>
  <c r="AB7" i="25"/>
  <c r="V8" i="25" s="1"/>
  <c r="W8" i="25" s="1"/>
  <c r="W7" i="22"/>
  <c r="AB7" i="22" s="1"/>
  <c r="V8" i="22" s="1"/>
  <c r="AC7" i="25"/>
  <c r="X8" i="25" s="1"/>
  <c r="W7" i="23"/>
  <c r="AC6" i="23"/>
  <c r="X7" i="23" s="1"/>
  <c r="AC7" i="22"/>
  <c r="X8" i="22" s="1"/>
  <c r="AI15" i="20"/>
  <c r="AO15" i="20" s="1"/>
  <c r="W7" i="21"/>
  <c r="AC6" i="21"/>
  <c r="X7" i="21" s="1"/>
  <c r="AC7" i="19"/>
  <c r="X8" i="19" s="1"/>
  <c r="Y8" i="19" s="1"/>
  <c r="AB7" i="19"/>
  <c r="V8" i="19" s="1"/>
  <c r="AG10" i="12"/>
  <c r="AO10" i="12" s="1"/>
  <c r="AO15" i="22" l="1"/>
  <c r="AO16" i="25"/>
  <c r="Z9" i="24"/>
  <c r="AA9" i="24" s="1"/>
  <c r="AC9" i="24" s="1"/>
  <c r="X10" i="24" s="1"/>
  <c r="W9" i="24"/>
  <c r="AD9" i="24"/>
  <c r="AI17" i="23"/>
  <c r="AO17" i="23" s="1"/>
  <c r="AK16" i="25"/>
  <c r="AG17" i="25" s="1"/>
  <c r="AI15" i="24"/>
  <c r="AO15" i="24" s="1"/>
  <c r="AK15" i="22"/>
  <c r="AK14" i="21"/>
  <c r="AI15" i="21" s="1"/>
  <c r="AK17" i="23"/>
  <c r="AG18" i="23" s="1"/>
  <c r="AB9" i="24"/>
  <c r="V10" i="24" s="1"/>
  <c r="W10" i="24" s="1"/>
  <c r="AC7" i="20"/>
  <c r="X8" i="20" s="1"/>
  <c r="Z8" i="20" s="1"/>
  <c r="AA8" i="20" s="1"/>
  <c r="AB8" i="20" s="1"/>
  <c r="V9" i="20" s="1"/>
  <c r="AG15" i="19"/>
  <c r="AI15" i="19"/>
  <c r="AD8" i="25"/>
  <c r="Y8" i="25"/>
  <c r="Z8" i="25"/>
  <c r="AA8" i="25" s="1"/>
  <c r="AB8" i="25" s="1"/>
  <c r="V9" i="25" s="1"/>
  <c r="AD7" i="23"/>
  <c r="Y7" i="23"/>
  <c r="Z7" i="23"/>
  <c r="AA7" i="23" s="1"/>
  <c r="AB7" i="23" s="1"/>
  <c r="V8" i="23" s="1"/>
  <c r="AK15" i="20"/>
  <c r="AG16" i="20" s="1"/>
  <c r="Y8" i="22"/>
  <c r="AD8" i="22"/>
  <c r="Z8" i="22"/>
  <c r="AA8" i="22" s="1"/>
  <c r="W8" i="22"/>
  <c r="AG15" i="21"/>
  <c r="AD7" i="21"/>
  <c r="Y7" i="21"/>
  <c r="Z7" i="21"/>
  <c r="AA7" i="21" s="1"/>
  <c r="AB7" i="21" s="1"/>
  <c r="V8" i="21" s="1"/>
  <c r="Z8" i="19"/>
  <c r="AA8" i="19" s="1"/>
  <c r="AC8" i="19" s="1"/>
  <c r="X9" i="19" s="1"/>
  <c r="W8" i="19"/>
  <c r="AD8" i="19"/>
  <c r="AK10" i="12"/>
  <c r="AI17" i="25" l="1"/>
  <c r="AK15" i="24"/>
  <c r="AO17" i="25"/>
  <c r="AD10" i="24"/>
  <c r="AI18" i="23"/>
  <c r="AO18" i="23" s="1"/>
  <c r="AD8" i="20"/>
  <c r="AI16" i="22"/>
  <c r="AG16" i="22"/>
  <c r="Z10" i="24"/>
  <c r="AA10" i="24" s="1"/>
  <c r="AB10" i="24" s="1"/>
  <c r="V11" i="24" s="1"/>
  <c r="W11" i="24" s="1"/>
  <c r="Y10" i="24"/>
  <c r="AI16" i="20"/>
  <c r="AK16" i="20" s="1"/>
  <c r="AI17" i="20" s="1"/>
  <c r="AK17" i="25"/>
  <c r="AG18" i="25" s="1"/>
  <c r="Y8" i="20"/>
  <c r="AC8" i="20" s="1"/>
  <c r="X9" i="20" s="1"/>
  <c r="AK15" i="21"/>
  <c r="AG16" i="21" s="1"/>
  <c r="AI16" i="24"/>
  <c r="AG16" i="24"/>
  <c r="AK18" i="23"/>
  <c r="AK15" i="19"/>
  <c r="AO15" i="19"/>
  <c r="W9" i="25"/>
  <c r="AC8" i="25"/>
  <c r="X9" i="25" s="1"/>
  <c r="W8" i="23"/>
  <c r="AC7" i="23"/>
  <c r="X8" i="23" s="1"/>
  <c r="AB8" i="22"/>
  <c r="V9" i="22" s="1"/>
  <c r="W9" i="22" s="1"/>
  <c r="AC8" i="22"/>
  <c r="X9" i="22" s="1"/>
  <c r="AO15" i="21"/>
  <c r="W8" i="21"/>
  <c r="AC7" i="21"/>
  <c r="X8" i="21" s="1"/>
  <c r="AB8" i="19"/>
  <c r="V9" i="19" s="1"/>
  <c r="AD9" i="19" s="1"/>
  <c r="W9" i="20"/>
  <c r="Y9" i="19"/>
  <c r="AG11" i="12"/>
  <c r="AI11" i="12"/>
  <c r="AC10" i="24" l="1"/>
  <c r="X11" i="24" s="1"/>
  <c r="AK16" i="22"/>
  <c r="AI18" i="25"/>
  <c r="AK18" i="25" s="1"/>
  <c r="AO18" i="25"/>
  <c r="AG17" i="22"/>
  <c r="AI17" i="22"/>
  <c r="AO17" i="22" s="1"/>
  <c r="AO16" i="22"/>
  <c r="AO16" i="20"/>
  <c r="AK16" i="24"/>
  <c r="AG17" i="24" s="1"/>
  <c r="AI16" i="21"/>
  <c r="AK16" i="21" s="1"/>
  <c r="AI17" i="21" s="1"/>
  <c r="AG17" i="20"/>
  <c r="AK17" i="20" s="1"/>
  <c r="AG19" i="25"/>
  <c r="AO16" i="24"/>
  <c r="AI19" i="23"/>
  <c r="AG19" i="23"/>
  <c r="AG16" i="19"/>
  <c r="AI16" i="19"/>
  <c r="AD9" i="25"/>
  <c r="Y9" i="25"/>
  <c r="Z9" i="25"/>
  <c r="AA9" i="25" s="1"/>
  <c r="AB9" i="25" s="1"/>
  <c r="V10" i="25" s="1"/>
  <c r="AD11" i="24"/>
  <c r="Y11" i="24"/>
  <c r="Z11" i="24"/>
  <c r="AA11" i="24" s="1"/>
  <c r="AB11" i="24" s="1"/>
  <c r="V12" i="24" s="1"/>
  <c r="AD8" i="23"/>
  <c r="Y8" i="23"/>
  <c r="Z8" i="23"/>
  <c r="AA8" i="23" s="1"/>
  <c r="AB8" i="23" s="1"/>
  <c r="V9" i="23" s="1"/>
  <c r="Z9" i="22"/>
  <c r="AA9" i="22" s="1"/>
  <c r="AB9" i="22" s="1"/>
  <c r="V10" i="22" s="1"/>
  <c r="AD9" i="22"/>
  <c r="Y9" i="22"/>
  <c r="W9" i="19"/>
  <c r="Z9" i="19"/>
  <c r="AA9" i="19" s="1"/>
  <c r="AB9" i="19" s="1"/>
  <c r="V10" i="19" s="1"/>
  <c r="AD8" i="21"/>
  <c r="Y8" i="21"/>
  <c r="Z8" i="21"/>
  <c r="AA8" i="21" s="1"/>
  <c r="AB8" i="21" s="1"/>
  <c r="V9" i="21" s="1"/>
  <c r="AD9" i="20"/>
  <c r="Y9" i="20"/>
  <c r="Z9" i="20"/>
  <c r="AA9" i="20" s="1"/>
  <c r="AB9" i="20" s="1"/>
  <c r="V10" i="20" s="1"/>
  <c r="AO11" i="12"/>
  <c r="AK11" i="12"/>
  <c r="AK19" i="23" l="1"/>
  <c r="AO16" i="21"/>
  <c r="AI19" i="25"/>
  <c r="AO19" i="25" s="1"/>
  <c r="AI17" i="24"/>
  <c r="AO17" i="20"/>
  <c r="AK17" i="22"/>
  <c r="AG17" i="21"/>
  <c r="AO17" i="21" s="1"/>
  <c r="AO17" i="24"/>
  <c r="AK17" i="24"/>
  <c r="AG18" i="24" s="1"/>
  <c r="AG20" i="23"/>
  <c r="AI20" i="23"/>
  <c r="AO19" i="23"/>
  <c r="AK16" i="19"/>
  <c r="AO16" i="19"/>
  <c r="AC9" i="22"/>
  <c r="X10" i="22" s="1"/>
  <c r="Z10" i="22" s="1"/>
  <c r="AA10" i="22" s="1"/>
  <c r="W10" i="25"/>
  <c r="AC9" i="25"/>
  <c r="X10" i="25" s="1"/>
  <c r="W12" i="24"/>
  <c r="AC11" i="24"/>
  <c r="X12" i="24" s="1"/>
  <c r="W9" i="23"/>
  <c r="AC8" i="23"/>
  <c r="X9" i="23" s="1"/>
  <c r="W10" i="22"/>
  <c r="AC9" i="19"/>
  <c r="X10" i="19" s="1"/>
  <c r="Y10" i="19" s="1"/>
  <c r="AK17" i="21"/>
  <c r="AG18" i="20"/>
  <c r="AI18" i="20"/>
  <c r="W9" i="21"/>
  <c r="AC8" i="21"/>
  <c r="X9" i="21" s="1"/>
  <c r="W10" i="20"/>
  <c r="AC9" i="20"/>
  <c r="X10" i="20" s="1"/>
  <c r="W10" i="19"/>
  <c r="AI12" i="12"/>
  <c r="AG12" i="12"/>
  <c r="AK19" i="25" l="1"/>
  <c r="AG20" i="25" s="1"/>
  <c r="AI20" i="25"/>
  <c r="AK20" i="25" s="1"/>
  <c r="AG18" i="22"/>
  <c r="AI18" i="22"/>
  <c r="AO18" i="22" s="1"/>
  <c r="AO20" i="23"/>
  <c r="AD10" i="22"/>
  <c r="Y10" i="22"/>
  <c r="AC10" i="22" s="1"/>
  <c r="X11" i="22" s="1"/>
  <c r="Y11" i="22" s="1"/>
  <c r="AI18" i="24"/>
  <c r="AO18" i="24" s="1"/>
  <c r="AK20" i="23"/>
  <c r="AG17" i="19"/>
  <c r="AI17" i="19"/>
  <c r="AD10" i="25"/>
  <c r="Y10" i="25"/>
  <c r="Z10" i="25"/>
  <c r="AA10" i="25" s="1"/>
  <c r="AB10" i="25" s="1"/>
  <c r="V11" i="25" s="1"/>
  <c r="AD12" i="24"/>
  <c r="Y12" i="24"/>
  <c r="Z12" i="24"/>
  <c r="AA12" i="24" s="1"/>
  <c r="AB12" i="24" s="1"/>
  <c r="V13" i="24" s="1"/>
  <c r="AD9" i="23"/>
  <c r="Y9" i="23"/>
  <c r="Z9" i="23"/>
  <c r="AA9" i="23" s="1"/>
  <c r="AB9" i="23" s="1"/>
  <c r="V10" i="23" s="1"/>
  <c r="AB10" i="22"/>
  <c r="V11" i="22" s="1"/>
  <c r="AD10" i="19"/>
  <c r="Z10" i="19"/>
  <c r="AA10" i="19" s="1"/>
  <c r="AC10" i="19" s="1"/>
  <c r="X11" i="19" s="1"/>
  <c r="Y11" i="19" s="1"/>
  <c r="AI18" i="21"/>
  <c r="AG18" i="21"/>
  <c r="AK18" i="20"/>
  <c r="AO18" i="20"/>
  <c r="AD9" i="21"/>
  <c r="Y9" i="21"/>
  <c r="Z9" i="21"/>
  <c r="AA9" i="21" s="1"/>
  <c r="AB9" i="21" s="1"/>
  <c r="V10" i="21" s="1"/>
  <c r="AD10" i="20"/>
  <c r="Y10" i="20"/>
  <c r="Z10" i="20"/>
  <c r="AA10" i="20" s="1"/>
  <c r="AB10" i="20" s="1"/>
  <c r="V11" i="20" s="1"/>
  <c r="AO12" i="12"/>
  <c r="AK12" i="12"/>
  <c r="AG21" i="25" l="1"/>
  <c r="AO20" i="25"/>
  <c r="AI21" i="25"/>
  <c r="AO21" i="25" s="1"/>
  <c r="AK18" i="22"/>
  <c r="AK18" i="24"/>
  <c r="AG21" i="23"/>
  <c r="AI21" i="23"/>
  <c r="AK17" i="19"/>
  <c r="AO17" i="19"/>
  <c r="W11" i="25"/>
  <c r="AC10" i="25"/>
  <c r="X11" i="25" s="1"/>
  <c r="W13" i="24"/>
  <c r="AC12" i="24"/>
  <c r="X13" i="24" s="1"/>
  <c r="AB10" i="19"/>
  <c r="V11" i="19" s="1"/>
  <c r="W11" i="19" s="1"/>
  <c r="W10" i="23"/>
  <c r="AC9" i="23"/>
  <c r="X10" i="23" s="1"/>
  <c r="AK18" i="21"/>
  <c r="AG19" i="21" s="1"/>
  <c r="W11" i="22"/>
  <c r="AD11" i="22"/>
  <c r="Z11" i="22"/>
  <c r="AA11" i="22" s="1"/>
  <c r="AO18" i="21"/>
  <c r="AI19" i="20"/>
  <c r="AG19" i="20"/>
  <c r="W10" i="21"/>
  <c r="AC9" i="21"/>
  <c r="X10" i="21" s="1"/>
  <c r="W11" i="20"/>
  <c r="AC10" i="20"/>
  <c r="X11" i="20" s="1"/>
  <c r="AG13" i="12"/>
  <c r="AI13" i="12"/>
  <c r="AK21" i="25" l="1"/>
  <c r="AI22" i="25" s="1"/>
  <c r="AI19" i="22"/>
  <c r="AG19" i="22"/>
  <c r="AO21" i="23"/>
  <c r="AG22" i="25"/>
  <c r="AI19" i="24"/>
  <c r="AG19" i="24"/>
  <c r="AK19" i="24" s="1"/>
  <c r="AK21" i="23"/>
  <c r="AG18" i="19"/>
  <c r="AI18" i="19"/>
  <c r="Z11" i="19"/>
  <c r="AA11" i="19" s="1"/>
  <c r="AB11" i="19" s="1"/>
  <c r="V12" i="19" s="1"/>
  <c r="W12" i="19" s="1"/>
  <c r="AD11" i="25"/>
  <c r="Y11" i="25"/>
  <c r="Z11" i="25"/>
  <c r="AA11" i="25" s="1"/>
  <c r="AB11" i="25" s="1"/>
  <c r="V12" i="25" s="1"/>
  <c r="AD11" i="19"/>
  <c r="AD13" i="24"/>
  <c r="Y13" i="24"/>
  <c r="Z13" i="24"/>
  <c r="AA13" i="24" s="1"/>
  <c r="AB13" i="24" s="1"/>
  <c r="V14" i="24" s="1"/>
  <c r="AI19" i="21"/>
  <c r="AO19" i="21" s="1"/>
  <c r="AD10" i="23"/>
  <c r="Y10" i="23"/>
  <c r="Z10" i="23"/>
  <c r="AA10" i="23" s="1"/>
  <c r="AB10" i="23" s="1"/>
  <c r="V11" i="23" s="1"/>
  <c r="AK19" i="20"/>
  <c r="AI20" i="20" s="1"/>
  <c r="AB11" i="22"/>
  <c r="V12" i="22" s="1"/>
  <c r="AC11" i="22"/>
  <c r="X12" i="22" s="1"/>
  <c r="AO19" i="20"/>
  <c r="AD10" i="21"/>
  <c r="Y10" i="21"/>
  <c r="Z10" i="21"/>
  <c r="AA10" i="21" s="1"/>
  <c r="AB10" i="21" s="1"/>
  <c r="V11" i="21" s="1"/>
  <c r="AD11" i="20"/>
  <c r="Y11" i="20"/>
  <c r="Z11" i="20"/>
  <c r="AA11" i="20" s="1"/>
  <c r="AB11" i="20" s="1"/>
  <c r="V12" i="20" s="1"/>
  <c r="AK13" i="12"/>
  <c r="AO13" i="12"/>
  <c r="AK19" i="22" l="1"/>
  <c r="AK22" i="25"/>
  <c r="AG20" i="22"/>
  <c r="AI20" i="22"/>
  <c r="AO20" i="22" s="1"/>
  <c r="AO19" i="22"/>
  <c r="AG20" i="20"/>
  <c r="AO20" i="20" s="1"/>
  <c r="AI23" i="25"/>
  <c r="AG23" i="25"/>
  <c r="AK23" i="25" s="1"/>
  <c r="AG24" i="25" s="1"/>
  <c r="AO22" i="25"/>
  <c r="AO18" i="19"/>
  <c r="AI24" i="25"/>
  <c r="AK24" i="25" s="1"/>
  <c r="AC11" i="19"/>
  <c r="X12" i="19" s="1"/>
  <c r="AD12" i="19" s="1"/>
  <c r="AG20" i="24"/>
  <c r="AI20" i="24"/>
  <c r="AO19" i="24"/>
  <c r="AK19" i="21"/>
  <c r="AI20" i="21" s="1"/>
  <c r="AI22" i="23"/>
  <c r="AG22" i="23"/>
  <c r="AK18" i="19"/>
  <c r="W12" i="25"/>
  <c r="AC11" i="25"/>
  <c r="X12" i="25" s="1"/>
  <c r="W14" i="24"/>
  <c r="AC13" i="24"/>
  <c r="X14" i="24" s="1"/>
  <c r="AK20" i="20"/>
  <c r="AG21" i="20" s="1"/>
  <c r="W11" i="23"/>
  <c r="AC10" i="23"/>
  <c r="X11" i="23" s="1"/>
  <c r="Y12" i="22"/>
  <c r="AD12" i="22"/>
  <c r="W12" i="22"/>
  <c r="Z12" i="22"/>
  <c r="AA12" i="22" s="1"/>
  <c r="W11" i="21"/>
  <c r="AC10" i="21"/>
  <c r="X11" i="21" s="1"/>
  <c r="W12" i="20"/>
  <c r="AC11" i="20"/>
  <c r="X12" i="20" s="1"/>
  <c r="AI14" i="12"/>
  <c r="AG14" i="12"/>
  <c r="AK20" i="22" l="1"/>
  <c r="AI21" i="20"/>
  <c r="AK21" i="20" s="1"/>
  <c r="AG22" i="20" s="1"/>
  <c r="AK22" i="23"/>
  <c r="AG23" i="23" s="1"/>
  <c r="AO20" i="24"/>
  <c r="Y12" i="19"/>
  <c r="Z12" i="19"/>
  <c r="AA12" i="19" s="1"/>
  <c r="AB12" i="19" s="1"/>
  <c r="V13" i="19" s="1"/>
  <c r="W13" i="19" s="1"/>
  <c r="AO24" i="25"/>
  <c r="AI25" i="25"/>
  <c r="AG25" i="25"/>
  <c r="AO23" i="25"/>
  <c r="AG20" i="21"/>
  <c r="AK20" i="21" s="1"/>
  <c r="AI21" i="21" s="1"/>
  <c r="AK20" i="24"/>
  <c r="AO22" i="23"/>
  <c r="AG19" i="19"/>
  <c r="AI19" i="19"/>
  <c r="AD12" i="25"/>
  <c r="Y12" i="25"/>
  <c r="Z12" i="25"/>
  <c r="AA12" i="25" s="1"/>
  <c r="AB12" i="25" s="1"/>
  <c r="V13" i="25" s="1"/>
  <c r="AD14" i="24"/>
  <c r="Y14" i="24"/>
  <c r="Z14" i="24"/>
  <c r="AA14" i="24" s="1"/>
  <c r="AB14" i="24" s="1"/>
  <c r="V15" i="24" s="1"/>
  <c r="AB12" i="22"/>
  <c r="V13" i="22" s="1"/>
  <c r="W13" i="22" s="1"/>
  <c r="AD11" i="23"/>
  <c r="Y11" i="23"/>
  <c r="Z11" i="23"/>
  <c r="AA11" i="23" s="1"/>
  <c r="AB11" i="23" s="1"/>
  <c r="V12" i="23" s="1"/>
  <c r="AC12" i="22"/>
  <c r="X13" i="22" s="1"/>
  <c r="AO21" i="20"/>
  <c r="AD11" i="21"/>
  <c r="Y11" i="21"/>
  <c r="Z11" i="21"/>
  <c r="AA11" i="21" s="1"/>
  <c r="AB11" i="21" s="1"/>
  <c r="V12" i="21" s="1"/>
  <c r="AD12" i="20"/>
  <c r="Y12" i="20"/>
  <c r="Z12" i="20"/>
  <c r="AA12" i="20" s="1"/>
  <c r="AB12" i="20" s="1"/>
  <c r="V13" i="20" s="1"/>
  <c r="AK14" i="12"/>
  <c r="AG15" i="12" s="1"/>
  <c r="AI15" i="12"/>
  <c r="AO14" i="12"/>
  <c r="AI23" i="23" l="1"/>
  <c r="AG21" i="22"/>
  <c r="AI21" i="22"/>
  <c r="AO21" i="22" s="1"/>
  <c r="AK25" i="25"/>
  <c r="AK23" i="23"/>
  <c r="AG24" i="23" s="1"/>
  <c r="AC12" i="19"/>
  <c r="X13" i="19" s="1"/>
  <c r="AD13" i="19" s="1"/>
  <c r="AO20" i="21"/>
  <c r="AO25" i="25"/>
  <c r="AG26" i="25"/>
  <c r="AI26" i="25"/>
  <c r="AK26" i="25" s="1"/>
  <c r="AG27" i="25" s="1"/>
  <c r="AO19" i="19"/>
  <c r="AG21" i="24"/>
  <c r="AI21" i="24"/>
  <c r="AO23" i="23"/>
  <c r="AK19" i="19"/>
  <c r="AI20" i="19" s="1"/>
  <c r="AI22" i="20"/>
  <c r="AO22" i="20" s="1"/>
  <c r="W13" i="25"/>
  <c r="AC12" i="25"/>
  <c r="X13" i="25" s="1"/>
  <c r="W15" i="24"/>
  <c r="AC14" i="24"/>
  <c r="X15" i="24" s="1"/>
  <c r="AG21" i="21"/>
  <c r="AO21" i="21" s="1"/>
  <c r="W12" i="23"/>
  <c r="AC11" i="23"/>
  <c r="X12" i="23" s="1"/>
  <c r="AD13" i="22"/>
  <c r="Y13" i="22"/>
  <c r="Z13" i="22"/>
  <c r="AA13" i="22" s="1"/>
  <c r="AB13" i="22" s="1"/>
  <c r="V14" i="22" s="1"/>
  <c r="W14" i="22" s="1"/>
  <c r="W12" i="21"/>
  <c r="AC11" i="21"/>
  <c r="X12" i="21" s="1"/>
  <c r="W13" i="20"/>
  <c r="AC12" i="20"/>
  <c r="X13" i="20" s="1"/>
  <c r="AO15" i="12"/>
  <c r="AK15" i="12"/>
  <c r="Y13" i="19" l="1"/>
  <c r="AO26" i="25"/>
  <c r="Z13" i="19"/>
  <c r="AA13" i="19" s="1"/>
  <c r="AB13" i="19" s="1"/>
  <c r="V14" i="19" s="1"/>
  <c r="W14" i="19" s="1"/>
  <c r="AI24" i="23"/>
  <c r="AK24" i="23" s="1"/>
  <c r="AO21" i="24"/>
  <c r="AK21" i="22"/>
  <c r="AI27" i="25"/>
  <c r="AO27" i="25" s="1"/>
  <c r="AO24" i="23"/>
  <c r="AG20" i="19"/>
  <c r="AK20" i="19" s="1"/>
  <c r="AG21" i="19" s="1"/>
  <c r="AC13" i="19"/>
  <c r="X14" i="19" s="1"/>
  <c r="AD14" i="19" s="1"/>
  <c r="AK21" i="24"/>
  <c r="AK22" i="20"/>
  <c r="AI23" i="20" s="1"/>
  <c r="AI21" i="19"/>
  <c r="AK21" i="21"/>
  <c r="AI22" i="21" s="1"/>
  <c r="AD13" i="25"/>
  <c r="Y13" i="25"/>
  <c r="Z13" i="25"/>
  <c r="AA13" i="25" s="1"/>
  <c r="AB13" i="25" s="1"/>
  <c r="V14" i="25" s="1"/>
  <c r="AD15" i="24"/>
  <c r="Y15" i="24"/>
  <c r="Z15" i="24"/>
  <c r="AA15" i="24" s="1"/>
  <c r="AB15" i="24" s="1"/>
  <c r="V16" i="24" s="1"/>
  <c r="AD12" i="23"/>
  <c r="Y12" i="23"/>
  <c r="Z12" i="23"/>
  <c r="AA12" i="23" s="1"/>
  <c r="AB12" i="23" s="1"/>
  <c r="V13" i="23" s="1"/>
  <c r="AC13" i="22"/>
  <c r="X14" i="22" s="1"/>
  <c r="AD12" i="21"/>
  <c r="Y12" i="21"/>
  <c r="Z12" i="21"/>
  <c r="AA12" i="21" s="1"/>
  <c r="AB12" i="21" s="1"/>
  <c r="V13" i="21" s="1"/>
  <c r="AD13" i="20"/>
  <c r="Y13" i="20"/>
  <c r="Z13" i="20"/>
  <c r="AA13" i="20" s="1"/>
  <c r="AB13" i="20" s="1"/>
  <c r="V14" i="20" s="1"/>
  <c r="AG16" i="12"/>
  <c r="AI16" i="12"/>
  <c r="Z14" i="19" l="1"/>
  <c r="AA14" i="19" s="1"/>
  <c r="AB14" i="19" s="1"/>
  <c r="V15" i="19" s="1"/>
  <c r="Y14" i="19"/>
  <c r="AO20" i="19"/>
  <c r="AK27" i="25"/>
  <c r="AI22" i="22"/>
  <c r="AG22" i="22"/>
  <c r="AG23" i="20"/>
  <c r="AO23" i="20" s="1"/>
  <c r="AI28" i="25"/>
  <c r="AG28" i="25"/>
  <c r="AI22" i="24"/>
  <c r="AG22" i="24"/>
  <c r="AK22" i="24" s="1"/>
  <c r="AG22" i="21"/>
  <c r="AO22" i="21" s="1"/>
  <c r="AI25" i="23"/>
  <c r="AG25" i="23"/>
  <c r="AK21" i="19"/>
  <c r="AI22" i="19" s="1"/>
  <c r="AO21" i="19"/>
  <c r="W14" i="25"/>
  <c r="AC13" i="25"/>
  <c r="X14" i="25" s="1"/>
  <c r="W16" i="24"/>
  <c r="AC15" i="24"/>
  <c r="X16" i="24" s="1"/>
  <c r="W13" i="23"/>
  <c r="AC12" i="23"/>
  <c r="X13" i="23" s="1"/>
  <c r="AD14" i="22"/>
  <c r="Y14" i="22"/>
  <c r="Z14" i="22"/>
  <c r="AA14" i="22" s="1"/>
  <c r="AB14" i="22" s="1"/>
  <c r="V15" i="22" s="1"/>
  <c r="W15" i="22" s="1"/>
  <c r="W13" i="21"/>
  <c r="AC12" i="21"/>
  <c r="X13" i="21" s="1"/>
  <c r="W14" i="20"/>
  <c r="AC13" i="20"/>
  <c r="X14" i="20" s="1"/>
  <c r="W15" i="19"/>
  <c r="AC14" i="19"/>
  <c r="X15" i="19" s="1"/>
  <c r="AO16" i="12"/>
  <c r="AK16" i="12"/>
  <c r="AK23" i="20" l="1"/>
  <c r="AI24" i="20" s="1"/>
  <c r="AK25" i="23"/>
  <c r="AK22" i="22"/>
  <c r="AK22" i="21"/>
  <c r="AI23" i="21" s="1"/>
  <c r="AI23" i="22"/>
  <c r="AG23" i="22"/>
  <c r="AO22" i="22"/>
  <c r="AO28" i="25"/>
  <c r="AK28" i="25"/>
  <c r="AI23" i="24"/>
  <c r="AG23" i="24"/>
  <c r="AK23" i="24" s="1"/>
  <c r="AO22" i="24"/>
  <c r="AG22" i="19"/>
  <c r="AK22" i="19" s="1"/>
  <c r="AI23" i="19" s="1"/>
  <c r="AG26" i="23"/>
  <c r="AI26" i="23"/>
  <c r="AO25" i="23"/>
  <c r="AG23" i="21"/>
  <c r="AK23" i="21" s="1"/>
  <c r="AI24" i="21" s="1"/>
  <c r="AD14" i="25"/>
  <c r="Y14" i="25"/>
  <c r="Z14" i="25"/>
  <c r="AA14" i="25" s="1"/>
  <c r="AB14" i="25" s="1"/>
  <c r="V15" i="25" s="1"/>
  <c r="AD16" i="24"/>
  <c r="Y16" i="24"/>
  <c r="Z16" i="24"/>
  <c r="AA16" i="24" s="1"/>
  <c r="AB16" i="24" s="1"/>
  <c r="V17" i="24" s="1"/>
  <c r="AD13" i="23"/>
  <c r="Y13" i="23"/>
  <c r="Z13" i="23"/>
  <c r="AA13" i="23" s="1"/>
  <c r="AB13" i="23" s="1"/>
  <c r="V14" i="23" s="1"/>
  <c r="AC14" i="22"/>
  <c r="X15" i="22" s="1"/>
  <c r="AD13" i="21"/>
  <c r="Y13" i="21"/>
  <c r="Z13" i="21"/>
  <c r="AA13" i="21" s="1"/>
  <c r="AB13" i="21" s="1"/>
  <c r="V14" i="21" s="1"/>
  <c r="AD14" i="20"/>
  <c r="Y14" i="20"/>
  <c r="Z14" i="20"/>
  <c r="AA14" i="20" s="1"/>
  <c r="AB14" i="20" s="1"/>
  <c r="V15" i="20" s="1"/>
  <c r="AD15" i="19"/>
  <c r="Y15" i="19"/>
  <c r="Z15" i="19"/>
  <c r="AA15" i="19" s="1"/>
  <c r="AB15" i="19" s="1"/>
  <c r="V16" i="19" s="1"/>
  <c r="AG17" i="12"/>
  <c r="AI17" i="12"/>
  <c r="AG24" i="20" l="1"/>
  <c r="AO24" i="20" s="1"/>
  <c r="AO26" i="23"/>
  <c r="AK23" i="22"/>
  <c r="AG24" i="22"/>
  <c r="AI24" i="22"/>
  <c r="AO23" i="22"/>
  <c r="AG23" i="19"/>
  <c r="AK23" i="19" s="1"/>
  <c r="AI24" i="19" s="1"/>
  <c r="AG29" i="25"/>
  <c r="AI29" i="25"/>
  <c r="AG24" i="21"/>
  <c r="AK24" i="21" s="1"/>
  <c r="AI25" i="21" s="1"/>
  <c r="AO23" i="21"/>
  <c r="AG24" i="24"/>
  <c r="AI24" i="24"/>
  <c r="AO23" i="24"/>
  <c r="AO22" i="19"/>
  <c r="AK26" i="23"/>
  <c r="W15" i="25"/>
  <c r="AC14" i="25"/>
  <c r="X15" i="25" s="1"/>
  <c r="W17" i="24"/>
  <c r="AC16" i="24"/>
  <c r="X17" i="24" s="1"/>
  <c r="W14" i="23"/>
  <c r="AC13" i="23"/>
  <c r="X14" i="23" s="1"/>
  <c r="AD15" i="22"/>
  <c r="Y15" i="22"/>
  <c r="Z15" i="22"/>
  <c r="AA15" i="22" s="1"/>
  <c r="AB15" i="22" s="1"/>
  <c r="V16" i="22" s="1"/>
  <c r="W16" i="22" s="1"/>
  <c r="W14" i="21"/>
  <c r="AC13" i="21"/>
  <c r="X14" i="21" s="1"/>
  <c r="W15" i="20"/>
  <c r="AC14" i="20"/>
  <c r="X15" i="20" s="1"/>
  <c r="AC15" i="19"/>
  <c r="X16" i="19" s="1"/>
  <c r="Z16" i="19" s="1"/>
  <c r="AA16" i="19" s="1"/>
  <c r="W16" i="19"/>
  <c r="AK17" i="12"/>
  <c r="AO17" i="12"/>
  <c r="AO24" i="22" l="1"/>
  <c r="AK24" i="20"/>
  <c r="AI25" i="20" s="1"/>
  <c r="AG25" i="20"/>
  <c r="AO23" i="19"/>
  <c r="AK24" i="22"/>
  <c r="AO29" i="25"/>
  <c r="AO24" i="24"/>
  <c r="AG25" i="21"/>
  <c r="AK25" i="21" s="1"/>
  <c r="AO24" i="21"/>
  <c r="AK29" i="25"/>
  <c r="AK24" i="24"/>
  <c r="AG24" i="19"/>
  <c r="AK24" i="19" s="1"/>
  <c r="AG25" i="19" s="1"/>
  <c r="AG27" i="23"/>
  <c r="AI27" i="23"/>
  <c r="AO27" i="23" s="1"/>
  <c r="AI25" i="19"/>
  <c r="AD15" i="25"/>
  <c r="Y15" i="25"/>
  <c r="Z15" i="25"/>
  <c r="AA15" i="25" s="1"/>
  <c r="AB15" i="25" s="1"/>
  <c r="V16" i="25" s="1"/>
  <c r="AD17" i="24"/>
  <c r="Y17" i="24"/>
  <c r="Z17" i="24"/>
  <c r="AA17" i="24" s="1"/>
  <c r="AB17" i="24" s="1"/>
  <c r="V18" i="24" s="1"/>
  <c r="AD14" i="23"/>
  <c r="Y14" i="23"/>
  <c r="Z14" i="23"/>
  <c r="AA14" i="23" s="1"/>
  <c r="AB14" i="23" s="1"/>
  <c r="V15" i="23" s="1"/>
  <c r="AC15" i="22"/>
  <c r="X16" i="22" s="1"/>
  <c r="AD16" i="19"/>
  <c r="Y16" i="19"/>
  <c r="AC16" i="19" s="1"/>
  <c r="X17" i="19" s="1"/>
  <c r="AD14" i="21"/>
  <c r="Y14" i="21"/>
  <c r="Z14" i="21"/>
  <c r="AA14" i="21" s="1"/>
  <c r="AB14" i="21" s="1"/>
  <c r="V15" i="21" s="1"/>
  <c r="AD15" i="20"/>
  <c r="Y15" i="20"/>
  <c r="Z15" i="20"/>
  <c r="AA15" i="20" s="1"/>
  <c r="AB15" i="20" s="1"/>
  <c r="V16" i="20" s="1"/>
  <c r="AB16" i="19"/>
  <c r="V17" i="19" s="1"/>
  <c r="W17" i="19" s="1"/>
  <c r="AI18" i="12"/>
  <c r="AG18" i="12"/>
  <c r="AO25" i="20" l="1"/>
  <c r="AK25" i="20"/>
  <c r="AI26" i="20" s="1"/>
  <c r="AO25" i="21"/>
  <c r="AG26" i="20"/>
  <c r="AI25" i="22"/>
  <c r="AG25" i="22"/>
  <c r="AK25" i="22" s="1"/>
  <c r="AG30" i="25"/>
  <c r="AI30" i="25"/>
  <c r="AO30" i="25" s="1"/>
  <c r="AO25" i="19"/>
  <c r="AI25" i="24"/>
  <c r="AG25" i="24"/>
  <c r="AO24" i="19"/>
  <c r="AK27" i="23"/>
  <c r="AK25" i="19"/>
  <c r="W16" i="25"/>
  <c r="AC15" i="25"/>
  <c r="X16" i="25" s="1"/>
  <c r="W18" i="24"/>
  <c r="AC17" i="24"/>
  <c r="X18" i="24" s="1"/>
  <c r="AK26" i="20"/>
  <c r="AI27" i="20" s="1"/>
  <c r="W15" i="23"/>
  <c r="AC14" i="23"/>
  <c r="X15" i="23" s="1"/>
  <c r="AD16" i="22"/>
  <c r="Y16" i="22"/>
  <c r="Z16" i="22"/>
  <c r="AA16" i="22" s="1"/>
  <c r="AB16" i="22" s="1"/>
  <c r="V17" i="22" s="1"/>
  <c r="W17" i="22" s="1"/>
  <c r="AI26" i="21"/>
  <c r="AG26" i="21"/>
  <c r="AD17" i="19"/>
  <c r="W15" i="21"/>
  <c r="AC14" i="21"/>
  <c r="X15" i="21" s="1"/>
  <c r="Z17" i="19"/>
  <c r="AA17" i="19" s="1"/>
  <c r="AB17" i="19" s="1"/>
  <c r="V18" i="19" s="1"/>
  <c r="W18" i="19" s="1"/>
  <c r="Y17" i="19"/>
  <c r="W16" i="20"/>
  <c r="AC15" i="20"/>
  <c r="X16" i="20" s="1"/>
  <c r="AK18" i="12"/>
  <c r="AI19" i="12" s="1"/>
  <c r="AG19" i="12"/>
  <c r="AO18" i="12"/>
  <c r="AO26" i="20" l="1"/>
  <c r="AK25" i="24"/>
  <c r="AG27" i="20"/>
  <c r="AO27" i="20" s="1"/>
  <c r="AG26" i="22"/>
  <c r="AI26" i="22"/>
  <c r="AO26" i="22" s="1"/>
  <c r="AO25" i="22"/>
  <c r="AK30" i="25"/>
  <c r="AG26" i="24"/>
  <c r="AI26" i="24"/>
  <c r="AO25" i="24"/>
  <c r="AI28" i="23"/>
  <c r="AG28" i="23"/>
  <c r="AK28" i="23" s="1"/>
  <c r="AG26" i="19"/>
  <c r="AI26" i="19"/>
  <c r="AD16" i="25"/>
  <c r="Y16" i="25"/>
  <c r="Z16" i="25"/>
  <c r="AA16" i="25" s="1"/>
  <c r="AB16" i="25" s="1"/>
  <c r="V17" i="25" s="1"/>
  <c r="AD18" i="24"/>
  <c r="Y18" i="24"/>
  <c r="Z18" i="24"/>
  <c r="AA18" i="24" s="1"/>
  <c r="AB18" i="24" s="1"/>
  <c r="V19" i="24" s="1"/>
  <c r="AK26" i="21"/>
  <c r="AI27" i="21" s="1"/>
  <c r="AD15" i="23"/>
  <c r="Y15" i="23"/>
  <c r="Z15" i="23"/>
  <c r="AA15" i="23" s="1"/>
  <c r="AB15" i="23" s="1"/>
  <c r="V16" i="23" s="1"/>
  <c r="AC16" i="22"/>
  <c r="X17" i="22" s="1"/>
  <c r="AO26" i="21"/>
  <c r="AC17" i="19"/>
  <c r="X18" i="19" s="1"/>
  <c r="AD18" i="19" s="1"/>
  <c r="AD15" i="21"/>
  <c r="Y15" i="21"/>
  <c r="Z15" i="21"/>
  <c r="AA15" i="21" s="1"/>
  <c r="AB15" i="21" s="1"/>
  <c r="V16" i="21" s="1"/>
  <c r="AD16" i="20"/>
  <c r="Y16" i="20"/>
  <c r="Z16" i="20"/>
  <c r="AA16" i="20" s="1"/>
  <c r="AB16" i="20" s="1"/>
  <c r="V17" i="20" s="1"/>
  <c r="AK19" i="12"/>
  <c r="AO19" i="12"/>
  <c r="AK27" i="20" l="1"/>
  <c r="AI28" i="20" s="1"/>
  <c r="AK26" i="22"/>
  <c r="AG28" i="20"/>
  <c r="AO28" i="20" s="1"/>
  <c r="AO26" i="24"/>
  <c r="AG31" i="25"/>
  <c r="AI31" i="25"/>
  <c r="AO31" i="25" s="1"/>
  <c r="AO26" i="19"/>
  <c r="AK26" i="24"/>
  <c r="AG29" i="23"/>
  <c r="AI29" i="23"/>
  <c r="AO28" i="23"/>
  <c r="AK26" i="19"/>
  <c r="W17" i="25"/>
  <c r="AC16" i="25"/>
  <c r="X17" i="25" s="1"/>
  <c r="AG27" i="21"/>
  <c r="AO27" i="21" s="1"/>
  <c r="W19" i="24"/>
  <c r="AC18" i="24"/>
  <c r="X19" i="24" s="1"/>
  <c r="W16" i="23"/>
  <c r="AC15" i="23"/>
  <c r="X16" i="23" s="1"/>
  <c r="AD17" i="22"/>
  <c r="Z17" i="22"/>
  <c r="AA17" i="22" s="1"/>
  <c r="AB17" i="22" s="1"/>
  <c r="V18" i="22" s="1"/>
  <c r="W18" i="22" s="1"/>
  <c r="Y17" i="22"/>
  <c r="Y18" i="19"/>
  <c r="Z18" i="19"/>
  <c r="AA18" i="19" s="1"/>
  <c r="AB18" i="19" s="1"/>
  <c r="V19" i="19" s="1"/>
  <c r="W19" i="19" s="1"/>
  <c r="W16" i="21"/>
  <c r="AC15" i="21"/>
  <c r="X16" i="21" s="1"/>
  <c r="W17" i="20"/>
  <c r="AC16" i="20"/>
  <c r="X17" i="20" s="1"/>
  <c r="AI20" i="12"/>
  <c r="AG20" i="12"/>
  <c r="AK28" i="20" l="1"/>
  <c r="AG29" i="20" s="1"/>
  <c r="AG27" i="22"/>
  <c r="AI27" i="22"/>
  <c r="AO27" i="22" s="1"/>
  <c r="AO29" i="23"/>
  <c r="AK31" i="25"/>
  <c r="AI32" i="25" s="1"/>
  <c r="AG27" i="24"/>
  <c r="AI27" i="24"/>
  <c r="AO27" i="24" s="1"/>
  <c r="AK27" i="21"/>
  <c r="AG28" i="21" s="1"/>
  <c r="AK29" i="23"/>
  <c r="AG27" i="19"/>
  <c r="AI27" i="19"/>
  <c r="AO27" i="19" s="1"/>
  <c r="AD17" i="25"/>
  <c r="Y17" i="25"/>
  <c r="Z17" i="25"/>
  <c r="AA17" i="25" s="1"/>
  <c r="AB17" i="25" s="1"/>
  <c r="V18" i="25" s="1"/>
  <c r="AC17" i="22"/>
  <c r="X18" i="22" s="1"/>
  <c r="AD18" i="22" s="1"/>
  <c r="AD19" i="24"/>
  <c r="Y19" i="24"/>
  <c r="Z19" i="24"/>
  <c r="AA19" i="24" s="1"/>
  <c r="AB19" i="24" s="1"/>
  <c r="V20" i="24" s="1"/>
  <c r="AD16" i="23"/>
  <c r="Y16" i="23"/>
  <c r="Z16" i="23"/>
  <c r="AA16" i="23" s="1"/>
  <c r="AB16" i="23" s="1"/>
  <c r="V17" i="23" s="1"/>
  <c r="AC18" i="19"/>
  <c r="X19" i="19" s="1"/>
  <c r="Y19" i="19" s="1"/>
  <c r="AI29" i="20"/>
  <c r="AK29" i="20" s="1"/>
  <c r="AG30" i="20" s="1"/>
  <c r="AD16" i="21"/>
  <c r="Y16" i="21"/>
  <c r="Z16" i="21"/>
  <c r="AA16" i="21" s="1"/>
  <c r="AB16" i="21" s="1"/>
  <c r="V17" i="21" s="1"/>
  <c r="AD17" i="20"/>
  <c r="Y17" i="20"/>
  <c r="Z17" i="20"/>
  <c r="AA17" i="20" s="1"/>
  <c r="AB17" i="20" s="1"/>
  <c r="V18" i="20" s="1"/>
  <c r="AK20" i="12"/>
  <c r="AI21" i="12" s="1"/>
  <c r="AO20" i="12"/>
  <c r="AG32" i="25" l="1"/>
  <c r="AK32" i="25" s="1"/>
  <c r="AI33" i="25" s="1"/>
  <c r="AK27" i="22"/>
  <c r="AI28" i="21"/>
  <c r="AO28" i="21" s="1"/>
  <c r="AK27" i="24"/>
  <c r="AG30" i="23"/>
  <c r="AI30" i="23"/>
  <c r="AO30" i="23" s="1"/>
  <c r="Y18" i="22"/>
  <c r="AK27" i="19"/>
  <c r="AI28" i="19" s="1"/>
  <c r="AG28" i="19"/>
  <c r="Z18" i="22"/>
  <c r="AA18" i="22" s="1"/>
  <c r="AB18" i="22" s="1"/>
  <c r="V19" i="22" s="1"/>
  <c r="W19" i="22" s="1"/>
  <c r="W18" i="25"/>
  <c r="AC17" i="25"/>
  <c r="X18" i="25" s="1"/>
  <c r="W20" i="24"/>
  <c r="AC19" i="24"/>
  <c r="X20" i="24" s="1"/>
  <c r="Z19" i="19"/>
  <c r="AA19" i="19" s="1"/>
  <c r="AB19" i="19" s="1"/>
  <c r="V20" i="19" s="1"/>
  <c r="W20" i="19" s="1"/>
  <c r="AD19" i="19"/>
  <c r="W17" i="23"/>
  <c r="AC16" i="23"/>
  <c r="X17" i="23" s="1"/>
  <c r="AI30" i="20"/>
  <c r="AO30" i="20" s="1"/>
  <c r="AO29" i="20"/>
  <c r="W17" i="21"/>
  <c r="AC16" i="21"/>
  <c r="X17" i="21" s="1"/>
  <c r="AG21" i="12"/>
  <c r="AK21" i="12" s="1"/>
  <c r="W18" i="20"/>
  <c r="AC17" i="20"/>
  <c r="X18" i="20" s="1"/>
  <c r="AO32" i="25" l="1"/>
  <c r="AG33" i="25"/>
  <c r="AK33" i="25" s="1"/>
  <c r="AI34" i="25" s="1"/>
  <c r="AI28" i="22"/>
  <c r="AG28" i="22"/>
  <c r="AK28" i="21"/>
  <c r="AI29" i="21" s="1"/>
  <c r="AG29" i="21"/>
  <c r="AI28" i="24"/>
  <c r="AG28" i="24"/>
  <c r="AK28" i="24" s="1"/>
  <c r="AC18" i="22"/>
  <c r="X19" i="22" s="1"/>
  <c r="AD19" i="22" s="1"/>
  <c r="AK30" i="20"/>
  <c r="AG31" i="20" s="1"/>
  <c r="AK30" i="23"/>
  <c r="AK28" i="19"/>
  <c r="AI29" i="19" s="1"/>
  <c r="AO28" i="19"/>
  <c r="AD18" i="25"/>
  <c r="Y18" i="25"/>
  <c r="Z18" i="25"/>
  <c r="AA18" i="25" s="1"/>
  <c r="AB18" i="25" s="1"/>
  <c r="V19" i="25" s="1"/>
  <c r="AC19" i="19"/>
  <c r="X20" i="19" s="1"/>
  <c r="Y20" i="19" s="1"/>
  <c r="AD20" i="24"/>
  <c r="Y20" i="24"/>
  <c r="Z20" i="24"/>
  <c r="AA20" i="24" s="1"/>
  <c r="AB20" i="24" s="1"/>
  <c r="V21" i="24" s="1"/>
  <c r="AD17" i="23"/>
  <c r="Y17" i="23"/>
  <c r="Z17" i="23"/>
  <c r="AA17" i="23" s="1"/>
  <c r="AB17" i="23" s="1"/>
  <c r="V18" i="23" s="1"/>
  <c r="AD17" i="21"/>
  <c r="Y17" i="21"/>
  <c r="Z17" i="21"/>
  <c r="AA17" i="21" s="1"/>
  <c r="AB17" i="21" s="1"/>
  <c r="V18" i="21" s="1"/>
  <c r="AG22" i="12"/>
  <c r="AI22" i="12"/>
  <c r="AO21" i="12"/>
  <c r="AD18" i="20"/>
  <c r="Y18" i="20"/>
  <c r="Z18" i="20"/>
  <c r="AA18" i="20" s="1"/>
  <c r="AB18" i="20" s="1"/>
  <c r="V19" i="20" s="1"/>
  <c r="AK29" i="21" l="1"/>
  <c r="AG30" i="21" s="1"/>
  <c r="AK22" i="12"/>
  <c r="AG23" i="12" s="1"/>
  <c r="AO33" i="25"/>
  <c r="AG34" i="25"/>
  <c r="AK34" i="25" s="1"/>
  <c r="AI35" i="25" s="1"/>
  <c r="AK28" i="22"/>
  <c r="AG29" i="22"/>
  <c r="AI29" i="22"/>
  <c r="AO28" i="22"/>
  <c r="AG29" i="19"/>
  <c r="AK29" i="19" s="1"/>
  <c r="AI30" i="19" s="1"/>
  <c r="AO29" i="21"/>
  <c r="Y19" i="22"/>
  <c r="Z19" i="22"/>
  <c r="AA19" i="22" s="1"/>
  <c r="AB19" i="22" s="1"/>
  <c r="V20" i="22" s="1"/>
  <c r="W20" i="22" s="1"/>
  <c r="AI31" i="20"/>
  <c r="AK31" i="20" s="1"/>
  <c r="AI32" i="20" s="1"/>
  <c r="AG29" i="24"/>
  <c r="AI29" i="24"/>
  <c r="AO28" i="24"/>
  <c r="AG31" i="23"/>
  <c r="AI31" i="23"/>
  <c r="Z20" i="19"/>
  <c r="AA20" i="19" s="1"/>
  <c r="AB20" i="19" s="1"/>
  <c r="V21" i="19" s="1"/>
  <c r="W21" i="19" s="1"/>
  <c r="AD20" i="19"/>
  <c r="W19" i="25"/>
  <c r="AC18" i="25"/>
  <c r="X19" i="25" s="1"/>
  <c r="W21" i="24"/>
  <c r="AC20" i="24"/>
  <c r="X21" i="24" s="1"/>
  <c r="AI30" i="21"/>
  <c r="AK30" i="21" s="1"/>
  <c r="W18" i="23"/>
  <c r="AC17" i="23"/>
  <c r="X18" i="23" s="1"/>
  <c r="W18" i="21"/>
  <c r="AC17" i="21"/>
  <c r="X18" i="21" s="1"/>
  <c r="AO22" i="12"/>
  <c r="W19" i="20"/>
  <c r="AC18" i="20"/>
  <c r="X19" i="20" s="1"/>
  <c r="AI23" i="12"/>
  <c r="AO29" i="19" l="1"/>
  <c r="AO34" i="25"/>
  <c r="AG35" i="25"/>
  <c r="AK35" i="25" s="1"/>
  <c r="AO29" i="22"/>
  <c r="AO31" i="20"/>
  <c r="AK29" i="22"/>
  <c r="AG32" i="20"/>
  <c r="AK32" i="20" s="1"/>
  <c r="AO29" i="24"/>
  <c r="AC19" i="22"/>
  <c r="X20" i="22" s="1"/>
  <c r="AD20" i="22" s="1"/>
  <c r="AG30" i="19"/>
  <c r="AK30" i="19" s="1"/>
  <c r="AI31" i="19" s="1"/>
  <c r="AI36" i="25"/>
  <c r="AO31" i="23"/>
  <c r="AK29" i="24"/>
  <c r="AC20" i="19"/>
  <c r="X21" i="19" s="1"/>
  <c r="AD21" i="19" s="1"/>
  <c r="AK31" i="23"/>
  <c r="AD19" i="25"/>
  <c r="Y19" i="25"/>
  <c r="Z19" i="25"/>
  <c r="AA19" i="25" s="1"/>
  <c r="AB19" i="25" s="1"/>
  <c r="V20" i="25" s="1"/>
  <c r="AO30" i="21"/>
  <c r="AD21" i="24"/>
  <c r="Y21" i="24"/>
  <c r="Z21" i="24"/>
  <c r="AA21" i="24" s="1"/>
  <c r="AB21" i="24" s="1"/>
  <c r="V22" i="24" s="1"/>
  <c r="AO32" i="20"/>
  <c r="AD18" i="23"/>
  <c r="Y18" i="23"/>
  <c r="Z18" i="23"/>
  <c r="AA18" i="23" s="1"/>
  <c r="AB18" i="23" s="1"/>
  <c r="V19" i="23" s="1"/>
  <c r="AI31" i="21"/>
  <c r="AG31" i="21"/>
  <c r="AD18" i="21"/>
  <c r="Y18" i="21"/>
  <c r="Z18" i="21"/>
  <c r="AA18" i="21" s="1"/>
  <c r="AB18" i="21" s="1"/>
  <c r="V19" i="21" s="1"/>
  <c r="AD19" i="20"/>
  <c r="Y19" i="20"/>
  <c r="Z19" i="20"/>
  <c r="AA19" i="20" s="1"/>
  <c r="AB19" i="20" s="1"/>
  <c r="V20" i="20" s="1"/>
  <c r="AK23" i="12"/>
  <c r="AO23" i="12"/>
  <c r="AO35" i="25" l="1"/>
  <c r="AG36" i="25"/>
  <c r="AO36" i="25" s="1"/>
  <c r="Z20" i="22"/>
  <c r="AA20" i="22" s="1"/>
  <c r="AB20" i="22" s="1"/>
  <c r="V21" i="22" s="1"/>
  <c r="W21" i="22" s="1"/>
  <c r="AG30" i="22"/>
  <c r="AI30" i="22"/>
  <c r="Y20" i="22"/>
  <c r="AC20" i="22" s="1"/>
  <c r="X21" i="22" s="1"/>
  <c r="AD21" i="22" s="1"/>
  <c r="AG31" i="19"/>
  <c r="AK31" i="19" s="1"/>
  <c r="AI32" i="19" s="1"/>
  <c r="AO30" i="19"/>
  <c r="Z21" i="19"/>
  <c r="AA21" i="19" s="1"/>
  <c r="AB21" i="19" s="1"/>
  <c r="V22" i="19" s="1"/>
  <c r="W22" i="19" s="1"/>
  <c r="Y21" i="19"/>
  <c r="AG30" i="24"/>
  <c r="AI30" i="24"/>
  <c r="AI32" i="23"/>
  <c r="AG32" i="23"/>
  <c r="W20" i="25"/>
  <c r="AC19" i="25"/>
  <c r="X20" i="25" s="1"/>
  <c r="AK31" i="21"/>
  <c r="AG32" i="21" s="1"/>
  <c r="W22" i="24"/>
  <c r="AC21" i="24"/>
  <c r="X22" i="24" s="1"/>
  <c r="W19" i="23"/>
  <c r="AC18" i="23"/>
  <c r="X19" i="23" s="1"/>
  <c r="AI33" i="20"/>
  <c r="AG33" i="20"/>
  <c r="AO31" i="21"/>
  <c r="W19" i="21"/>
  <c r="AC18" i="21"/>
  <c r="X19" i="21" s="1"/>
  <c r="W20" i="20"/>
  <c r="AC19" i="20"/>
  <c r="X20" i="20" s="1"/>
  <c r="AI24" i="12"/>
  <c r="AG24" i="12"/>
  <c r="AC21" i="19" l="1"/>
  <c r="X22" i="19" s="1"/>
  <c r="Y22" i="19" s="1"/>
  <c r="AK36" i="25"/>
  <c r="AO30" i="24"/>
  <c r="AO30" i="22"/>
  <c r="AO31" i="19"/>
  <c r="AK30" i="22"/>
  <c r="AK32" i="23"/>
  <c r="AI33" i="23" s="1"/>
  <c r="AG32" i="19"/>
  <c r="AK32" i="19" s="1"/>
  <c r="AI33" i="19" s="1"/>
  <c r="AG37" i="25"/>
  <c r="AI37" i="25"/>
  <c r="Z21" i="22"/>
  <c r="AA21" i="22" s="1"/>
  <c r="AB21" i="22" s="1"/>
  <c r="V22" i="22" s="1"/>
  <c r="W22" i="22" s="1"/>
  <c r="Y21" i="22"/>
  <c r="Z22" i="19"/>
  <c r="AA22" i="19" s="1"/>
  <c r="AB22" i="19" s="1"/>
  <c r="V23" i="19" s="1"/>
  <c r="W23" i="19" s="1"/>
  <c r="AK33" i="20"/>
  <c r="AG34" i="20" s="1"/>
  <c r="AK30" i="24"/>
  <c r="AD22" i="19"/>
  <c r="AO32" i="23"/>
  <c r="AI32" i="21"/>
  <c r="AO32" i="21" s="1"/>
  <c r="AD20" i="25"/>
  <c r="Y20" i="25"/>
  <c r="Z20" i="25"/>
  <c r="AA20" i="25" s="1"/>
  <c r="AB20" i="25" s="1"/>
  <c r="V21" i="25" s="1"/>
  <c r="AD22" i="24"/>
  <c r="Y22" i="24"/>
  <c r="Z22" i="24"/>
  <c r="AA22" i="24" s="1"/>
  <c r="AB22" i="24" s="1"/>
  <c r="V23" i="24" s="1"/>
  <c r="AD19" i="23"/>
  <c r="Y19" i="23"/>
  <c r="Z19" i="23"/>
  <c r="AA19" i="23" s="1"/>
  <c r="AB19" i="23" s="1"/>
  <c r="V20" i="23" s="1"/>
  <c r="AO33" i="20"/>
  <c r="AD19" i="21"/>
  <c r="Y19" i="21"/>
  <c r="Z19" i="21"/>
  <c r="AA19" i="21" s="1"/>
  <c r="AB19" i="21" s="1"/>
  <c r="V20" i="21" s="1"/>
  <c r="AD20" i="20"/>
  <c r="Y20" i="20"/>
  <c r="Z20" i="20"/>
  <c r="AA20" i="20" s="1"/>
  <c r="AB20" i="20" s="1"/>
  <c r="V21" i="20" s="1"/>
  <c r="AO24" i="12"/>
  <c r="AK24" i="12"/>
  <c r="AO32" i="19" l="1"/>
  <c r="AG33" i="23"/>
  <c r="AI34" i="20"/>
  <c r="AK34" i="20" s="1"/>
  <c r="AI35" i="20" s="1"/>
  <c r="AG31" i="22"/>
  <c r="AI31" i="22"/>
  <c r="AO31" i="22" s="1"/>
  <c r="AO37" i="25"/>
  <c r="AG33" i="19"/>
  <c r="AG34" i="19" s="1"/>
  <c r="AC21" i="22"/>
  <c r="X22" i="22" s="1"/>
  <c r="AD22" i="22" s="1"/>
  <c r="AK33" i="19"/>
  <c r="AI34" i="19" s="1"/>
  <c r="AK33" i="23"/>
  <c r="AI34" i="23" s="1"/>
  <c r="AK32" i="21"/>
  <c r="AG33" i="21" s="1"/>
  <c r="AC22" i="19"/>
  <c r="X23" i="19" s="1"/>
  <c r="AD23" i="19" s="1"/>
  <c r="AK37" i="25"/>
  <c r="AG31" i="24"/>
  <c r="AI31" i="24"/>
  <c r="AO33" i="23"/>
  <c r="W21" i="25"/>
  <c r="AC20" i="25"/>
  <c r="X21" i="25" s="1"/>
  <c r="W23" i="24"/>
  <c r="AC22" i="24"/>
  <c r="X23" i="24" s="1"/>
  <c r="AG35" i="20"/>
  <c r="W20" i="23"/>
  <c r="AC19" i="23"/>
  <c r="X20" i="23" s="1"/>
  <c r="W20" i="21"/>
  <c r="AC19" i="21"/>
  <c r="X20" i="21" s="1"/>
  <c r="W21" i="20"/>
  <c r="AC20" i="20"/>
  <c r="X21" i="20" s="1"/>
  <c r="AG25" i="12"/>
  <c r="AI25" i="12"/>
  <c r="AO35" i="20" l="1"/>
  <c r="AO34" i="20"/>
  <c r="AO31" i="24"/>
  <c r="AO33" i="19"/>
  <c r="AG34" i="23"/>
  <c r="AK31" i="22"/>
  <c r="AI33" i="21"/>
  <c r="AO33" i="21" s="1"/>
  <c r="Y23" i="19"/>
  <c r="Z22" i="22"/>
  <c r="AA22" i="22" s="1"/>
  <c r="AB22" i="22" s="1"/>
  <c r="V23" i="22" s="1"/>
  <c r="W23" i="22" s="1"/>
  <c r="Y22" i="22"/>
  <c r="AK34" i="23"/>
  <c r="AI35" i="23" s="1"/>
  <c r="AO34" i="19"/>
  <c r="Z23" i="19"/>
  <c r="AA23" i="19" s="1"/>
  <c r="AB23" i="19" s="1"/>
  <c r="V24" i="19" s="1"/>
  <c r="W24" i="19" s="1"/>
  <c r="AK34" i="19"/>
  <c r="AG35" i="19" s="1"/>
  <c r="AG38" i="25"/>
  <c r="AI38" i="25"/>
  <c r="AK31" i="24"/>
  <c r="AO34" i="23"/>
  <c r="AK35" i="20"/>
  <c r="AG36" i="20" s="1"/>
  <c r="AD21" i="25"/>
  <c r="Y21" i="25"/>
  <c r="Z21" i="25"/>
  <c r="AA21" i="25" s="1"/>
  <c r="AB21" i="25" s="1"/>
  <c r="V22" i="25" s="1"/>
  <c r="AD23" i="24"/>
  <c r="Y23" i="24"/>
  <c r="Z23" i="24"/>
  <c r="AA23" i="24" s="1"/>
  <c r="AB23" i="24" s="1"/>
  <c r="V24" i="24" s="1"/>
  <c r="AD20" i="23"/>
  <c r="Y20" i="23"/>
  <c r="Z20" i="23"/>
  <c r="AA20" i="23" s="1"/>
  <c r="AB20" i="23" s="1"/>
  <c r="V21" i="23" s="1"/>
  <c r="AD20" i="21"/>
  <c r="Y20" i="21"/>
  <c r="Z20" i="21"/>
  <c r="AA20" i="21" s="1"/>
  <c r="AB20" i="21" s="1"/>
  <c r="V21" i="21" s="1"/>
  <c r="AD21" i="20"/>
  <c r="Y21" i="20"/>
  <c r="Z21" i="20"/>
  <c r="AA21" i="20" s="1"/>
  <c r="AB21" i="20" s="1"/>
  <c r="V22" i="20" s="1"/>
  <c r="AI35" i="19"/>
  <c r="AK25" i="12"/>
  <c r="AO25" i="12"/>
  <c r="AK33" i="21" l="1"/>
  <c r="AI34" i="21" s="1"/>
  <c r="AC22" i="22"/>
  <c r="X23" i="22" s="1"/>
  <c r="Z23" i="22" s="1"/>
  <c r="AA23" i="22" s="1"/>
  <c r="AB23" i="22" s="1"/>
  <c r="V24" i="22" s="1"/>
  <c r="AG35" i="23"/>
  <c r="AI32" i="22"/>
  <c r="AG32" i="22"/>
  <c r="AC23" i="19"/>
  <c r="X24" i="19" s="1"/>
  <c r="Y24" i="19" s="1"/>
  <c r="AI36" i="20"/>
  <c r="AK36" i="20" s="1"/>
  <c r="AI37" i="20" s="1"/>
  <c r="AK35" i="23"/>
  <c r="AI36" i="23" s="1"/>
  <c r="AD24" i="19"/>
  <c r="AG34" i="21"/>
  <c r="AK34" i="21" s="1"/>
  <c r="AO38" i="25"/>
  <c r="AK38" i="25"/>
  <c r="AI32" i="24"/>
  <c r="AG32" i="24"/>
  <c r="AO35" i="23"/>
  <c r="W22" i="25"/>
  <c r="AC21" i="25"/>
  <c r="X22" i="25" s="1"/>
  <c r="W24" i="24"/>
  <c r="AC23" i="24"/>
  <c r="X24" i="24" s="1"/>
  <c r="W21" i="23"/>
  <c r="AC20" i="23"/>
  <c r="X21" i="23" s="1"/>
  <c r="AD23" i="22"/>
  <c r="Y23" i="22"/>
  <c r="AO35" i="19"/>
  <c r="W21" i="21"/>
  <c r="AC20" i="21"/>
  <c r="X21" i="21" s="1"/>
  <c r="W22" i="20"/>
  <c r="AC21" i="20"/>
  <c r="X22" i="20" s="1"/>
  <c r="AK35" i="19"/>
  <c r="AG26" i="12"/>
  <c r="AI26" i="12"/>
  <c r="AO36" i="20" l="1"/>
  <c r="AO34" i="21"/>
  <c r="AG36" i="23"/>
  <c r="AK36" i="23" s="1"/>
  <c r="AO32" i="22"/>
  <c r="AK32" i="22"/>
  <c r="Z24" i="19"/>
  <c r="AA24" i="19" s="1"/>
  <c r="AG37" i="20"/>
  <c r="AK37" i="20" s="1"/>
  <c r="AI38" i="20" s="1"/>
  <c r="AO36" i="23"/>
  <c r="AK32" i="24"/>
  <c r="AI33" i="24" s="1"/>
  <c r="AG39" i="25"/>
  <c r="AI39" i="25"/>
  <c r="AO39" i="25" s="1"/>
  <c r="AG33" i="24"/>
  <c r="AO32" i="24"/>
  <c r="AD22" i="25"/>
  <c r="Y22" i="25"/>
  <c r="Z22" i="25"/>
  <c r="AA22" i="25" s="1"/>
  <c r="AB22" i="25" s="1"/>
  <c r="V23" i="25" s="1"/>
  <c r="AD24" i="24"/>
  <c r="Y24" i="24"/>
  <c r="Z24" i="24"/>
  <c r="AA24" i="24" s="1"/>
  <c r="AB24" i="24" s="1"/>
  <c r="V25" i="24" s="1"/>
  <c r="AD21" i="23"/>
  <c r="Y21" i="23"/>
  <c r="Z21" i="23"/>
  <c r="AA21" i="23" s="1"/>
  <c r="AB21" i="23" s="1"/>
  <c r="V22" i="23" s="1"/>
  <c r="W24" i="22"/>
  <c r="AC23" i="22"/>
  <c r="X24" i="22" s="1"/>
  <c r="AG35" i="21"/>
  <c r="AI35" i="21"/>
  <c r="AD21" i="21"/>
  <c r="Y21" i="21"/>
  <c r="Z21" i="21"/>
  <c r="AA21" i="21" s="1"/>
  <c r="AB21" i="21" s="1"/>
  <c r="V22" i="21" s="1"/>
  <c r="AD22" i="20"/>
  <c r="Y22" i="20"/>
  <c r="Z22" i="20"/>
  <c r="AA22" i="20" s="1"/>
  <c r="AB22" i="20" s="1"/>
  <c r="V23" i="20" s="1"/>
  <c r="AG36" i="19"/>
  <c r="AI36" i="19"/>
  <c r="AO26" i="12"/>
  <c r="AK26" i="12"/>
  <c r="AI33" i="22" l="1"/>
  <c r="AG33" i="22"/>
  <c r="AK33" i="22" s="1"/>
  <c r="AG38" i="20"/>
  <c r="AK38" i="20" s="1"/>
  <c r="AO37" i="20"/>
  <c r="AB24" i="19"/>
  <c r="V25" i="19" s="1"/>
  <c r="AC24" i="19"/>
  <c r="X25" i="19" s="1"/>
  <c r="AO33" i="24"/>
  <c r="AO35" i="21"/>
  <c r="AK39" i="25"/>
  <c r="AI40" i="25" s="1"/>
  <c r="AG40" i="25"/>
  <c r="AK33" i="24"/>
  <c r="AG37" i="23"/>
  <c r="AI37" i="23"/>
  <c r="W23" i="25"/>
  <c r="AC22" i="25"/>
  <c r="X23" i="25" s="1"/>
  <c r="W25" i="24"/>
  <c r="AC24" i="24"/>
  <c r="X25" i="24" s="1"/>
  <c r="W22" i="23"/>
  <c r="AC21" i="23"/>
  <c r="X22" i="23" s="1"/>
  <c r="AD24" i="22"/>
  <c r="Y24" i="22"/>
  <c r="Z24" i="22"/>
  <c r="AA24" i="22" s="1"/>
  <c r="AB24" i="22" s="1"/>
  <c r="V25" i="22" s="1"/>
  <c r="AO36" i="19"/>
  <c r="AK35" i="21"/>
  <c r="W22" i="21"/>
  <c r="AC21" i="21"/>
  <c r="X22" i="21" s="1"/>
  <c r="W23" i="20"/>
  <c r="AC22" i="20"/>
  <c r="X23" i="20" s="1"/>
  <c r="AK36" i="19"/>
  <c r="AG27" i="12"/>
  <c r="AI27" i="12"/>
  <c r="AO38" i="20" l="1"/>
  <c r="AI34" i="22"/>
  <c r="AG34" i="22"/>
  <c r="AK34" i="22" s="1"/>
  <c r="AO33" i="22"/>
  <c r="Y25" i="19"/>
  <c r="AD25" i="19"/>
  <c r="W25" i="19"/>
  <c r="Z25" i="19"/>
  <c r="AA25" i="19" s="1"/>
  <c r="AO37" i="23"/>
  <c r="AK40" i="25"/>
  <c r="AI41" i="25" s="1"/>
  <c r="AG41" i="25"/>
  <c r="AO40" i="25"/>
  <c r="AI34" i="24"/>
  <c r="AG34" i="24"/>
  <c r="AK37" i="23"/>
  <c r="AD23" i="25"/>
  <c r="Y23" i="25"/>
  <c r="Z23" i="25"/>
  <c r="AA23" i="25" s="1"/>
  <c r="AB23" i="25" s="1"/>
  <c r="V24" i="25" s="1"/>
  <c r="AD25" i="24"/>
  <c r="Y25" i="24"/>
  <c r="Z25" i="24"/>
  <c r="AA25" i="24" s="1"/>
  <c r="AB25" i="24" s="1"/>
  <c r="V26" i="24" s="1"/>
  <c r="AD22" i="23"/>
  <c r="Y22" i="23"/>
  <c r="Z22" i="23"/>
  <c r="AA22" i="23" s="1"/>
  <c r="AB22" i="23" s="1"/>
  <c r="V23" i="23" s="1"/>
  <c r="W25" i="22"/>
  <c r="AC24" i="22"/>
  <c r="X25" i="22" s="1"/>
  <c r="AG36" i="21"/>
  <c r="AI36" i="21"/>
  <c r="AI39" i="20"/>
  <c r="AG39" i="20"/>
  <c r="AD22" i="21"/>
  <c r="Y22" i="21"/>
  <c r="Z22" i="21"/>
  <c r="AA22" i="21" s="1"/>
  <c r="AB22" i="21" s="1"/>
  <c r="V23" i="21" s="1"/>
  <c r="AD23" i="20"/>
  <c r="Y23" i="20"/>
  <c r="Z23" i="20"/>
  <c r="AA23" i="20" s="1"/>
  <c r="AB23" i="20" s="1"/>
  <c r="V24" i="20" s="1"/>
  <c r="AG37" i="19"/>
  <c r="AI37" i="19"/>
  <c r="AO27" i="12"/>
  <c r="AK27" i="12"/>
  <c r="AI35" i="22" l="1"/>
  <c r="AG35" i="22"/>
  <c r="AK35" i="22" s="1"/>
  <c r="AO34" i="22"/>
  <c r="AB25" i="19"/>
  <c r="V26" i="19" s="1"/>
  <c r="W26" i="19" s="1"/>
  <c r="AC25" i="19"/>
  <c r="X26" i="19" s="1"/>
  <c r="AK34" i="24"/>
  <c r="AK39" i="20"/>
  <c r="AG40" i="20" s="1"/>
  <c r="AK41" i="25"/>
  <c r="AI42" i="25" s="1"/>
  <c r="AG42" i="25"/>
  <c r="AO41" i="25"/>
  <c r="AG35" i="24"/>
  <c r="AI35" i="24"/>
  <c r="AO34" i="24"/>
  <c r="AG38" i="23"/>
  <c r="AI38" i="23"/>
  <c r="W24" i="25"/>
  <c r="AC23" i="25"/>
  <c r="X24" i="25" s="1"/>
  <c r="AO36" i="21"/>
  <c r="W26" i="24"/>
  <c r="AC25" i="24"/>
  <c r="X26" i="24" s="1"/>
  <c r="W23" i="23"/>
  <c r="AC22" i="23"/>
  <c r="X23" i="23" s="1"/>
  <c r="AD25" i="22"/>
  <c r="Y25" i="22"/>
  <c r="Z25" i="22"/>
  <c r="AA25" i="22" s="1"/>
  <c r="AB25" i="22" s="1"/>
  <c r="V26" i="22" s="1"/>
  <c r="AK36" i="21"/>
  <c r="AO37" i="19"/>
  <c r="AO39" i="20"/>
  <c r="W23" i="21"/>
  <c r="AC22" i="21"/>
  <c r="X23" i="21" s="1"/>
  <c r="W24" i="20"/>
  <c r="AC23" i="20"/>
  <c r="X24" i="20" s="1"/>
  <c r="AK37" i="19"/>
  <c r="AI28" i="12"/>
  <c r="AG28" i="12"/>
  <c r="AG36" i="22" l="1"/>
  <c r="AI36" i="22"/>
  <c r="AO36" i="22" s="1"/>
  <c r="AO35" i="22"/>
  <c r="AI40" i="20"/>
  <c r="AO40" i="20" s="1"/>
  <c r="Y26" i="19"/>
  <c r="AD26" i="19"/>
  <c r="Z26" i="19"/>
  <c r="AA26" i="19" s="1"/>
  <c r="AB26" i="19" s="1"/>
  <c r="V27" i="19" s="1"/>
  <c r="W27" i="19" s="1"/>
  <c r="AO35" i="24"/>
  <c r="AO38" i="23"/>
  <c r="AK42" i="25"/>
  <c r="AI43" i="25" s="1"/>
  <c r="AG43" i="25"/>
  <c r="AO42" i="25"/>
  <c r="AK35" i="24"/>
  <c r="AK38" i="23"/>
  <c r="AD24" i="25"/>
  <c r="Y24" i="25"/>
  <c r="Z24" i="25"/>
  <c r="AA24" i="25" s="1"/>
  <c r="AB24" i="25" s="1"/>
  <c r="V25" i="25" s="1"/>
  <c r="AD26" i="24"/>
  <c r="Y26" i="24"/>
  <c r="Z26" i="24"/>
  <c r="AA26" i="24" s="1"/>
  <c r="AB26" i="24" s="1"/>
  <c r="V27" i="24" s="1"/>
  <c r="AD23" i="23"/>
  <c r="Y23" i="23"/>
  <c r="Z23" i="23"/>
  <c r="AA23" i="23" s="1"/>
  <c r="AB23" i="23" s="1"/>
  <c r="V24" i="23" s="1"/>
  <c r="W26" i="22"/>
  <c r="AC25" i="22"/>
  <c r="X26" i="22" s="1"/>
  <c r="AI37" i="21"/>
  <c r="AG37" i="21"/>
  <c r="AK40" i="20"/>
  <c r="AD23" i="21"/>
  <c r="Y23" i="21"/>
  <c r="Z23" i="21"/>
  <c r="AA23" i="21" s="1"/>
  <c r="AB23" i="21" s="1"/>
  <c r="V24" i="21" s="1"/>
  <c r="AD24" i="20"/>
  <c r="Y24" i="20"/>
  <c r="Z24" i="20"/>
  <c r="AA24" i="20" s="1"/>
  <c r="AB24" i="20" s="1"/>
  <c r="V25" i="20" s="1"/>
  <c r="AG38" i="19"/>
  <c r="AI38" i="19"/>
  <c r="AO28" i="12"/>
  <c r="AK28" i="12"/>
  <c r="AK36" i="22" l="1"/>
  <c r="AK43" i="25"/>
  <c r="AC26" i="19"/>
  <c r="X27" i="19" s="1"/>
  <c r="AG44" i="25"/>
  <c r="AI44" i="25"/>
  <c r="AO43" i="25"/>
  <c r="AG36" i="24"/>
  <c r="AI36" i="24"/>
  <c r="AG39" i="23"/>
  <c r="AI39" i="23"/>
  <c r="AK37" i="21"/>
  <c r="AG38" i="21" s="1"/>
  <c r="W25" i="25"/>
  <c r="AC24" i="25"/>
  <c r="X25" i="25" s="1"/>
  <c r="W27" i="24"/>
  <c r="AC26" i="24"/>
  <c r="X27" i="24" s="1"/>
  <c r="W24" i="23"/>
  <c r="AC23" i="23"/>
  <c r="X24" i="23" s="1"/>
  <c r="AD26" i="22"/>
  <c r="Y26" i="22"/>
  <c r="Z26" i="22"/>
  <c r="AA26" i="22" s="1"/>
  <c r="AB26" i="22" s="1"/>
  <c r="V27" i="22" s="1"/>
  <c r="AO37" i="21"/>
  <c r="AI41" i="20"/>
  <c r="AG41" i="20"/>
  <c r="W24" i="21"/>
  <c r="AC23" i="21"/>
  <c r="X24" i="21" s="1"/>
  <c r="W25" i="20"/>
  <c r="AC24" i="20"/>
  <c r="X25" i="20" s="1"/>
  <c r="AK38" i="19"/>
  <c r="AO38" i="19"/>
  <c r="AI29" i="12"/>
  <c r="AG29" i="12"/>
  <c r="AG37" i="22" l="1"/>
  <c r="AI37" i="22"/>
  <c r="AO37" i="22" s="1"/>
  <c r="AO39" i="23"/>
  <c r="AD27" i="19"/>
  <c r="Z27" i="19"/>
  <c r="AA27" i="19" s="1"/>
  <c r="AB27" i="19" s="1"/>
  <c r="V28" i="19" s="1"/>
  <c r="W28" i="19" s="1"/>
  <c r="Y27" i="19"/>
  <c r="AO44" i="25"/>
  <c r="AO36" i="24"/>
  <c r="AK44" i="25"/>
  <c r="AI38" i="21"/>
  <c r="AK38" i="21" s="1"/>
  <c r="AG39" i="21" s="1"/>
  <c r="AK36" i="24"/>
  <c r="AK39" i="23"/>
  <c r="AD25" i="25"/>
  <c r="Y25" i="25"/>
  <c r="Z25" i="25"/>
  <c r="AA25" i="25" s="1"/>
  <c r="AB25" i="25" s="1"/>
  <c r="V26" i="25" s="1"/>
  <c r="AD27" i="24"/>
  <c r="Y27" i="24"/>
  <c r="Z27" i="24"/>
  <c r="AA27" i="24" s="1"/>
  <c r="AB27" i="24" s="1"/>
  <c r="V28" i="24" s="1"/>
  <c r="AD24" i="23"/>
  <c r="Y24" i="23"/>
  <c r="Z24" i="23"/>
  <c r="AA24" i="23" s="1"/>
  <c r="AB24" i="23" s="1"/>
  <c r="V25" i="23" s="1"/>
  <c r="W27" i="22"/>
  <c r="AC26" i="22"/>
  <c r="X27" i="22" s="1"/>
  <c r="AO41" i="20"/>
  <c r="AK41" i="20"/>
  <c r="AD24" i="21"/>
  <c r="Y24" i="21"/>
  <c r="Z24" i="21"/>
  <c r="AA24" i="21" s="1"/>
  <c r="AB24" i="21" s="1"/>
  <c r="V25" i="21" s="1"/>
  <c r="AD25" i="20"/>
  <c r="Y25" i="20"/>
  <c r="Z25" i="20"/>
  <c r="AA25" i="20" s="1"/>
  <c r="AB25" i="20" s="1"/>
  <c r="V26" i="20" s="1"/>
  <c r="AG39" i="19"/>
  <c r="AI39" i="19"/>
  <c r="AK29" i="12"/>
  <c r="AI30" i="12" s="1"/>
  <c r="AO29" i="12"/>
  <c r="AO38" i="21" l="1"/>
  <c r="AK37" i="22"/>
  <c r="AI39" i="21"/>
  <c r="AC27" i="19"/>
  <c r="X28" i="19" s="1"/>
  <c r="AG37" i="24"/>
  <c r="AI37" i="24"/>
  <c r="AO37" i="24" s="1"/>
  <c r="AI40" i="23"/>
  <c r="AG40" i="23"/>
  <c r="AO39" i="21"/>
  <c r="W26" i="25"/>
  <c r="AC25" i="25"/>
  <c r="X26" i="25" s="1"/>
  <c r="W28" i="24"/>
  <c r="AC27" i="24"/>
  <c r="X28" i="24" s="1"/>
  <c r="W25" i="23"/>
  <c r="AC24" i="23"/>
  <c r="X25" i="23" s="1"/>
  <c r="AD27" i="22"/>
  <c r="Y27" i="22"/>
  <c r="Z27" i="22"/>
  <c r="AA27" i="22" s="1"/>
  <c r="AB27" i="22" s="1"/>
  <c r="V28" i="22" s="1"/>
  <c r="AO39" i="19"/>
  <c r="AK39" i="21"/>
  <c r="AI42" i="20"/>
  <c r="AG42" i="20"/>
  <c r="W25" i="21"/>
  <c r="AC24" i="21"/>
  <c r="X25" i="21" s="1"/>
  <c r="W26" i="20"/>
  <c r="AC25" i="20"/>
  <c r="X26" i="20" s="1"/>
  <c r="AK39" i="19"/>
  <c r="AG30" i="12"/>
  <c r="AO30" i="12" s="1"/>
  <c r="AK40" i="23" l="1"/>
  <c r="AG38" i="22"/>
  <c r="AI38" i="22"/>
  <c r="AO38" i="22" s="1"/>
  <c r="AD28" i="19"/>
  <c r="Z28" i="19"/>
  <c r="AA28" i="19" s="1"/>
  <c r="AB28" i="19" s="1"/>
  <c r="V29" i="19" s="1"/>
  <c r="W29" i="19" s="1"/>
  <c r="Y28" i="19"/>
  <c r="AK37" i="24"/>
  <c r="AI41" i="23"/>
  <c r="AG41" i="23"/>
  <c r="AO40" i="23"/>
  <c r="AD26" i="25"/>
  <c r="Y26" i="25"/>
  <c r="Z26" i="25"/>
  <c r="AA26" i="25" s="1"/>
  <c r="AB26" i="25" s="1"/>
  <c r="V27" i="25" s="1"/>
  <c r="AD28" i="24"/>
  <c r="Y28" i="24"/>
  <c r="Z28" i="24"/>
  <c r="AA28" i="24" s="1"/>
  <c r="AB28" i="24" s="1"/>
  <c r="V29" i="24" s="1"/>
  <c r="AD25" i="23"/>
  <c r="Y25" i="23"/>
  <c r="Z25" i="23"/>
  <c r="AA25" i="23" s="1"/>
  <c r="AB25" i="23" s="1"/>
  <c r="V26" i="23" s="1"/>
  <c r="W28" i="22"/>
  <c r="AC27" i="22"/>
  <c r="X28" i="22" s="1"/>
  <c r="AK42" i="20"/>
  <c r="AG43" i="20" s="1"/>
  <c r="AI40" i="21"/>
  <c r="AG40" i="21"/>
  <c r="AO42" i="20"/>
  <c r="AD25" i="21"/>
  <c r="Y25" i="21"/>
  <c r="Z25" i="21"/>
  <c r="AA25" i="21" s="1"/>
  <c r="AB25" i="21" s="1"/>
  <c r="V26" i="21" s="1"/>
  <c r="AD26" i="20"/>
  <c r="Y26" i="20"/>
  <c r="Z26" i="20"/>
  <c r="AA26" i="20" s="1"/>
  <c r="AB26" i="20" s="1"/>
  <c r="V27" i="20" s="1"/>
  <c r="AG40" i="19"/>
  <c r="AI40" i="19"/>
  <c r="AK30" i="12"/>
  <c r="AG31" i="12" s="1"/>
  <c r="AI31" i="12"/>
  <c r="AK41" i="23" l="1"/>
  <c r="AK38" i="22"/>
  <c r="AC28" i="19"/>
  <c r="X29" i="19" s="1"/>
  <c r="AG38" i="24"/>
  <c r="AI38" i="24"/>
  <c r="AI42" i="23"/>
  <c r="AG42" i="23"/>
  <c r="AO41" i="23"/>
  <c r="AI43" i="20"/>
  <c r="AO43" i="20" s="1"/>
  <c r="W27" i="25"/>
  <c r="AC26" i="25"/>
  <c r="X27" i="25" s="1"/>
  <c r="AK40" i="21"/>
  <c r="AG41" i="21" s="1"/>
  <c r="W29" i="24"/>
  <c r="AC28" i="24"/>
  <c r="X29" i="24" s="1"/>
  <c r="W26" i="23"/>
  <c r="AC25" i="23"/>
  <c r="X26" i="23" s="1"/>
  <c r="AD28" i="22"/>
  <c r="Y28" i="22"/>
  <c r="Z28" i="22"/>
  <c r="AA28" i="22" s="1"/>
  <c r="AB28" i="22" s="1"/>
  <c r="V29" i="22" s="1"/>
  <c r="AO40" i="19"/>
  <c r="AO40" i="21"/>
  <c r="W26" i="21"/>
  <c r="AC25" i="21"/>
  <c r="X26" i="21" s="1"/>
  <c r="W27" i="20"/>
  <c r="AC26" i="20"/>
  <c r="X27" i="20" s="1"/>
  <c r="AK40" i="19"/>
  <c r="AO31" i="12"/>
  <c r="AK31" i="12"/>
  <c r="AK43" i="20" l="1"/>
  <c r="AI44" i="20" s="1"/>
  <c r="AK42" i="23"/>
  <c r="AG39" i="22"/>
  <c r="AI39" i="22"/>
  <c r="AO39" i="22" s="1"/>
  <c r="AD29" i="19"/>
  <c r="Y29" i="19"/>
  <c r="Z29" i="19"/>
  <c r="AA29" i="19" s="1"/>
  <c r="AB29" i="19" s="1"/>
  <c r="V30" i="19" s="1"/>
  <c r="W30" i="19" s="1"/>
  <c r="AO38" i="24"/>
  <c r="AK38" i="24"/>
  <c r="AI43" i="23"/>
  <c r="AG43" i="23"/>
  <c r="AK43" i="23" s="1"/>
  <c r="AO42" i="23"/>
  <c r="AI41" i="21"/>
  <c r="AO41" i="21" s="1"/>
  <c r="AG44" i="20"/>
  <c r="AK44" i="20" s="1"/>
  <c r="AD27" i="25"/>
  <c r="Y27" i="25"/>
  <c r="Z27" i="25"/>
  <c r="AA27" i="25" s="1"/>
  <c r="AB27" i="25" s="1"/>
  <c r="V28" i="25" s="1"/>
  <c r="AD29" i="24"/>
  <c r="Y29" i="24"/>
  <c r="Z29" i="24"/>
  <c r="AA29" i="24" s="1"/>
  <c r="AB29" i="24" s="1"/>
  <c r="V30" i="24" s="1"/>
  <c r="AD26" i="23"/>
  <c r="Y26" i="23"/>
  <c r="Z26" i="23"/>
  <c r="AA26" i="23" s="1"/>
  <c r="AB26" i="23" s="1"/>
  <c r="V27" i="23" s="1"/>
  <c r="W29" i="22"/>
  <c r="AC28" i="22"/>
  <c r="X29" i="22" s="1"/>
  <c r="AD26" i="21"/>
  <c r="Y26" i="21"/>
  <c r="Z26" i="21"/>
  <c r="AA26" i="21" s="1"/>
  <c r="AB26" i="21" s="1"/>
  <c r="V27" i="21" s="1"/>
  <c r="AD27" i="20"/>
  <c r="Y27" i="20"/>
  <c r="Z27" i="20"/>
  <c r="AA27" i="20" s="1"/>
  <c r="AB27" i="20" s="1"/>
  <c r="V28" i="20" s="1"/>
  <c r="AG41" i="19"/>
  <c r="AI41" i="19"/>
  <c r="AG32" i="12"/>
  <c r="AI32" i="12"/>
  <c r="AK39" i="22" l="1"/>
  <c r="AK41" i="21"/>
  <c r="AC29" i="19"/>
  <c r="X30" i="19" s="1"/>
  <c r="AO44" i="20"/>
  <c r="AG39" i="24"/>
  <c r="AI39" i="24"/>
  <c r="AO39" i="24" s="1"/>
  <c r="AG44" i="23"/>
  <c r="AI44" i="23"/>
  <c r="AO43" i="23"/>
  <c r="W28" i="25"/>
  <c r="AC27" i="25"/>
  <c r="X28" i="25" s="1"/>
  <c r="W30" i="24"/>
  <c r="AC29" i="24"/>
  <c r="X30" i="24" s="1"/>
  <c r="W27" i="23"/>
  <c r="AC26" i="23"/>
  <c r="X27" i="23" s="1"/>
  <c r="AD29" i="22"/>
  <c r="Y29" i="22"/>
  <c r="Z29" i="22"/>
  <c r="AA29" i="22" s="1"/>
  <c r="AB29" i="22" s="1"/>
  <c r="V30" i="22" s="1"/>
  <c r="AO41" i="19"/>
  <c r="AI42" i="21"/>
  <c r="AG42" i="21"/>
  <c r="W27" i="21"/>
  <c r="AC26" i="21"/>
  <c r="X27" i="21" s="1"/>
  <c r="W28" i="20"/>
  <c r="AC27" i="20"/>
  <c r="X28" i="20" s="1"/>
  <c r="AK41" i="19"/>
  <c r="AO32" i="12"/>
  <c r="AK32" i="12"/>
  <c r="AI40" i="22" l="1"/>
  <c r="AG40" i="22"/>
  <c r="AK40" i="22" s="1"/>
  <c r="AD30" i="19"/>
  <c r="Y30" i="19"/>
  <c r="Z30" i="19"/>
  <c r="AA30" i="19" s="1"/>
  <c r="AB30" i="19" s="1"/>
  <c r="V31" i="19" s="1"/>
  <c r="W31" i="19" s="1"/>
  <c r="AO44" i="23"/>
  <c r="AK39" i="24"/>
  <c r="AK44" i="23"/>
  <c r="AK42" i="21"/>
  <c r="AG43" i="21" s="1"/>
  <c r="AD28" i="25"/>
  <c r="Y28" i="25"/>
  <c r="Z28" i="25"/>
  <c r="AA28" i="25" s="1"/>
  <c r="AB28" i="25" s="1"/>
  <c r="V29" i="25" s="1"/>
  <c r="AD30" i="24"/>
  <c r="Y30" i="24"/>
  <c r="Z30" i="24"/>
  <c r="AA30" i="24" s="1"/>
  <c r="AB30" i="24" s="1"/>
  <c r="V31" i="24" s="1"/>
  <c r="AD27" i="23"/>
  <c r="Y27" i="23"/>
  <c r="Z27" i="23"/>
  <c r="AA27" i="23" s="1"/>
  <c r="AB27" i="23" s="1"/>
  <c r="V28" i="23" s="1"/>
  <c r="W30" i="22"/>
  <c r="AC29" i="22"/>
  <c r="X30" i="22" s="1"/>
  <c r="AI43" i="21"/>
  <c r="AO42" i="21"/>
  <c r="AD27" i="21"/>
  <c r="Y27" i="21"/>
  <c r="Z27" i="21"/>
  <c r="AA27" i="21" s="1"/>
  <c r="AB27" i="21" s="1"/>
  <c r="V28" i="21" s="1"/>
  <c r="AD28" i="20"/>
  <c r="Y28" i="20"/>
  <c r="Z28" i="20"/>
  <c r="AA28" i="20" s="1"/>
  <c r="AB28" i="20" s="1"/>
  <c r="V29" i="20" s="1"/>
  <c r="AG42" i="19"/>
  <c r="AI42" i="19"/>
  <c r="AI33" i="12"/>
  <c r="AG33" i="12"/>
  <c r="AI41" i="22" l="1"/>
  <c r="AG41" i="22"/>
  <c r="AK41" i="22" s="1"/>
  <c r="AO40" i="22"/>
  <c r="AC30" i="19"/>
  <c r="X31" i="19" s="1"/>
  <c r="AI40" i="24"/>
  <c r="AG40" i="24"/>
  <c r="AO43" i="21"/>
  <c r="W29" i="25"/>
  <c r="AC28" i="25"/>
  <c r="X29" i="25" s="1"/>
  <c r="W31" i="24"/>
  <c r="AC30" i="24"/>
  <c r="X31" i="24" s="1"/>
  <c r="W28" i="23"/>
  <c r="AC27" i="23"/>
  <c r="X28" i="23" s="1"/>
  <c r="AD30" i="22"/>
  <c r="Y30" i="22"/>
  <c r="Z30" i="22"/>
  <c r="AA30" i="22" s="1"/>
  <c r="AB30" i="22" s="1"/>
  <c r="V31" i="22" s="1"/>
  <c r="AO42" i="19"/>
  <c r="AK43" i="21"/>
  <c r="W28" i="21"/>
  <c r="AC27" i="21"/>
  <c r="X28" i="21" s="1"/>
  <c r="W29" i="20"/>
  <c r="AC28" i="20"/>
  <c r="X29" i="20" s="1"/>
  <c r="AK42" i="19"/>
  <c r="AK33" i="12"/>
  <c r="AI34" i="12" s="1"/>
  <c r="AO33" i="12"/>
  <c r="AG34" i="12" l="1"/>
  <c r="AK34" i="12" s="1"/>
  <c r="AG35" i="12" s="1"/>
  <c r="AI42" i="22"/>
  <c r="AG42" i="22"/>
  <c r="AK42" i="22" s="1"/>
  <c r="AO41" i="22"/>
  <c r="Y31" i="19"/>
  <c r="AD31" i="19"/>
  <c r="Z31" i="19"/>
  <c r="AA31" i="19" s="1"/>
  <c r="AB31" i="19" s="1"/>
  <c r="V32" i="19" s="1"/>
  <c r="W32" i="19" s="1"/>
  <c r="AK40" i="24"/>
  <c r="AI41" i="24"/>
  <c r="AG41" i="24"/>
  <c r="AO40" i="24"/>
  <c r="AD29" i="25"/>
  <c r="Y29" i="25"/>
  <c r="Z29" i="25"/>
  <c r="AA29" i="25" s="1"/>
  <c r="AB29" i="25" s="1"/>
  <c r="V30" i="25" s="1"/>
  <c r="AD31" i="24"/>
  <c r="Y31" i="24"/>
  <c r="Z31" i="24"/>
  <c r="AA31" i="24" s="1"/>
  <c r="AB31" i="24" s="1"/>
  <c r="V32" i="24" s="1"/>
  <c r="AD28" i="23"/>
  <c r="Y28" i="23"/>
  <c r="Z28" i="23"/>
  <c r="AA28" i="23" s="1"/>
  <c r="AB28" i="23" s="1"/>
  <c r="V29" i="23" s="1"/>
  <c r="W31" i="22"/>
  <c r="AC30" i="22"/>
  <c r="X31" i="22" s="1"/>
  <c r="AG44" i="21"/>
  <c r="AI44" i="21"/>
  <c r="AD28" i="21"/>
  <c r="Y28" i="21"/>
  <c r="Z28" i="21"/>
  <c r="AA28" i="21" s="1"/>
  <c r="AB28" i="21" s="1"/>
  <c r="V29" i="21" s="1"/>
  <c r="AD29" i="20"/>
  <c r="Y29" i="20"/>
  <c r="Z29" i="20"/>
  <c r="AA29" i="20" s="1"/>
  <c r="AB29" i="20" s="1"/>
  <c r="V30" i="20" s="1"/>
  <c r="AG43" i="19"/>
  <c r="AI43" i="19"/>
  <c r="AO34" i="12" l="1"/>
  <c r="AG43" i="22"/>
  <c r="AI43" i="22"/>
  <c r="AO43" i="22" s="1"/>
  <c r="AO42" i="22"/>
  <c r="AC31" i="19"/>
  <c r="X32" i="19" s="1"/>
  <c r="AK41" i="24"/>
  <c r="AI42" i="24"/>
  <c r="AG42" i="24"/>
  <c r="AO41" i="24"/>
  <c r="AO44" i="21"/>
  <c r="W30" i="25"/>
  <c r="AC29" i="25"/>
  <c r="X30" i="25" s="1"/>
  <c r="W32" i="24"/>
  <c r="AC31" i="24"/>
  <c r="X32" i="24" s="1"/>
  <c r="W29" i="23"/>
  <c r="AC28" i="23"/>
  <c r="X29" i="23" s="1"/>
  <c r="AD31" i="22"/>
  <c r="Y31" i="22"/>
  <c r="Z31" i="22"/>
  <c r="AA31" i="22" s="1"/>
  <c r="AB31" i="22" s="1"/>
  <c r="V32" i="22" s="1"/>
  <c r="AK44" i="21"/>
  <c r="AI35" i="12"/>
  <c r="AO35" i="12" s="1"/>
  <c r="W29" i="21"/>
  <c r="AC28" i="21"/>
  <c r="X29" i="21" s="1"/>
  <c r="W30" i="20"/>
  <c r="AC29" i="20"/>
  <c r="X30" i="20" s="1"/>
  <c r="AO43" i="19"/>
  <c r="AK43" i="19"/>
  <c r="AK43" i="22" l="1"/>
  <c r="AD32" i="19"/>
  <c r="Z32" i="19"/>
  <c r="AA32" i="19" s="1"/>
  <c r="AB32" i="19" s="1"/>
  <c r="V33" i="19" s="1"/>
  <c r="W33" i="19" s="1"/>
  <c r="Y32" i="19"/>
  <c r="AC32" i="19" s="1"/>
  <c r="X33" i="19" s="1"/>
  <c r="Y33" i="19" s="1"/>
  <c r="AK42" i="24"/>
  <c r="AI43" i="24"/>
  <c r="AG43" i="24"/>
  <c r="AO42" i="24"/>
  <c r="AD30" i="25"/>
  <c r="Y30" i="25"/>
  <c r="Z30" i="25"/>
  <c r="AA30" i="25" s="1"/>
  <c r="AB30" i="25" s="1"/>
  <c r="V31" i="25" s="1"/>
  <c r="AD32" i="24"/>
  <c r="Y32" i="24"/>
  <c r="Z32" i="24"/>
  <c r="AA32" i="24" s="1"/>
  <c r="AB32" i="24" s="1"/>
  <c r="V33" i="24" s="1"/>
  <c r="AD29" i="23"/>
  <c r="Y29" i="23"/>
  <c r="Z29" i="23"/>
  <c r="AA29" i="23" s="1"/>
  <c r="AB29" i="23" s="1"/>
  <c r="V30" i="23" s="1"/>
  <c r="AK35" i="12"/>
  <c r="AG36" i="12" s="1"/>
  <c r="W32" i="22"/>
  <c r="AC31" i="22"/>
  <c r="X32" i="22" s="1"/>
  <c r="AD29" i="21"/>
  <c r="Y29" i="21"/>
  <c r="Z29" i="21"/>
  <c r="AA29" i="21" s="1"/>
  <c r="AB29" i="21" s="1"/>
  <c r="V30" i="21" s="1"/>
  <c r="AD30" i="20"/>
  <c r="Y30" i="20"/>
  <c r="Z30" i="20"/>
  <c r="AA30" i="20" s="1"/>
  <c r="AB30" i="20" s="1"/>
  <c r="V31" i="20" s="1"/>
  <c r="AG44" i="19"/>
  <c r="AI44" i="19"/>
  <c r="AG44" i="22" l="1"/>
  <c r="AI44" i="22"/>
  <c r="AO44" i="22" s="1"/>
  <c r="AI36" i="12"/>
  <c r="AO36" i="12" s="1"/>
  <c r="Z33" i="19"/>
  <c r="AA33" i="19" s="1"/>
  <c r="AB33" i="19" s="1"/>
  <c r="V34" i="19" s="1"/>
  <c r="W34" i="19" s="1"/>
  <c r="AD33" i="19"/>
  <c r="AK43" i="24"/>
  <c r="AG44" i="24"/>
  <c r="AI44" i="24"/>
  <c r="AO43" i="24"/>
  <c r="W31" i="25"/>
  <c r="AC30" i="25"/>
  <c r="X31" i="25" s="1"/>
  <c r="W33" i="24"/>
  <c r="AC32" i="24"/>
  <c r="X33" i="24" s="1"/>
  <c r="W30" i="23"/>
  <c r="AC29" i="23"/>
  <c r="X30" i="23" s="1"/>
  <c r="AO44" i="19"/>
  <c r="AD32" i="22"/>
  <c r="Y32" i="22"/>
  <c r="Z32" i="22"/>
  <c r="AA32" i="22" s="1"/>
  <c r="AB32" i="22" s="1"/>
  <c r="V33" i="22" s="1"/>
  <c r="W30" i="21"/>
  <c r="AC29" i="21"/>
  <c r="X30" i="21" s="1"/>
  <c r="W31" i="20"/>
  <c r="AC30" i="20"/>
  <c r="X31" i="20" s="1"/>
  <c r="AK44" i="19"/>
  <c r="AK36" i="12" l="1"/>
  <c r="AC33" i="19"/>
  <c r="X34" i="19" s="1"/>
  <c r="Z34" i="19" s="1"/>
  <c r="AK44" i="22"/>
  <c r="AO44" i="24"/>
  <c r="AK44" i="24"/>
  <c r="AD31" i="25"/>
  <c r="Y31" i="25"/>
  <c r="Z31" i="25"/>
  <c r="AA31" i="25" s="1"/>
  <c r="AB31" i="25" s="1"/>
  <c r="V32" i="25" s="1"/>
  <c r="AD33" i="24"/>
  <c r="Y33" i="24"/>
  <c r="Z33" i="24"/>
  <c r="AA33" i="24" s="1"/>
  <c r="AB33" i="24" s="1"/>
  <c r="V34" i="24" s="1"/>
  <c r="AD30" i="23"/>
  <c r="Y30" i="23"/>
  <c r="Z30" i="23"/>
  <c r="AA30" i="23" s="1"/>
  <c r="AB30" i="23" s="1"/>
  <c r="V31" i="23" s="1"/>
  <c r="W33" i="22"/>
  <c r="AC32" i="22"/>
  <c r="X33" i="22" s="1"/>
  <c r="AD30" i="21"/>
  <c r="Y30" i="21"/>
  <c r="Z30" i="21"/>
  <c r="AA30" i="21" s="1"/>
  <c r="AB30" i="21" s="1"/>
  <c r="V31" i="21" s="1"/>
  <c r="AD31" i="20"/>
  <c r="Y31" i="20"/>
  <c r="Z31" i="20"/>
  <c r="AA31" i="20" s="1"/>
  <c r="AB31" i="20" s="1"/>
  <c r="V32" i="20" s="1"/>
  <c r="AD34" i="19"/>
  <c r="Y34" i="19"/>
  <c r="AG37" i="12"/>
  <c r="AI37" i="12"/>
  <c r="W32" i="25" l="1"/>
  <c r="AC31" i="25"/>
  <c r="X32" i="25" s="1"/>
  <c r="W34" i="24"/>
  <c r="AC33" i="24"/>
  <c r="X34" i="24" s="1"/>
  <c r="W31" i="23"/>
  <c r="AC30" i="23"/>
  <c r="X31" i="23" s="1"/>
  <c r="AD33" i="22"/>
  <c r="Y33" i="22"/>
  <c r="Z33" i="22"/>
  <c r="AA33" i="22" s="1"/>
  <c r="AB33" i="22" s="1"/>
  <c r="V34" i="22" s="1"/>
  <c r="W31" i="21"/>
  <c r="AC30" i="21"/>
  <c r="X31" i="21" s="1"/>
  <c r="W32" i="20"/>
  <c r="AC31" i="20"/>
  <c r="X32" i="20" s="1"/>
  <c r="O26" i="19"/>
  <c r="O27" i="19" s="1"/>
  <c r="G17" i="19" s="1"/>
  <c r="AA34" i="19"/>
  <c r="AB34" i="19" s="1"/>
  <c r="AO37" i="12"/>
  <c r="AK37" i="12"/>
  <c r="AD32" i="25" l="1"/>
  <c r="Y32" i="25"/>
  <c r="Z32" i="25"/>
  <c r="AA32" i="25" s="1"/>
  <c r="AB32" i="25" s="1"/>
  <c r="V33" i="25" s="1"/>
  <c r="AD34" i="24"/>
  <c r="Y34" i="24"/>
  <c r="Z34" i="24"/>
  <c r="AD31" i="23"/>
  <c r="Y31" i="23"/>
  <c r="Z31" i="23"/>
  <c r="AA31" i="23" s="1"/>
  <c r="AB31" i="23" s="1"/>
  <c r="V32" i="23" s="1"/>
  <c r="W34" i="22"/>
  <c r="AC33" i="22"/>
  <c r="X34" i="22" s="1"/>
  <c r="AD31" i="21"/>
  <c r="Y31" i="21"/>
  <c r="Z31" i="21"/>
  <c r="AA31" i="21" s="1"/>
  <c r="AB31" i="21" s="1"/>
  <c r="V32" i="21" s="1"/>
  <c r="AD32" i="20"/>
  <c r="Y32" i="20"/>
  <c r="Z32" i="20"/>
  <c r="AA32" i="20" s="1"/>
  <c r="AB32" i="20" s="1"/>
  <c r="V33" i="20" s="1"/>
  <c r="AC34" i="19"/>
  <c r="G20" i="19"/>
  <c r="G18" i="19"/>
  <c r="AI38" i="12"/>
  <c r="AG38" i="12"/>
  <c r="W33" i="25" l="1"/>
  <c r="AC32" i="25"/>
  <c r="X33" i="25" s="1"/>
  <c r="O26" i="24"/>
  <c r="O27" i="24" s="1"/>
  <c r="G17" i="24" s="1"/>
  <c r="AA34" i="24"/>
  <c r="AB34" i="24" s="1"/>
  <c r="W32" i="23"/>
  <c r="AC31" i="23"/>
  <c r="X32" i="23" s="1"/>
  <c r="AD34" i="22"/>
  <c r="Y34" i="22"/>
  <c r="Z34" i="22"/>
  <c r="W32" i="21"/>
  <c r="AC31" i="21"/>
  <c r="X32" i="21" s="1"/>
  <c r="W33" i="20"/>
  <c r="AC32" i="20"/>
  <c r="X33" i="20" s="1"/>
  <c r="K6" i="19"/>
  <c r="G33" i="19"/>
  <c r="K10" i="19" s="1"/>
  <c r="K15" i="19" s="1"/>
  <c r="AK38" i="12"/>
  <c r="AG39" i="12" s="1"/>
  <c r="AO38" i="12"/>
  <c r="AD33" i="25" l="1"/>
  <c r="Y33" i="25"/>
  <c r="Z33" i="25"/>
  <c r="AA33" i="25" s="1"/>
  <c r="AB33" i="25" s="1"/>
  <c r="V34" i="25" s="1"/>
  <c r="AC34" i="24"/>
  <c r="G20" i="24"/>
  <c r="G18" i="24"/>
  <c r="AD32" i="23"/>
  <c r="Y32" i="23"/>
  <c r="Z32" i="23"/>
  <c r="AA32" i="23" s="1"/>
  <c r="AB32" i="23" s="1"/>
  <c r="V33" i="23" s="1"/>
  <c r="O26" i="22"/>
  <c r="O27" i="22" s="1"/>
  <c r="G17" i="22" s="1"/>
  <c r="AA34" i="22"/>
  <c r="AB34" i="22" s="1"/>
  <c r="AD32" i="21"/>
  <c r="Y32" i="21"/>
  <c r="Z32" i="21"/>
  <c r="AA32" i="21" s="1"/>
  <c r="AB32" i="21" s="1"/>
  <c r="V33" i="21" s="1"/>
  <c r="AD33" i="20"/>
  <c r="Y33" i="20"/>
  <c r="Z33" i="20"/>
  <c r="AA33" i="20" s="1"/>
  <c r="AB33" i="20" s="1"/>
  <c r="V34" i="20" s="1"/>
  <c r="K43" i="19"/>
  <c r="K35" i="19"/>
  <c r="K7" i="19"/>
  <c r="K18" i="19"/>
  <c r="K19" i="19"/>
  <c r="AI39" i="12"/>
  <c r="AO39" i="12" s="1"/>
  <c r="W34" i="25" l="1"/>
  <c r="AC33" i="25"/>
  <c r="X34" i="25" s="1"/>
  <c r="K6" i="24"/>
  <c r="G33" i="24"/>
  <c r="K10" i="24" s="1"/>
  <c r="K15" i="24" s="1"/>
  <c r="W33" i="23"/>
  <c r="AC32" i="23"/>
  <c r="X33" i="23" s="1"/>
  <c r="AC34" i="22"/>
  <c r="G20" i="22"/>
  <c r="G18" i="22"/>
  <c r="W33" i="21"/>
  <c r="AC32" i="21"/>
  <c r="X33" i="21" s="1"/>
  <c r="W34" i="20"/>
  <c r="AC33" i="20"/>
  <c r="X34" i="20" s="1"/>
  <c r="K30" i="19"/>
  <c r="K31" i="19" s="1"/>
  <c r="K44" i="19"/>
  <c r="K47" i="19" s="1"/>
  <c r="K36" i="19"/>
  <c r="K39" i="19" s="1"/>
  <c r="AK39" i="12"/>
  <c r="AG40" i="12" s="1"/>
  <c r="AI40" i="12"/>
  <c r="AD34" i="25" l="1"/>
  <c r="Y34" i="25"/>
  <c r="Z34" i="25"/>
  <c r="K43" i="24"/>
  <c r="K35" i="24"/>
  <c r="K7" i="24"/>
  <c r="K19" i="24"/>
  <c r="K18" i="24"/>
  <c r="AD33" i="23"/>
  <c r="Y33" i="23"/>
  <c r="Z33" i="23"/>
  <c r="AA33" i="23" s="1"/>
  <c r="AB33" i="23" s="1"/>
  <c r="V34" i="23" s="1"/>
  <c r="K6" i="22"/>
  <c r="G33" i="22"/>
  <c r="K10" i="22" s="1"/>
  <c r="K15" i="22" s="1"/>
  <c r="AD33" i="21"/>
  <c r="Y33" i="21"/>
  <c r="Z33" i="21"/>
  <c r="AA33" i="21" s="1"/>
  <c r="AB33" i="21" s="1"/>
  <c r="V34" i="21" s="1"/>
  <c r="AJ4" i="19"/>
  <c r="AL4" i="19"/>
  <c r="AH4" i="19"/>
  <c r="AD34" i="20"/>
  <c r="Y34" i="20"/>
  <c r="Z34" i="20"/>
  <c r="AO40" i="12"/>
  <c r="AK40" i="12"/>
  <c r="O26" i="25" l="1"/>
  <c r="O27" i="25" s="1"/>
  <c r="G17" i="25" s="1"/>
  <c r="AA34" i="25"/>
  <c r="AB34" i="25" s="1"/>
  <c r="K44" i="24"/>
  <c r="K47" i="24" s="1"/>
  <c r="K36" i="24"/>
  <c r="K39" i="24" s="1"/>
  <c r="K30" i="24"/>
  <c r="W34" i="23"/>
  <c r="AC33" i="23"/>
  <c r="X34" i="23" s="1"/>
  <c r="K35" i="22"/>
  <c r="K43" i="22"/>
  <c r="K7" i="22"/>
  <c r="K19" i="22"/>
  <c r="K18" i="22"/>
  <c r="W34" i="21"/>
  <c r="AC33" i="21"/>
  <c r="X34" i="21" s="1"/>
  <c r="O26" i="20"/>
  <c r="O27" i="20" s="1"/>
  <c r="G17" i="20" s="1"/>
  <c r="AA34" i="20"/>
  <c r="AB34" i="20" s="1"/>
  <c r="AI41" i="12"/>
  <c r="AG41" i="12"/>
  <c r="K30" i="22" l="1"/>
  <c r="AH4" i="22" s="1"/>
  <c r="AC34" i="25"/>
  <c r="G20" i="25"/>
  <c r="G18" i="25"/>
  <c r="K31" i="24"/>
  <c r="AH4" i="24"/>
  <c r="AL4" i="24"/>
  <c r="AJ4" i="24"/>
  <c r="AD34" i="23"/>
  <c r="Y34" i="23"/>
  <c r="Z34" i="23"/>
  <c r="AL4" i="22"/>
  <c r="K31" i="22"/>
  <c r="K44" i="22"/>
  <c r="K47" i="22" s="1"/>
  <c r="K36" i="22"/>
  <c r="K39" i="22" s="1"/>
  <c r="AD34" i="21"/>
  <c r="Y34" i="21"/>
  <c r="Z34" i="21"/>
  <c r="AC34" i="20"/>
  <c r="G20" i="20"/>
  <c r="G18" i="20"/>
  <c r="AK41" i="12"/>
  <c r="AG42" i="12" s="1"/>
  <c r="AO41" i="12"/>
  <c r="AJ4" i="22" l="1"/>
  <c r="AI42" i="12"/>
  <c r="AO42" i="12" s="1"/>
  <c r="K6" i="25"/>
  <c r="G33" i="25"/>
  <c r="K10" i="25" s="1"/>
  <c r="K15" i="25" s="1"/>
  <c r="O26" i="23"/>
  <c r="O27" i="23" s="1"/>
  <c r="G17" i="23" s="1"/>
  <c r="AA34" i="23"/>
  <c r="AB34" i="23" s="1"/>
  <c r="O26" i="21"/>
  <c r="O27" i="21" s="1"/>
  <c r="G17" i="21" s="1"/>
  <c r="AA34" i="21"/>
  <c r="AB34" i="21" s="1"/>
  <c r="K6" i="20"/>
  <c r="G33" i="20"/>
  <c r="K10" i="20" s="1"/>
  <c r="K15" i="20" s="1"/>
  <c r="AK42" i="12" l="1"/>
  <c r="AG43" i="12" s="1"/>
  <c r="K35" i="25"/>
  <c r="K43" i="25"/>
  <c r="K7" i="25"/>
  <c r="K18" i="25"/>
  <c r="K19" i="25"/>
  <c r="AC34" i="23"/>
  <c r="G20" i="23"/>
  <c r="G18" i="23"/>
  <c r="AC34" i="21"/>
  <c r="G20" i="21"/>
  <c r="G18" i="21"/>
  <c r="K43" i="20"/>
  <c r="K35" i="20"/>
  <c r="K7" i="20"/>
  <c r="K19" i="20"/>
  <c r="K18" i="20"/>
  <c r="AI43" i="12"/>
  <c r="K44" i="25" l="1"/>
  <c r="K47" i="25" s="1"/>
  <c r="K36" i="25"/>
  <c r="K39" i="25" s="1"/>
  <c r="K30" i="25"/>
  <c r="K6" i="23"/>
  <c r="G33" i="23"/>
  <c r="K10" i="23" s="1"/>
  <c r="K15" i="23" s="1"/>
  <c r="K6" i="21"/>
  <c r="G33" i="21"/>
  <c r="K10" i="21" s="1"/>
  <c r="K15" i="21" s="1"/>
  <c r="K36" i="20"/>
  <c r="K39" i="20" s="1"/>
  <c r="K44" i="20"/>
  <c r="K47" i="20" s="1"/>
  <c r="K30" i="20"/>
  <c r="AO43" i="12"/>
  <c r="AK43" i="12"/>
  <c r="K31" i="25" l="1"/>
  <c r="AJ4" i="25"/>
  <c r="AH4" i="25"/>
  <c r="AL4" i="25"/>
  <c r="K35" i="23"/>
  <c r="K43" i="23"/>
  <c r="K7" i="23"/>
  <c r="K18" i="23"/>
  <c r="K19" i="23"/>
  <c r="K43" i="21"/>
  <c r="K35" i="21"/>
  <c r="K7" i="21"/>
  <c r="K19" i="21"/>
  <c r="K18" i="21"/>
  <c r="K31" i="20"/>
  <c r="AH4" i="20"/>
  <c r="AL4" i="20"/>
  <c r="AJ4" i="20"/>
  <c r="AG44" i="12"/>
  <c r="AI44" i="12"/>
  <c r="K36" i="23" l="1"/>
  <c r="K39" i="23" s="1"/>
  <c r="K44" i="23"/>
  <c r="K47" i="23" s="1"/>
  <c r="K30" i="23"/>
  <c r="K44" i="21"/>
  <c r="K47" i="21" s="1"/>
  <c r="K36" i="21"/>
  <c r="K39" i="21" s="1"/>
  <c r="K30" i="21"/>
  <c r="AO44" i="12"/>
  <c r="AK44" i="12"/>
  <c r="K31" i="23" l="1"/>
  <c r="AL4" i="23"/>
  <c r="AH4" i="23"/>
  <c r="AJ4" i="23"/>
  <c r="AL4" i="21"/>
  <c r="K31" i="21"/>
  <c r="AH4" i="21"/>
  <c r="AJ4" i="21"/>
  <c r="G29" i="12"/>
  <c r="G27" i="12" s="1"/>
  <c r="K29" i="12"/>
  <c r="K24" i="12"/>
  <c r="K27" i="12"/>
  <c r="O4" i="12"/>
  <c r="G7" i="12"/>
  <c r="G26" i="12"/>
  <c r="G10" i="12"/>
  <c r="K14" i="12"/>
  <c r="K34" i="12"/>
  <c r="K20" i="12"/>
  <c r="K23" i="12"/>
  <c r="K26" i="12"/>
  <c r="K21" i="12"/>
  <c r="O6" i="12"/>
  <c r="K22" i="12"/>
  <c r="K28" i="12"/>
  <c r="G28" i="12" l="1"/>
  <c r="K25" i="12"/>
  <c r="K45" i="12" s="1"/>
  <c r="G8" i="12"/>
  <c r="G9" i="12" s="1"/>
  <c r="K4" i="12"/>
  <c r="K5" i="12" s="1"/>
  <c r="O12" i="12"/>
  <c r="O13" i="12" s="1"/>
  <c r="K38" i="12"/>
  <c r="K46" i="12"/>
  <c r="O16" i="12" l="1"/>
  <c r="O14" i="12"/>
  <c r="K37" i="12"/>
  <c r="O20" i="12" l="1"/>
  <c r="O15" i="12"/>
  <c r="O23" i="12" l="1"/>
  <c r="O28" i="12"/>
  <c r="O30" i="12" s="1"/>
  <c r="G16" i="12"/>
  <c r="K16" i="12"/>
  <c r="G19" i="12" l="1"/>
  <c r="AA4" i="12"/>
  <c r="Y4" i="12"/>
  <c r="W4" i="12"/>
  <c r="AB4" i="12" l="1"/>
  <c r="V5" i="12" s="1"/>
  <c r="W5" i="12" s="1"/>
  <c r="AC4" i="12"/>
  <c r="X5" i="12" s="1"/>
  <c r="Y5" i="12" s="1"/>
  <c r="Z5" i="12" l="1"/>
  <c r="AA5" i="12" s="1"/>
  <c r="AC5" i="12" s="1"/>
  <c r="X6" i="12" s="1"/>
  <c r="Y6" i="12" s="1"/>
  <c r="AD5" i="12"/>
  <c r="AB5" i="12" l="1"/>
  <c r="V6" i="12" s="1"/>
  <c r="W6" i="12" s="1"/>
  <c r="AD6" i="12" l="1"/>
  <c r="Z6" i="12"/>
  <c r="AA6" i="12" s="1"/>
  <c r="AC6" i="12" s="1"/>
  <c r="X7" i="12" s="1"/>
  <c r="Y7" i="12" s="1"/>
  <c r="AB6" i="12" l="1"/>
  <c r="V7" i="12" s="1"/>
  <c r="Z7" i="12" s="1"/>
  <c r="AA7" i="12" s="1"/>
  <c r="AC7" i="12" s="1"/>
  <c r="X8" i="12" s="1"/>
  <c r="AD7" i="12" l="1"/>
  <c r="W7" i="12"/>
  <c r="AB7" i="12" s="1"/>
  <c r="V8" i="12" s="1"/>
  <c r="Z8" i="12" s="1"/>
  <c r="AA8" i="12" s="1"/>
  <c r="Y8" i="12"/>
  <c r="AD8" i="12" l="1"/>
  <c r="W8" i="12"/>
  <c r="AB8" i="12" s="1"/>
  <c r="V9" i="12" s="1"/>
  <c r="W9" i="12" s="1"/>
  <c r="AC8" i="12"/>
  <c r="X9" i="12" s="1"/>
  <c r="Y9" i="12" s="1"/>
  <c r="AD9" i="12" l="1"/>
  <c r="Z9" i="12"/>
  <c r="AA9" i="12" s="1"/>
  <c r="AB9" i="12" s="1"/>
  <c r="V10" i="12" s="1"/>
  <c r="W10" i="12" s="1"/>
  <c r="AC9" i="12" l="1"/>
  <c r="X10" i="12" s="1"/>
  <c r="Z10" i="12" s="1"/>
  <c r="AA10" i="12" s="1"/>
  <c r="AB10" i="12" s="1"/>
  <c r="V11" i="12" s="1"/>
  <c r="W11" i="12" s="1"/>
  <c r="AD10" i="12" l="1"/>
  <c r="Y10" i="12"/>
  <c r="AC10" i="12" s="1"/>
  <c r="X11" i="12" s="1"/>
  <c r="Y11" i="12" s="1"/>
  <c r="Z11" i="12" l="1"/>
  <c r="AA11" i="12" s="1"/>
  <c r="AB11" i="12" s="1"/>
  <c r="V12" i="12" s="1"/>
  <c r="W12" i="12" s="1"/>
  <c r="AD11" i="12"/>
  <c r="AC11" i="12" l="1"/>
  <c r="X12" i="12" s="1"/>
  <c r="AD12" i="12" s="1"/>
  <c r="Z12" i="12" l="1"/>
  <c r="AA12" i="12" s="1"/>
  <c r="AB12" i="12" s="1"/>
  <c r="V13" i="12" s="1"/>
  <c r="W13" i="12" s="1"/>
  <c r="Y12" i="12"/>
  <c r="AC12" i="12" l="1"/>
  <c r="X13" i="12" s="1"/>
  <c r="Z13" i="12" s="1"/>
  <c r="AA13" i="12" s="1"/>
  <c r="AB13" i="12" s="1"/>
  <c r="V14" i="12" s="1"/>
  <c r="W14" i="12" s="1"/>
  <c r="AD13" i="12" l="1"/>
  <c r="Y13" i="12"/>
  <c r="AC13" i="12" s="1"/>
  <c r="X14" i="12" s="1"/>
  <c r="AD14" i="12" s="1"/>
  <c r="Z14" i="12" l="1"/>
  <c r="AA14" i="12" s="1"/>
  <c r="AB14" i="12" s="1"/>
  <c r="V15" i="12" s="1"/>
  <c r="W15" i="12" s="1"/>
  <c r="Y14" i="12"/>
  <c r="AC14" i="12" l="1"/>
  <c r="X15" i="12" s="1"/>
  <c r="Z15" i="12" s="1"/>
  <c r="AA15" i="12" s="1"/>
  <c r="AB15" i="12" s="1"/>
  <c r="V16" i="12" s="1"/>
  <c r="Y15" i="12" l="1"/>
  <c r="AC15" i="12" s="1"/>
  <c r="X16" i="12" s="1"/>
  <c r="Z16" i="12" s="1"/>
  <c r="AA16" i="12" s="1"/>
  <c r="AD15" i="12"/>
  <c r="W16" i="12"/>
  <c r="AB16" i="12" l="1"/>
  <c r="V17" i="12" s="1"/>
  <c r="W17" i="12" s="1"/>
  <c r="AD16" i="12"/>
  <c r="Y16" i="12"/>
  <c r="AC16" i="12" s="1"/>
  <c r="X17" i="12" s="1"/>
  <c r="Y17" i="12" l="1"/>
  <c r="AD17" i="12"/>
  <c r="Z17" i="12"/>
  <c r="AA17" i="12" s="1"/>
  <c r="AB17" i="12" s="1"/>
  <c r="V18" i="12" s="1"/>
  <c r="W18" i="12" s="1"/>
  <c r="AC17" i="12" l="1"/>
  <c r="X18" i="12" s="1"/>
  <c r="Y18" i="12" l="1"/>
  <c r="AD18" i="12"/>
  <c r="Z18" i="12"/>
  <c r="AA18" i="12" s="1"/>
  <c r="AB18" i="12" s="1"/>
  <c r="V19" i="12" s="1"/>
  <c r="W19" i="12" s="1"/>
  <c r="AC18" i="12" l="1"/>
  <c r="X19" i="12" s="1"/>
  <c r="Z19" i="12" l="1"/>
  <c r="AA19" i="12" s="1"/>
  <c r="AB19" i="12" s="1"/>
  <c r="V20" i="12" s="1"/>
  <c r="AD19" i="12"/>
  <c r="Y19" i="12"/>
  <c r="AC19" i="12" l="1"/>
  <c r="X20" i="12" s="1"/>
  <c r="Y20" i="12" s="1"/>
  <c r="W20" i="12"/>
  <c r="Z20" i="12" l="1"/>
  <c r="AA20" i="12" s="1"/>
  <c r="AB20" i="12" s="1"/>
  <c r="V21" i="12" s="1"/>
  <c r="W21" i="12" s="1"/>
  <c r="AD20" i="12"/>
  <c r="AC20" i="12" l="1"/>
  <c r="X21" i="12" s="1"/>
  <c r="Z21" i="12" s="1"/>
  <c r="AA21" i="12" s="1"/>
  <c r="AB21" i="12" s="1"/>
  <c r="V22" i="12" s="1"/>
  <c r="Y21" i="12" l="1"/>
  <c r="AC21" i="12" s="1"/>
  <c r="X22" i="12" s="1"/>
  <c r="Z22" i="12" s="1"/>
  <c r="AA22" i="12" s="1"/>
  <c r="AD21" i="12"/>
  <c r="W22" i="12"/>
  <c r="Y22" i="12" l="1"/>
  <c r="AC22" i="12" s="1"/>
  <c r="X23" i="12" s="1"/>
  <c r="Y23" i="12" s="1"/>
  <c r="AD22" i="12"/>
  <c r="AB22" i="12"/>
  <c r="V23" i="12" s="1"/>
  <c r="W23" i="12" s="1"/>
  <c r="Z23" i="12" l="1"/>
  <c r="AA23" i="12" s="1"/>
  <c r="AB23" i="12" s="1"/>
  <c r="V24" i="12" s="1"/>
  <c r="AD23" i="12"/>
  <c r="W24" i="12" l="1"/>
  <c r="AC23" i="12"/>
  <c r="X24" i="12" s="1"/>
  <c r="Y24" i="12" l="1"/>
  <c r="AD24" i="12"/>
  <c r="Z24" i="12"/>
  <c r="AA24" i="12" s="1"/>
  <c r="AB24" i="12" s="1"/>
  <c r="V25" i="12" s="1"/>
  <c r="W25" i="12" l="1"/>
  <c r="AC24" i="12"/>
  <c r="X25" i="12" s="1"/>
  <c r="AD25" i="12" l="1"/>
  <c r="Y25" i="12"/>
  <c r="Z25" i="12"/>
  <c r="AA25" i="12" s="1"/>
  <c r="AB25" i="12" s="1"/>
  <c r="V26" i="12" s="1"/>
  <c r="W26" i="12" l="1"/>
  <c r="AC25" i="12"/>
  <c r="X26" i="12" s="1"/>
  <c r="Z26" i="12" s="1"/>
  <c r="AA26" i="12" s="1"/>
  <c r="Y26" i="12" l="1"/>
  <c r="AC26" i="12" s="1"/>
  <c r="X27" i="12" s="1"/>
  <c r="AD26" i="12"/>
  <c r="AB26" i="12"/>
  <c r="V27" i="12" s="1"/>
  <c r="W27" i="12" l="1"/>
  <c r="Z27" i="12"/>
  <c r="AA27" i="12" s="1"/>
  <c r="Y27" i="12"/>
  <c r="AD27" i="12"/>
  <c r="AB27" i="12" l="1"/>
  <c r="V28" i="12" s="1"/>
  <c r="W28" i="12" s="1"/>
  <c r="AC27" i="12"/>
  <c r="X28" i="12" s="1"/>
  <c r="Z28" i="12" l="1"/>
  <c r="AA28" i="12" s="1"/>
  <c r="AB28" i="12" s="1"/>
  <c r="V29" i="12" s="1"/>
  <c r="AD28" i="12"/>
  <c r="Y28" i="12"/>
  <c r="AC28" i="12" l="1"/>
  <c r="X29" i="12" s="1"/>
  <c r="Y29" i="12" s="1"/>
  <c r="W29" i="12"/>
  <c r="Z29" i="12" l="1"/>
  <c r="AA29" i="12" s="1"/>
  <c r="AB29" i="12" s="1"/>
  <c r="V30" i="12" s="1"/>
  <c r="W30" i="12" s="1"/>
  <c r="AD29" i="12"/>
  <c r="AC29" i="12" l="1"/>
  <c r="X30" i="12" s="1"/>
  <c r="Z30" i="12" s="1"/>
  <c r="AA30" i="12" s="1"/>
  <c r="AB30" i="12" s="1"/>
  <c r="V31" i="12" s="1"/>
  <c r="AD30" i="12" l="1"/>
  <c r="Y30" i="12"/>
  <c r="AC30" i="12" s="1"/>
  <c r="X31" i="12" s="1"/>
  <c r="Y31" i="12" s="1"/>
  <c r="W31" i="12"/>
  <c r="Z31" i="12" l="1"/>
  <c r="AA31" i="12" s="1"/>
  <c r="AB31" i="12" s="1"/>
  <c r="V32" i="12" s="1"/>
  <c r="W32" i="12" s="1"/>
  <c r="AD31" i="12"/>
  <c r="AC31" i="12" l="1"/>
  <c r="X32" i="12" s="1"/>
  <c r="Y32" i="12" s="1"/>
  <c r="Z32" i="12" l="1"/>
  <c r="AA32" i="12" s="1"/>
  <c r="AB32" i="12" s="1"/>
  <c r="V33" i="12" s="1"/>
  <c r="W33" i="12" s="1"/>
  <c r="AD32" i="12"/>
  <c r="AC32" i="12" l="1"/>
  <c r="X33" i="12" s="1"/>
  <c r="AD33" i="12" s="1"/>
  <c r="Z33" i="12" l="1"/>
  <c r="AA33" i="12" s="1"/>
  <c r="AB33" i="12" s="1"/>
  <c r="V34" i="12" s="1"/>
  <c r="W34" i="12" s="1"/>
  <c r="Y33" i="12"/>
  <c r="AC33" i="12" l="1"/>
  <c r="X34" i="12" s="1"/>
  <c r="Z34" i="12" s="1"/>
  <c r="O26" i="12" s="1"/>
  <c r="O27" i="12" s="1"/>
  <c r="G17" i="12" s="1"/>
  <c r="Y34" i="12" l="1"/>
  <c r="AD34" i="12"/>
  <c r="AA34" i="12"/>
  <c r="AB34" i="12" s="1"/>
  <c r="G18" i="12"/>
  <c r="G20" i="12"/>
  <c r="AC34" i="12" l="1"/>
  <c r="G33" i="12"/>
  <c r="K10" i="12" s="1"/>
  <c r="K15" i="12" s="1"/>
  <c r="K6" i="12"/>
  <c r="K7" i="12" l="1"/>
  <c r="K18" i="12"/>
  <c r="K19" i="12"/>
  <c r="K43" i="12"/>
  <c r="K35" i="12"/>
  <c r="K30" i="12" l="1"/>
  <c r="K31" i="12" s="1"/>
  <c r="K36" i="12"/>
  <c r="K39" i="12" s="1"/>
  <c r="K44" i="12"/>
  <c r="K47" i="12" s="1"/>
  <c r="AL4" i="12" l="1"/>
  <c r="AH4" i="12"/>
  <c r="AJ4" i="12"/>
</calcChain>
</file>

<file path=xl/sharedStrings.xml><?xml version="1.0" encoding="utf-8"?>
<sst xmlns="http://schemas.openxmlformats.org/spreadsheetml/2006/main" count="2295" uniqueCount="185">
  <si>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</si>
  <si>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</si>
  <si>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</si>
  <si>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</si>
  <si>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</si>
  <si>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</si>
  <si>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</si>
  <si>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</si>
  <si>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</si>
  <si>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</si>
  <si>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</si>
  <si>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</si>
  <si>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</si>
  <si>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</si>
  <si>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</si>
  <si>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</si>
  <si>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</si>
  <si>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</si>
  <si>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</si>
  <si>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</si>
  <si>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</si>
  <si>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</si>
  <si>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</si>
  <si>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flight_time</t>
  </si>
  <si>
    <t>dyn_pressure</t>
  </si>
  <si>
    <t>N/m^2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</si>
  <si>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</si>
  <si>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</si>
  <si>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</si>
  <si>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</si>
  <si>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</si>
  <si>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</si>
  <si>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</si>
  <si>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</si>
  <si>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</si>
  <si>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</si>
  <si>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</si>
  <si>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</si>
  <si>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</si>
  <si>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</si>
  <si>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</si>
  <si>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</si>
  <si>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</si>
  <si>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</si>
  <si>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</si>
  <si>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</si>
  <si>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</si>
  <si>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</si>
  <si>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</si>
  <si>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</si>
  <si>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</si>
  <si>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</si>
  <si>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</si>
  <si>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</si>
  <si>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</si>
  <si>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</si>
  <si>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</si>
  <si>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</si>
  <si>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</si>
  <si>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</si>
  <si>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</si>
  <si>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</si>
  <si>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</si>
  <si>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</si>
  <si>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</si>
  <si>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</si>
  <si>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</si>
  <si>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</si>
  <si>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</si>
  <si>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</si>
  <si>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</si>
  <si>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</si>
  <si>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</si>
  <si>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</si>
  <si>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</si>
  <si>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</si>
  <si>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</si>
  <si>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</si>
  <si>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</si>
  <si>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</si>
  <si>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</si>
  <si>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</si>
  <si>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</si>
  <si>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</si>
  <si>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</si>
  <si>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</si>
  <si>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</si>
  <si>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</si>
  <si>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</si>
  <si>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</si>
  <si>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</si>
  <si>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</si>
  <si>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</si>
  <si>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</si>
  <si>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</si>
  <si>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</si>
  <si>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</si>
  <si>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</si>
  <si>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</si>
  <si>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</si>
  <si>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</si>
  <si>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</si>
  <si>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</si>
  <si>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</si>
  <si>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</si>
  <si>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</si>
  <si>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</si>
  <si>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</si>
  <si>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</si>
  <si>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</si>
  <si>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</si>
  <si>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</si>
  <si>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</si>
  <si>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</si>
  <si>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CD0_total</t>
  </si>
  <si>
    <t>type</t>
  </si>
  <si>
    <t>wheeled</t>
  </si>
  <si>
    <t>f_LG</t>
  </si>
  <si>
    <t>eVTOL design parameters</t>
  </si>
  <si>
    <t>lift_rotor_solidity</t>
  </si>
  <si>
    <t>M</t>
  </si>
  <si>
    <t>sound_speed</t>
  </si>
  <si>
    <t>RPM</t>
  </si>
  <si>
    <t>W_rotors_and_hubs</t>
  </si>
  <si>
    <t>W_extra_hubs</t>
  </si>
  <si>
    <t>Pa s</t>
  </si>
  <si>
    <t>mu_air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</si>
  <si>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</si>
  <si>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</si>
  <si>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</si>
  <si>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</si>
  <si>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</si>
  <si>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</si>
  <si>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</si>
  <si>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</si>
  <si>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</si>
  <si>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</si>
  <si>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</si>
  <si>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</si>
  <si>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</si>
  <si>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</si>
  <si>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</si>
  <si>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</si>
  <si>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</si>
  <si>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</si>
  <si>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</si>
  <si>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</si>
  <si>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</si>
  <si>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</si>
  <si>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</si>
  <si>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</si>
  <si>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</si>
  <si>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</si>
  <si>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</si>
  <si>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</si>
  <si>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</si>
  <si>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</si>
  <si>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</si>
  <si>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</si>
  <si>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</si>
  <si>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</si>
  <si>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</si>
  <si>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</si>
  <si>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mission_repetition</t>
  </si>
  <si>
    <t>rho_softmax</t>
  </si>
  <si>
    <t>tf_propulsion</t>
  </si>
  <si>
    <t>tf_structure</t>
  </si>
  <si>
    <t>tf_equipments</t>
  </si>
  <si>
    <t>Propeller|RPM_cruise</t>
  </si>
  <si>
    <t>Environment at 5500 ft</t>
  </si>
  <si>
    <t>Environment at 6500 ft</t>
  </si>
  <si>
    <t>efficiency T/P</t>
  </si>
  <si>
    <t>g/W</t>
  </si>
  <si>
    <t>CT/sigma</t>
  </si>
  <si>
    <t>motor_power_margin</t>
  </si>
  <si>
    <t>Reserve cruise segment</t>
  </si>
  <si>
    <t>reserve cruise duration</t>
  </si>
  <si>
    <t>CD0_wing</t>
  </si>
  <si>
    <t>f_e_non_hub_non_wing</t>
  </si>
  <si>
    <t>uniform</t>
  </si>
  <si>
    <t>linear</t>
  </si>
  <si>
    <t>weighted_sum_of_takeoff_weight</t>
  </si>
  <si>
    <t>uniform
coeffs</t>
  </si>
  <si>
    <t>weights</t>
  </si>
  <si>
    <t>linear
coeffs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</si>
</sst>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uniform_250!$J$42:$J$46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uniform_250!$K$42:$K$46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692.85</c:v>
                </c:pt>
                <c:pt idx="2">
                  <c:v>357.46</c:v>
                </c:pt>
                <c:pt idx="3">
                  <c:v>448.84</c:v>
                </c:pt>
                <c:pt idx="4">
                  <c:v>106.11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uniform_250!$J$34:$J$38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uniform_250!$K$34:$K$38</c:f>
              <c:numCache>
                <c:formatCode>General</c:formatCode>
                <c:ptCount val="5"/>
                <c:pt idx="0">
                  <c:v>27.21</c:v>
                </c:pt>
                <c:pt idx="1">
                  <c:v>31.42</c:v>
                </c:pt>
                <c:pt idx="2">
                  <c:v>16.21</c:v>
                </c:pt>
                <c:pt idx="3">
                  <c:v>20.350000000000001</c:v>
                </c:pt>
                <c:pt idx="4">
                  <c:v>4.8099999999999996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07-E94B-B13B-C211704CAF6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07-E94B-B13B-C211704CAF6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07-E94B-B13B-C211704CAF6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07-E94B-B13B-C211704CAF6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07-E94B-B13B-C211704CAF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uniform_400!$J$42:$J$46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uniform_400!$K$42:$K$46</c:f>
              <c:numCache>
                <c:formatCode>General</c:formatCode>
                <c:ptCount val="5"/>
                <c:pt idx="0">
                  <c:v>600</c:v>
                </c:pt>
                <c:pt idx="1">
                  <c:v>365.43</c:v>
                </c:pt>
                <c:pt idx="2">
                  <c:v>271.14999999999998</c:v>
                </c:pt>
                <c:pt idx="3">
                  <c:v>404.13</c:v>
                </c:pt>
                <c:pt idx="4">
                  <c:v>81.8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307-E94B-B13B-C211704CAF6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9E-DA4A-A8F0-5E5709DF7EE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9E-DA4A-A8F0-5E5709DF7EE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9E-DA4A-A8F0-5E5709DF7EE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9E-DA4A-A8F0-5E5709DF7EE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49E-DA4A-A8F0-5E5709DF7E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uniform_400!$J$34:$J$38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uniform_400!$K$34:$K$38</c:f>
              <c:numCache>
                <c:formatCode>General</c:formatCode>
                <c:ptCount val="5"/>
                <c:pt idx="0">
                  <c:v>34.83</c:v>
                </c:pt>
                <c:pt idx="1">
                  <c:v>21.22</c:v>
                </c:pt>
                <c:pt idx="2">
                  <c:v>15.74</c:v>
                </c:pt>
                <c:pt idx="3">
                  <c:v>23.46</c:v>
                </c:pt>
                <c:pt idx="4">
                  <c:v>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9E-DA4A-A8F0-5E5709DF7E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4DE-2242-ABB2-61C77477FC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DE-2242-ABB2-61C77477FC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4DE-2242-ABB2-61C77477FC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4DE-2242-ABB2-61C77477FC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4DE-2242-ABB2-61C77477FC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uniform_550!$J$42:$J$46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uniform_550!$K$42:$K$46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250.84</c:v>
                </c:pt>
                <c:pt idx="2">
                  <c:v>242.79</c:v>
                </c:pt>
                <c:pt idx="3">
                  <c:v>387.9</c:v>
                </c:pt>
                <c:pt idx="4">
                  <c:v>73.53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4DE-2242-ABB2-61C77477FCA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41-3E40-BF25-7077355B37E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41-3E40-BF25-7077355B37E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41-3E40-BF25-7077355B37E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41-3E40-BF25-7077355B37E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41-3E40-BF25-7077355B37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uniform_550!$J$34:$J$38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uniform_550!$K$34:$K$38</c:f>
              <c:numCache>
                <c:formatCode>General</c:formatCode>
                <c:ptCount val="5"/>
                <c:pt idx="0">
                  <c:v>38.58</c:v>
                </c:pt>
                <c:pt idx="1">
                  <c:v>16.13</c:v>
                </c:pt>
                <c:pt idx="2">
                  <c:v>15.61</c:v>
                </c:pt>
                <c:pt idx="3">
                  <c:v>24.94</c:v>
                </c:pt>
                <c:pt idx="4">
                  <c:v>4.7300000000000004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41-3E40-BF25-7077355B37E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4AC-D547-8F73-C59A2B2BDBB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4AC-D547-8F73-C59A2B2BDBB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4AC-D547-8F73-C59A2B2BDBB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4AC-D547-8F73-C59A2B2BDBB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4AC-D547-8F73-C59A2B2BDB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uniform_700!$J$42:$J$46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uniform_700!$K$42:$K$46</c:f>
              <c:numCache>
                <c:formatCode>General</c:formatCode>
                <c:ptCount val="5"/>
                <c:pt idx="0">
                  <c:v>600</c:v>
                </c:pt>
                <c:pt idx="1">
                  <c:v>191.37</c:v>
                </c:pt>
                <c:pt idx="2">
                  <c:v>228.45</c:v>
                </c:pt>
                <c:pt idx="3">
                  <c:v>379.32</c:v>
                </c:pt>
                <c:pt idx="4">
                  <c:v>69.28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AC-D547-8F73-C59A2B2BDBB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46-984E-B21E-5F01E909243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746-984E-B21E-5F01E909243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746-984E-B21E-5F01E909243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746-984E-B21E-5F01E909243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746-984E-B21E-5F01E909243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uniform_700!$J$34:$J$38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uniform_700!$K$34:$K$38</c:f>
              <c:numCache>
                <c:formatCode>General</c:formatCode>
                <c:ptCount val="5"/>
                <c:pt idx="0">
                  <c:v>40.86</c:v>
                </c:pt>
                <c:pt idx="1">
                  <c:v>13.03</c:v>
                </c:pt>
                <c:pt idx="2">
                  <c:v>15.56</c:v>
                </c:pt>
                <c:pt idx="3">
                  <c:v>25.83</c:v>
                </c:pt>
                <c:pt idx="4">
                  <c:v>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746-984E-B21E-5F01E909243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31-F147-8E3B-235EF7FED19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31-F147-8E3B-235EF7FED19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C31-F147-8E3B-235EF7FED19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C31-F147-8E3B-235EF7FED19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C31-F147-8E3B-235EF7FED1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linear_250!$J$42:$J$46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linear_250!$K$42:$K$46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719.58</c:v>
                </c:pt>
                <c:pt idx="2">
                  <c:v>371.19</c:v>
                </c:pt>
                <c:pt idx="3">
                  <c:v>436.44</c:v>
                </c:pt>
                <c:pt idx="4">
                  <c:v>107.62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31-F147-8E3B-235EF7FED19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99D-054F-BF9D-594ABFFA280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99D-054F-BF9D-594ABFFA280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99D-054F-BF9D-594ABFFA280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99D-054F-BF9D-594ABFFA280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99D-054F-BF9D-594ABFFA28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linear_250!$J$34:$J$38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linear_250!$K$34:$K$38</c:f>
              <c:numCache>
                <c:formatCode>General</c:formatCode>
                <c:ptCount val="5"/>
                <c:pt idx="0">
                  <c:v>26.85</c:v>
                </c:pt>
                <c:pt idx="1">
                  <c:v>32.200000000000003</c:v>
                </c:pt>
                <c:pt idx="2">
                  <c:v>16.61</c:v>
                </c:pt>
                <c:pt idx="3">
                  <c:v>19.53</c:v>
                </c:pt>
                <c:pt idx="4">
                  <c:v>4.82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9D-054F-BF9D-594ABFFA28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76F-A94C-9473-768CE60070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76F-A94C-9473-768CE60070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76F-A94C-9473-768CE600703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76F-A94C-9473-768CE600703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76F-A94C-9473-768CE60070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linear_400!$J$42:$J$46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linear_400!$K$42:$K$46</c:f>
              <c:numCache>
                <c:formatCode>General</c:formatCode>
                <c:ptCount val="5"/>
                <c:pt idx="0">
                  <c:v>600</c:v>
                </c:pt>
                <c:pt idx="1">
                  <c:v>372.91</c:v>
                </c:pt>
                <c:pt idx="2">
                  <c:v>276.38</c:v>
                </c:pt>
                <c:pt idx="3">
                  <c:v>390.14</c:v>
                </c:pt>
                <c:pt idx="4">
                  <c:v>81.739999999999995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6F-A94C-9473-768CE600703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998-3C46-B365-7C2FB1EB42A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998-3C46-B365-7C2FB1EB42A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98-3C46-B365-7C2FB1EB42A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998-3C46-B365-7C2FB1EB42A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998-3C46-B365-7C2FB1EB42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linear_400!$J$34:$J$38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linear_400!$K$34:$K$38</c:f>
              <c:numCache>
                <c:formatCode>General</c:formatCode>
                <c:ptCount val="5"/>
                <c:pt idx="0">
                  <c:v>34.86</c:v>
                </c:pt>
                <c:pt idx="1">
                  <c:v>21.67</c:v>
                </c:pt>
                <c:pt idx="2">
                  <c:v>16.059999999999999</c:v>
                </c:pt>
                <c:pt idx="3">
                  <c:v>22.67</c:v>
                </c:pt>
                <c:pt idx="4">
                  <c:v>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98-3C46-B365-7C2FB1EB42A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96-9746-929D-9D379D51AB3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196-9746-929D-9D379D51AB3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196-9746-929D-9D379D51AB3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196-9746-929D-9D379D51AB3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196-9746-929D-9D379D51AB3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linear_550!$J$42:$J$46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linear_550!$K$42:$K$46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254.87</c:v>
                </c:pt>
                <c:pt idx="2">
                  <c:v>246.26</c:v>
                </c:pt>
                <c:pt idx="3">
                  <c:v>373.85</c:v>
                </c:pt>
                <c:pt idx="4">
                  <c:v>73.19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196-9746-929D-9D379D51AB3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D33-444E-9331-197FAD1AD5B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D33-444E-9331-197FAD1AD5B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D33-444E-9331-197FAD1AD5B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D33-444E-9331-197FAD1AD5B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D33-444E-9331-197FAD1AD5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linear_550!$J$34:$J$38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linear_550!$K$34:$K$38</c:f>
              <c:numCache>
                <c:formatCode>General</c:formatCode>
                <c:ptCount val="5"/>
                <c:pt idx="0">
                  <c:v>38.76</c:v>
                </c:pt>
                <c:pt idx="1">
                  <c:v>16.46</c:v>
                </c:pt>
                <c:pt idx="2">
                  <c:v>15.91</c:v>
                </c:pt>
                <c:pt idx="3">
                  <c:v>24.15</c:v>
                </c:pt>
                <c:pt idx="4">
                  <c:v>4.7300000000000004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D33-444E-9331-197FAD1AD5B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C3-6148-854C-757FD56E51D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C3-6148-854C-757FD56E51D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C3-6148-854C-757FD56E51D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C3-6148-854C-757FD56E51D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C3-6148-854C-757FD56E51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linear_700!$J$42:$J$46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linear_700!$K$42:$K$46</c:f>
              <c:numCache>
                <c:formatCode>General</c:formatCode>
                <c:ptCount val="5"/>
                <c:pt idx="0">
                  <c:v>600</c:v>
                </c:pt>
                <c:pt idx="1">
                  <c:v>194.05</c:v>
                </c:pt>
                <c:pt idx="2">
                  <c:v>231.18</c:v>
                </c:pt>
                <c:pt idx="3">
                  <c:v>365.31</c:v>
                </c:pt>
                <c:pt idx="4">
                  <c:v>68.84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C3-6148-854C-757FD56E51D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6EC-C447-8527-1A1FB5EFEF5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6EC-C447-8527-1A1FB5EFEF5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6EC-C447-8527-1A1FB5EFEF5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6EC-C447-8527-1A1FB5EFEF5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6EC-C447-8527-1A1FB5EFEF5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linear_700!$J$34:$J$38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linear_700!$K$34:$K$38</c:f>
              <c:numCache>
                <c:formatCode>General</c:formatCode>
                <c:ptCount val="5"/>
                <c:pt idx="0">
                  <c:v>41.11</c:v>
                </c:pt>
                <c:pt idx="1">
                  <c:v>13.3</c:v>
                </c:pt>
                <c:pt idx="2">
                  <c:v>15.84</c:v>
                </c:pt>
                <c:pt idx="3">
                  <c:v>25.03</c:v>
                </c:pt>
                <c:pt idx="4">
                  <c:v>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6EC-C447-8527-1A1FB5EFEF5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BDA40-F24D-9343-A762-7E559C61E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6A4612-758F-064D-8F06-F700304E5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58BBB3-E1AB-9E43-84F5-083CA8E5D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8A2940-D8F7-A74F-9578-E629963B0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CFFF4-03F9-944C-A86B-ADFDB8ED7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B3E8C7-8FD5-134F-AAB7-3680C5335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15E2C3-5EF0-394D-8F36-27411F4E31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DD1BCB-8546-2A4F-8F83-20501D41B1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B47B53-0996-E746-AECF-BB2822473B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EE131-EC7D-7244-9D52-638B840C2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995307-5CCD-EF42-84F1-5FC73929A3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3441D2-1031-4742-9CA4-8BAD48BDF7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5ED848-C4ED-7F40-8725-CD8BDDF0D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90B7A-8D32-2A45-BEE2-3A493BD177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866A-75E0-C34B-9B47-0CDA4F201F3C}">
  <dimension ref="B3:G15"/>
  <sheetViews>
    <sheetView tabSelected="1" topLeftCell="A2" workbookViewId="0">
      <selection activeCell="G10" sqref="G10"/>
    </sheetView>
  </sheetViews>
  <sheetFormatPr baseColWidth="10" defaultRowHeight="16" x14ac:dyDescent="0.2"/>
  <sheetData>
    <row r="3" spans="2:7" x14ac:dyDescent="0.2">
      <c r="B3" s="2"/>
      <c r="C3" s="2"/>
      <c r="D3" s="2"/>
      <c r="E3" s="2" t="s">
        <v>179</v>
      </c>
      <c r="F3" s="2" t="s">
        <v>180</v>
      </c>
    </row>
    <row r="4" spans="2:7" x14ac:dyDescent="0.2">
      <c r="B4" s="27" t="s">
        <v>181</v>
      </c>
      <c r="C4" s="27"/>
      <c r="D4" s="27"/>
      <c r="E4" s="4">
        <f>C7*E7 + C8*E8 + C9*E9 + C10*E10</f>
        <v>1737.8127089610275</v>
      </c>
      <c r="F4" s="4">
        <f xml:space="preserve"> C12*E12 + C13*E13 + C14*E14 + C15*E15</f>
        <v>1615.9213148660299</v>
      </c>
    </row>
    <row r="6" spans="2:7" x14ac:dyDescent="0.2">
      <c r="D6" s="2"/>
      <c r="E6" s="2"/>
      <c r="F6" s="2"/>
      <c r="G6" s="2"/>
    </row>
    <row r="7" spans="2:7" x14ac:dyDescent="0.2">
      <c r="B7" s="28" t="s">
        <v>182</v>
      </c>
      <c r="C7" s="2">
        <v>0.25</v>
      </c>
      <c r="D7" s="27" t="s">
        <v>183</v>
      </c>
      <c r="E7" s="2">
        <f>uniform_250!C5</f>
        <v>2205.2621249867102</v>
      </c>
      <c r="F7" s="2"/>
      <c r="G7" s="2"/>
    </row>
    <row r="8" spans="2:7" x14ac:dyDescent="0.2">
      <c r="B8" s="27"/>
      <c r="C8" s="2">
        <v>0.25</v>
      </c>
      <c r="D8" s="27"/>
      <c r="E8" s="2">
        <f>uniform_400!C5</f>
        <v>1722.5104808711801</v>
      </c>
      <c r="F8" s="2"/>
      <c r="G8" s="2"/>
    </row>
    <row r="9" spans="2:7" x14ac:dyDescent="0.2">
      <c r="B9" s="27"/>
      <c r="C9" s="2">
        <v>0.25</v>
      </c>
      <c r="D9" s="27"/>
      <c r="E9" s="2">
        <f>uniform_550!C5</f>
        <v>1555.06344924475</v>
      </c>
      <c r="F9" s="2"/>
      <c r="G9" s="2"/>
    </row>
    <row r="10" spans="2:7" x14ac:dyDescent="0.2">
      <c r="B10" s="27"/>
      <c r="C10" s="2">
        <v>0.25</v>
      </c>
      <c r="D10" s="27"/>
      <c r="E10" s="2">
        <f>uniform_700!C5</f>
        <v>1468.4147807414699</v>
      </c>
      <c r="F10" s="2"/>
      <c r="G10" s="2"/>
    </row>
    <row r="11" spans="2:7" x14ac:dyDescent="0.2">
      <c r="D11" s="2"/>
      <c r="E11" s="2"/>
      <c r="F11" s="2"/>
      <c r="G11" s="2"/>
    </row>
    <row r="12" spans="2:7" x14ac:dyDescent="0.2">
      <c r="B12" s="28" t="s">
        <v>184</v>
      </c>
      <c r="C12" s="2">
        <v>0.1</v>
      </c>
      <c r="D12" s="27" t="s">
        <v>183</v>
      </c>
      <c r="E12" s="2">
        <f>linear_250!C5</f>
        <v>2234.8269843473099</v>
      </c>
      <c r="F12" s="2"/>
      <c r="G12" s="2"/>
    </row>
    <row r="13" spans="2:7" x14ac:dyDescent="0.2">
      <c r="B13" s="27"/>
      <c r="C13" s="2">
        <v>0.2</v>
      </c>
      <c r="D13" s="27"/>
      <c r="E13" s="2">
        <f>linear_400!C5</f>
        <v>1721.1672253640199</v>
      </c>
      <c r="F13" s="2"/>
      <c r="G13" s="2"/>
    </row>
    <row r="14" spans="2:7" x14ac:dyDescent="0.2">
      <c r="B14" s="27"/>
      <c r="C14" s="2">
        <v>0.3</v>
      </c>
      <c r="D14" s="27"/>
      <c r="E14" s="2">
        <f>linear_550!C5</f>
        <v>1548.17463101833</v>
      </c>
      <c r="F14" s="2"/>
      <c r="G14" s="2"/>
    </row>
    <row r="15" spans="2:7" x14ac:dyDescent="0.2">
      <c r="B15" s="27"/>
      <c r="C15" s="2">
        <v>0.4</v>
      </c>
      <c r="D15" s="27"/>
      <c r="E15" s="2">
        <f>linear_700!C5</f>
        <v>1459.38195513249</v>
      </c>
      <c r="F15" s="2"/>
      <c r="G15" s="2"/>
    </row>
  </sheetData>
  <mergeCells count="5">
    <mergeCell ref="B4:D4"/>
    <mergeCell ref="B7:B10"/>
    <mergeCell ref="D7:D10"/>
    <mergeCell ref="B12:B15"/>
    <mergeCell ref="D12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561.56650209205714</v>
      </c>
      <c r="L4" s="6" t="s">
        <v>97</v>
      </c>
      <c r="N4" s="6" t="s">
        <v>131</v>
      </c>
      <c r="O4" s="6">
        <f xml:space="preserve"> $C$5 * $C$74</f>
        <v>21612.789800754064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1.2000664302832642</v>
      </c>
      <c r="X4" s="3">
        <v>1</v>
      </c>
      <c r="Y4" s="2">
        <f t="shared" ref="Y4:Y34" si="1" xml:space="preserve"> $O$22 * TAN($O$19/180*PI()) + $O$23 / (2 * SQRT($O$22^2 + X4^2)) - X4</f>
        <v>-2.8049034405290829E-2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0.4921634443877535</v>
      </c>
      <c r="AB4" s="2">
        <f>W4*AA4</f>
        <v>0.59062882782232717</v>
      </c>
      <c r="AC4" s="2">
        <f>Y4*AA4</f>
        <v>-1.3804709384658538E-2</v>
      </c>
      <c r="AD4" s="2">
        <f>X4-V4</f>
        <v>1</v>
      </c>
      <c r="AF4" s="2">
        <v>0</v>
      </c>
      <c r="AH4" s="2">
        <f>K30</f>
        <v>2.6279354806320043E-3</v>
      </c>
      <c r="AJ4" s="2">
        <f>K30</f>
        <v>2.6279354806320043E-3</v>
      </c>
      <c r="AL4" s="2">
        <f>K30</f>
        <v>2.6279354806320043E-3</v>
      </c>
    </row>
    <row r="5" spans="2:41" x14ac:dyDescent="0.2">
      <c r="B5" s="9" t="s">
        <v>38</v>
      </c>
      <c r="C5" s="9">
        <v>2205.2621249867102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70.195812761507142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0.4921634443877535</v>
      </c>
      <c r="X5" s="2">
        <f>IF(AC4&gt;0, Z4, X4)</f>
        <v>1</v>
      </c>
      <c r="Y5" s="2">
        <f t="shared" si="1"/>
        <v>-2.8049034405290829E-2</v>
      </c>
      <c r="Z5" s="2">
        <f t="shared" ref="Z5:Z34" si="3" xml:space="preserve"> (V5 + X5)/2</f>
        <v>0.75</v>
      </c>
      <c r="AA5" s="2">
        <f t="shared" si="2"/>
        <v>0.22875493263858315</v>
      </c>
      <c r="AB5" s="2">
        <f t="shared" ref="AB5:AB34" si="4">W5*AA5</f>
        <v>0.11258481556809362</v>
      </c>
      <c r="AC5" s="2">
        <f t="shared" ref="AC5:AC34" si="5">Y5*AA5</f>
        <v>-6.4163549759596048E-3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-879.02196732055597</v>
      </c>
      <c r="AI5" s="3">
        <v>10000</v>
      </c>
      <c r="AJ5" s="2">
        <f t="dataTable" ref="AJ5:AJ44" dt2D="0" dtr="0" r1="C5" ca="1"/>
        <v>2649.0582588934767</v>
      </c>
      <c r="AK5" s="2">
        <f>(AG5+AI5)/2</f>
        <v>5250</v>
      </c>
      <c r="AL5" s="2">
        <f t="dataTable" ref="AL5:AL44" dt2D="0" dtr="0" r1="C5" ca="1"/>
        <v>821.45865841028535</v>
      </c>
      <c r="AM5" s="2">
        <f>AH5*AL5</f>
        <v>-722080.20598831365</v>
      </c>
      <c r="AN5" s="2">
        <f>AJ5*AL5</f>
        <v>2176091.8434013217</v>
      </c>
      <c r="AO5" s="2">
        <f>AI5-AG5</f>
        <v>9500</v>
      </c>
    </row>
    <row r="6" spans="2:41" x14ac:dyDescent="0.2">
      <c r="B6" s="6" t="s">
        <v>168</v>
      </c>
      <c r="C6" s="16">
        <v>415.75115835305098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177.23976824324666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0.22183669899872982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0.22875493263858315</v>
      </c>
      <c r="X6" s="2">
        <f t="shared" ref="X6:X34" si="8">IF(AC5&gt;0, Z5, X5)</f>
        <v>1</v>
      </c>
      <c r="Y6" s="2">
        <f t="shared" si="1"/>
        <v>-2.8049034405290829E-2</v>
      </c>
      <c r="Z6" s="2">
        <f t="shared" si="3"/>
        <v>0.875</v>
      </c>
      <c r="AA6" s="2">
        <f t="shared" si="2"/>
        <v>9.9873577523271084E-2</v>
      </c>
      <c r="AB6" s="2">
        <f t="shared" si="4"/>
        <v>2.284657349871019E-2</v>
      </c>
      <c r="AC6" s="2">
        <f t="shared" si="5"/>
        <v>-2.8013574121297114E-3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-879.02196732055597</v>
      </c>
      <c r="AI6" s="2">
        <f>IF(AN5&gt;0,AK5,AI5)</f>
        <v>5250</v>
      </c>
      <c r="AJ6" s="2">
        <v>821.45865841028535</v>
      </c>
      <c r="AK6" s="2">
        <f t="shared" ref="AK6:AK44" si="9">(AG6+AI6)/2</f>
        <v>2875</v>
      </c>
      <c r="AL6" s="2">
        <v>263.7391845554705</v>
      </c>
      <c r="AM6" s="2">
        <f t="shared" ref="AM6:AM44" si="10">AH6*AL6</f>
        <v>-231832.53686746888</v>
      </c>
      <c r="AN6" s="2">
        <f t="shared" ref="AN6:AN44" si="11">AJ6*AL6</f>
        <v>216650.83671515944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2701.8571618740775</v>
      </c>
      <c r="H7" s="6" t="s">
        <v>21</v>
      </c>
      <c r="J7" s="6" t="s">
        <v>133</v>
      </c>
      <c r="K7" s="6">
        <f>K6/$C$28</f>
        <v>177.23976824324666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9.9873577523271084E-2</v>
      </c>
      <c r="X7" s="2">
        <f t="shared" si="8"/>
        <v>1</v>
      </c>
      <c r="Y7" s="2">
        <f t="shared" si="1"/>
        <v>-2.8049034405290829E-2</v>
      </c>
      <c r="Z7" s="2">
        <f t="shared" si="3"/>
        <v>0.9375</v>
      </c>
      <c r="AA7" s="2">
        <f t="shared" si="2"/>
        <v>3.5815997252968024E-2</v>
      </c>
      <c r="AB7" s="2">
        <f t="shared" si="4"/>
        <v>3.5770717782175662E-3</v>
      </c>
      <c r="AC7" s="2">
        <f t="shared" si="5"/>
        <v>-1.0046041392083019E-3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-879.02196732055597</v>
      </c>
      <c r="AI7" s="2">
        <f t="shared" ref="AI7:AI44" si="14">IF(AN6&gt;0,AK6,AI6)</f>
        <v>2875</v>
      </c>
      <c r="AJ7" s="2">
        <v>263.7391845554705</v>
      </c>
      <c r="AK7" s="2">
        <f t="shared" si="9"/>
        <v>1687.5</v>
      </c>
      <c r="AL7" s="2">
        <v>-236.11429090938168</v>
      </c>
      <c r="AM7" s="2">
        <f t="shared" si="10"/>
        <v>207549.64850766276</v>
      </c>
      <c r="AN7" s="2">
        <f t="shared" si="11"/>
        <v>-62272.590546333464</v>
      </c>
      <c r="AO7" s="2">
        <f t="shared" si="12"/>
        <v>2375</v>
      </c>
    </row>
    <row r="8" spans="2:41" x14ac:dyDescent="0.2">
      <c r="B8" s="6" t="s">
        <v>91</v>
      </c>
      <c r="C8" s="16">
        <v>1.7454279323503299</v>
      </c>
      <c r="D8" s="6" t="s">
        <v>8</v>
      </c>
      <c r="F8" t="s">
        <v>93</v>
      </c>
      <c r="G8" s="6">
        <f>G10/$C$21</f>
        <v>46.797208507671428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3.5815997252968024E-2</v>
      </c>
      <c r="X8" s="2">
        <f t="shared" si="8"/>
        <v>1</v>
      </c>
      <c r="Y8" s="2">
        <f t="shared" si="1"/>
        <v>-2.8049034405290829E-2</v>
      </c>
      <c r="Z8" s="2">
        <f t="shared" si="3"/>
        <v>0.96875</v>
      </c>
      <c r="AA8" s="2">
        <f t="shared" si="2"/>
        <v>3.8617069310997731E-3</v>
      </c>
      <c r="AB8" s="2">
        <f t="shared" si="4"/>
        <v>1.3831088483603706E-4</v>
      </c>
      <c r="AC8" s="2">
        <f t="shared" si="5"/>
        <v>-1.083171505735676E-4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-236.11429090938168</v>
      </c>
      <c r="AI8" s="2">
        <f t="shared" si="14"/>
        <v>2875</v>
      </c>
      <c r="AJ8" s="2">
        <v>263.7391845554705</v>
      </c>
      <c r="AK8" s="2">
        <f t="shared" si="9"/>
        <v>2281.25</v>
      </c>
      <c r="AL8" s="2">
        <v>32.288828254958162</v>
      </c>
      <c r="AM8" s="2">
        <f t="shared" si="10"/>
        <v>-7623.8537877142544</v>
      </c>
      <c r="AN8" s="2">
        <f t="shared" si="11"/>
        <v>8515.8292342143013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5.8904745478173215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3.8617069310997731E-3</v>
      </c>
      <c r="X9" s="2">
        <f t="shared" si="8"/>
        <v>1</v>
      </c>
      <c r="Y9" s="2">
        <f t="shared" si="1"/>
        <v>-2.8049034405290829E-2</v>
      </c>
      <c r="Z9" s="2">
        <f t="shared" si="3"/>
        <v>0.984375</v>
      </c>
      <c r="AA9" s="2">
        <f t="shared" si="2"/>
        <v>-1.2098851873365235E-2</v>
      </c>
      <c r="AB9" s="2">
        <f t="shared" si="4"/>
        <v>-4.6722220137724006E-5</v>
      </c>
      <c r="AC9" s="2">
        <f t="shared" si="5"/>
        <v>3.3936111246053887E-4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-236.11429090938168</v>
      </c>
      <c r="AI9" s="2">
        <f t="shared" si="14"/>
        <v>2281.25</v>
      </c>
      <c r="AJ9" s="2">
        <v>32.288828254958162</v>
      </c>
      <c r="AK9" s="2">
        <f t="shared" si="9"/>
        <v>1984.375</v>
      </c>
      <c r="AL9" s="2">
        <v>-97.2900885320405</v>
      </c>
      <c r="AM9" s="2">
        <f t="shared" si="10"/>
        <v>22971.58026625371</v>
      </c>
      <c r="AN9" s="2">
        <f t="shared" si="11"/>
        <v>-3141.3829595207303</v>
      </c>
      <c r="AO9" s="2">
        <f t="shared" si="12"/>
        <v>593.75</v>
      </c>
    </row>
    <row r="10" spans="2:41" x14ac:dyDescent="0.2">
      <c r="B10" s="6" t="s">
        <v>134</v>
      </c>
      <c r="C10" s="16">
        <v>1.6128483780265099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374.37766806137142</v>
      </c>
      <c r="H10" s="22" t="s">
        <v>97</v>
      </c>
      <c r="J10" s="6" t="s">
        <v>92</v>
      </c>
      <c r="K10" s="6">
        <f xml:space="preserve"> $C$18 * (G10*G6 + G20*G13 + G29*G25 + G33*G32)/3600</f>
        <v>117.78467674094115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3.8617069310997731E-3</v>
      </c>
      <c r="X10" s="2">
        <f t="shared" si="8"/>
        <v>0.984375</v>
      </c>
      <c r="Y10" s="2">
        <f t="shared" si="1"/>
        <v>-1.2098851873365235E-2</v>
      </c>
      <c r="Z10" s="2">
        <f t="shared" si="3"/>
        <v>0.9765625</v>
      </c>
      <c r="AA10" s="2">
        <f t="shared" si="2"/>
        <v>-4.1199001868728047E-3</v>
      </c>
      <c r="AB10" s="2">
        <f t="shared" si="4"/>
        <v>-1.5909847107085961E-5</v>
      </c>
      <c r="AC10" s="2">
        <f t="shared" si="5"/>
        <v>4.9846062094023815E-5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-97.2900885320405</v>
      </c>
      <c r="AI10" s="2">
        <f t="shared" si="14"/>
        <v>2281.25</v>
      </c>
      <c r="AJ10" s="2">
        <v>32.288828254958162</v>
      </c>
      <c r="AK10" s="2">
        <f t="shared" si="9"/>
        <v>2132.8125</v>
      </c>
      <c r="AL10" s="2">
        <v>-31.344425998290944</v>
      </c>
      <c r="AM10" s="2">
        <f t="shared" si="10"/>
        <v>3049.5019803597179</v>
      </c>
      <c r="AN10" s="2">
        <f t="shared" si="11"/>
        <v>-1012.0747878090618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0.88077356270100793</v>
      </c>
      <c r="U11" s="2">
        <v>7</v>
      </c>
      <c r="V11" s="2">
        <f t="shared" si="7"/>
        <v>0.96875</v>
      </c>
      <c r="W11" s="2">
        <f t="shared" si="0"/>
        <v>3.8617069310997731E-3</v>
      </c>
      <c r="X11" s="2">
        <f t="shared" si="8"/>
        <v>0.9765625</v>
      </c>
      <c r="Y11" s="2">
        <f t="shared" si="1"/>
        <v>-4.1199001868728047E-3</v>
      </c>
      <c r="Z11" s="2">
        <f t="shared" si="3"/>
        <v>0.97265625</v>
      </c>
      <c r="AA11" s="2">
        <f t="shared" si="2"/>
        <v>-1.2943249789332256E-4</v>
      </c>
      <c r="AB11" s="2">
        <f t="shared" si="4"/>
        <v>-4.9983037422420055E-7</v>
      </c>
      <c r="AC11" s="2">
        <f t="shared" si="5"/>
        <v>5.3324897225811351E-7</v>
      </c>
      <c r="AD11" s="2">
        <f t="shared" si="6"/>
        <v>7.8125E-3</v>
      </c>
      <c r="AF11" s="2">
        <v>7</v>
      </c>
      <c r="AG11" s="2">
        <f t="shared" si="13"/>
        <v>2132.8125</v>
      </c>
      <c r="AH11" s="2">
        <v>-31.344425998290944</v>
      </c>
      <c r="AI11" s="2">
        <f t="shared" si="14"/>
        <v>2281.25</v>
      </c>
      <c r="AJ11" s="2">
        <v>32.288828254958162</v>
      </c>
      <c r="AK11" s="2">
        <f t="shared" si="9"/>
        <v>2207.03125</v>
      </c>
      <c r="AL11" s="2">
        <v>0.76119220471514382</v>
      </c>
      <c r="AM11" s="2">
        <f t="shared" si="10"/>
        <v>-23.859132731169758</v>
      </c>
      <c r="AN11" s="2">
        <f t="shared" si="11"/>
        <v>24.578004367060235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0.31772341030048579</v>
      </c>
      <c r="U12" s="2">
        <v>8</v>
      </c>
      <c r="V12" s="2">
        <f t="shared" si="7"/>
        <v>0.96875</v>
      </c>
      <c r="W12" s="2">
        <f t="shared" si="0"/>
        <v>3.8617069310997731E-3</v>
      </c>
      <c r="X12" s="2">
        <f t="shared" si="8"/>
        <v>0.97265625</v>
      </c>
      <c r="Y12" s="2">
        <f t="shared" si="1"/>
        <v>-1.2943249789332256E-4</v>
      </c>
      <c r="Z12" s="2">
        <f t="shared" si="3"/>
        <v>0.970703125</v>
      </c>
      <c r="AA12" s="2">
        <f t="shared" si="2"/>
        <v>1.8660527496557888E-3</v>
      </c>
      <c r="AB12" s="2">
        <f t="shared" si="4"/>
        <v>7.2061488371435496E-6</v>
      </c>
      <c r="AC12" s="2">
        <f t="shared" si="5"/>
        <v>-2.4152786858865165E-7</v>
      </c>
      <c r="AD12" s="2">
        <f t="shared" si="6"/>
        <v>3.90625E-3</v>
      </c>
      <c r="AF12" s="2">
        <v>8</v>
      </c>
      <c r="AG12" s="2">
        <f t="shared" si="13"/>
        <v>2132.8125</v>
      </c>
      <c r="AH12" s="2">
        <v>-31.344425998290944</v>
      </c>
      <c r="AI12" s="2">
        <f t="shared" si="14"/>
        <v>2207.03125</v>
      </c>
      <c r="AJ12" s="2">
        <v>0.76119220471514382</v>
      </c>
      <c r="AK12" s="2">
        <f t="shared" si="9"/>
        <v>2169.921875</v>
      </c>
      <c r="AL12" s="2">
        <v>-15.219357835747815</v>
      </c>
      <c r="AM12" s="2">
        <f t="shared" si="10"/>
        <v>477.04203542410681</v>
      </c>
      <c r="AN12" s="2">
        <f t="shared" si="11"/>
        <v>-11.584856545341578</v>
      </c>
      <c r="AO12" s="2">
        <f t="shared" si="12"/>
        <v>74.21875</v>
      </c>
    </row>
    <row r="13" spans="2:41" x14ac:dyDescent="0.2">
      <c r="B13" s="6" t="s">
        <v>136</v>
      </c>
      <c r="C13" s="16">
        <v>5.6243040010406897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2.473705622801917E-2</v>
      </c>
      <c r="U13" s="2">
        <v>9</v>
      </c>
      <c r="V13" s="2">
        <f t="shared" si="7"/>
        <v>0.970703125</v>
      </c>
      <c r="W13" s="2">
        <f t="shared" si="0"/>
        <v>1.8660527496557888E-3</v>
      </c>
      <c r="X13" s="2">
        <f t="shared" si="8"/>
        <v>0.97265625</v>
      </c>
      <c r="Y13" s="2">
        <f t="shared" si="1"/>
        <v>-1.2943249789332256E-4</v>
      </c>
      <c r="Z13" s="2">
        <f t="shared" si="3"/>
        <v>0.9716796875</v>
      </c>
      <c r="AA13" s="2">
        <f t="shared" si="2"/>
        <v>8.6828907188307713E-4</v>
      </c>
      <c r="AB13" s="2">
        <f t="shared" si="4"/>
        <v>1.6202732100834891E-6</v>
      </c>
      <c r="AC13" s="2">
        <f t="shared" si="5"/>
        <v>-1.1238482346730138E-7</v>
      </c>
      <c r="AD13" s="2">
        <f t="shared" si="6"/>
        <v>1.953125E-3</v>
      </c>
      <c r="AF13" s="2">
        <v>9</v>
      </c>
      <c r="AG13" s="2">
        <f t="shared" si="13"/>
        <v>2169.921875</v>
      </c>
      <c r="AH13" s="2">
        <v>-15.219357835747815</v>
      </c>
      <c r="AI13" s="2">
        <f t="shared" si="14"/>
        <v>2207.03125</v>
      </c>
      <c r="AJ13" s="2">
        <v>0.76119220471514382</v>
      </c>
      <c r="AK13" s="2">
        <f t="shared" si="9"/>
        <v>2188.4765625</v>
      </c>
      <c r="AL13" s="2">
        <v>-7.2110189056402305</v>
      </c>
      <c r="AM13" s="2">
        <f t="shared" si="10"/>
        <v>109.74707708528128</v>
      </c>
      <c r="AN13" s="2">
        <f t="shared" si="11"/>
        <v>-5.4889713790268706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70.219159642562076</v>
      </c>
      <c r="H14" s="6" t="s">
        <v>10</v>
      </c>
      <c r="J14" s="9" t="s">
        <v>75</v>
      </c>
      <c r="K14" s="17">
        <f>C5</f>
        <v>2205.2621249867102</v>
      </c>
      <c r="L14" s="6" t="s">
        <v>7</v>
      </c>
      <c r="N14" s="6" t="s">
        <v>40</v>
      </c>
      <c r="O14" s="6">
        <f xml:space="preserve"> O5 * O13 * $C$12</f>
        <v>1682.7113747771425</v>
      </c>
      <c r="P14" s="6" t="s">
        <v>21</v>
      </c>
      <c r="U14" s="2">
        <v>10</v>
      </c>
      <c r="V14" s="2">
        <f t="shared" si="7"/>
        <v>0.9716796875</v>
      </c>
      <c r="W14" s="2">
        <f t="shared" si="0"/>
        <v>8.6828907188307713E-4</v>
      </c>
      <c r="X14" s="2">
        <f t="shared" si="8"/>
        <v>0.97265625</v>
      </c>
      <c r="Y14" s="2">
        <f t="shared" si="1"/>
        <v>-1.2943249789332256E-4</v>
      </c>
      <c r="Z14" s="2">
        <f t="shared" si="3"/>
        <v>0.97216796875</v>
      </c>
      <c r="AA14" s="2">
        <f t="shared" si="2"/>
        <v>3.6942303131060061E-4</v>
      </c>
      <c r="AB14" s="2">
        <f t="shared" si="4"/>
        <v>3.2076598098891436E-7</v>
      </c>
      <c r="AC14" s="2">
        <f t="shared" si="5"/>
        <v>-4.7815345721854146E-8</v>
      </c>
      <c r="AD14" s="2">
        <f t="shared" si="6"/>
        <v>9.765625E-4</v>
      </c>
      <c r="AF14" s="2">
        <v>10</v>
      </c>
      <c r="AG14" s="2">
        <f t="shared" si="13"/>
        <v>2188.4765625</v>
      </c>
      <c r="AH14" s="2">
        <v>-7.2110189056402305</v>
      </c>
      <c r="AI14" s="2">
        <f t="shared" si="14"/>
        <v>2207.03125</v>
      </c>
      <c r="AJ14" s="2">
        <v>0.76119220471514382</v>
      </c>
      <c r="AK14" s="2">
        <f t="shared" si="9"/>
        <v>2197.75390625</v>
      </c>
      <c r="AL14" s="2">
        <v>-3.2203974511137403</v>
      </c>
      <c r="AM14" s="2">
        <f t="shared" si="10"/>
        <v>23.222346903656792</v>
      </c>
      <c r="AN14" s="2">
        <f t="shared" si="11"/>
        <v>-2.4513414358722976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0.21104469181596469</v>
      </c>
      <c r="H15" s="6" t="s">
        <v>120</v>
      </c>
      <c r="J15" s="10" t="s">
        <v>53</v>
      </c>
      <c r="K15" s="6">
        <f xml:space="preserve"> 1000 * K10 / ($C$60 * $C$61 * $C$62)</f>
        <v>692.85103965259498</v>
      </c>
      <c r="L15" s="6" t="s">
        <v>7</v>
      </c>
      <c r="N15" s="6" t="s">
        <v>140</v>
      </c>
      <c r="O15" s="6">
        <f>O4/O14</f>
        <v>12.844026684978255</v>
      </c>
      <c r="U15" s="2">
        <v>11</v>
      </c>
      <c r="V15" s="2">
        <f t="shared" si="7"/>
        <v>0.97216796875</v>
      </c>
      <c r="W15" s="2">
        <f t="shared" si="0"/>
        <v>3.6942303131060061E-4</v>
      </c>
      <c r="X15" s="2">
        <f t="shared" si="8"/>
        <v>0.97265625</v>
      </c>
      <c r="Y15" s="2">
        <f t="shared" si="1"/>
        <v>-1.2943249789332256E-4</v>
      </c>
      <c r="Z15" s="2">
        <f t="shared" si="3"/>
        <v>0.972412109375</v>
      </c>
      <c r="AA15" s="2">
        <f t="shared" si="2"/>
        <v>1.199939537628314E-4</v>
      </c>
      <c r="AB15" s="2">
        <f t="shared" si="4"/>
        <v>4.4328530138009224E-8</v>
      </c>
      <c r="AC15" s="2">
        <f t="shared" si="5"/>
        <v>-1.5531117167619121E-8</v>
      </c>
      <c r="AD15" s="2">
        <f t="shared" si="6"/>
        <v>4.8828125E-4</v>
      </c>
      <c r="AF15" s="2">
        <v>11</v>
      </c>
      <c r="AG15" s="2">
        <f t="shared" si="13"/>
        <v>2197.75390625</v>
      </c>
      <c r="AH15" s="2">
        <v>-3.2203974511137403</v>
      </c>
      <c r="AI15" s="2">
        <f t="shared" si="14"/>
        <v>2207.03125</v>
      </c>
      <c r="AJ15" s="2">
        <v>0.76119220471514382</v>
      </c>
      <c r="AK15" s="2">
        <f t="shared" si="9"/>
        <v>2202.392578125</v>
      </c>
      <c r="AL15" s="2">
        <v>-1.2284738986907087</v>
      </c>
      <c r="AM15" s="2">
        <f t="shared" si="10"/>
        <v>3.9561742121033174</v>
      </c>
      <c r="AN15" s="2">
        <f t="shared" si="11"/>
        <v>-0.93510475537938875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1682.7113747771425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163.1835218902502</v>
      </c>
      <c r="L16" s="6" t="s">
        <v>7</v>
      </c>
      <c r="N16" s="6" t="s">
        <v>111</v>
      </c>
      <c r="O16" s="6">
        <f>(O13*$C$12)/(0.3048^2)/($C$5*2.20462/1000)^(2/3)</f>
        <v>2.7834069325088087</v>
      </c>
      <c r="U16" s="2">
        <v>12</v>
      </c>
      <c r="V16" s="2">
        <f t="shared" si="7"/>
        <v>0.972412109375</v>
      </c>
      <c r="W16" s="2">
        <f t="shared" si="0"/>
        <v>1.199939537628314E-4</v>
      </c>
      <c r="X16" s="2">
        <f t="shared" si="8"/>
        <v>0.97265625</v>
      </c>
      <c r="Y16" s="2">
        <f t="shared" si="1"/>
        <v>-1.2943249789332256E-4</v>
      </c>
      <c r="Z16" s="2">
        <f t="shared" si="3"/>
        <v>0.9725341796875</v>
      </c>
      <c r="AA16" s="2">
        <f t="shared" si="2"/>
        <v>-4.7196001798921472E-6</v>
      </c>
      <c r="AB16" s="2">
        <f t="shared" si="4"/>
        <v>-5.6632348576502903E-10</v>
      </c>
      <c r="AC16" s="2">
        <f t="shared" si="5"/>
        <v>6.1086964034121514E-10</v>
      </c>
      <c r="AD16" s="2">
        <f t="shared" si="6"/>
        <v>2.44140625E-4</v>
      </c>
      <c r="AF16" s="2">
        <v>12</v>
      </c>
      <c r="AG16" s="2">
        <f t="shared" si="13"/>
        <v>2202.392578125</v>
      </c>
      <c r="AH16" s="2">
        <v>-1.2284738986907087</v>
      </c>
      <c r="AI16" s="2">
        <f t="shared" si="14"/>
        <v>2207.03125</v>
      </c>
      <c r="AJ16" s="2">
        <v>0.76119220471514382</v>
      </c>
      <c r="AK16" s="2">
        <f t="shared" si="9"/>
        <v>2204.7119140625</v>
      </c>
      <c r="AL16" s="2">
        <v>-0.23335851522142548</v>
      </c>
      <c r="AM16" s="2">
        <f t="shared" si="10"/>
        <v>0.28667484498673962</v>
      </c>
      <c r="AN16" s="2">
        <f t="shared" si="11"/>
        <v>-0.17763068269044929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118.15984549549776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0.972412109375</v>
      </c>
      <c r="W17" s="2">
        <f t="shared" si="0"/>
        <v>1.199939537628314E-4</v>
      </c>
      <c r="X17" s="2">
        <f t="shared" si="8"/>
        <v>0.9725341796875</v>
      </c>
      <c r="Y17" s="2">
        <f t="shared" si="1"/>
        <v>-4.7196001798921472E-6</v>
      </c>
      <c r="Z17" s="2">
        <f t="shared" si="3"/>
        <v>0.97247314453125</v>
      </c>
      <c r="AA17" s="2">
        <f t="shared" si="2"/>
        <v>5.7637094747597928E-5</v>
      </c>
      <c r="AB17" s="2">
        <f t="shared" si="4"/>
        <v>6.916102882167198E-9</v>
      </c>
      <c r="AC17" s="2">
        <f t="shared" si="5"/>
        <v>-2.7202404273922391E-10</v>
      </c>
      <c r="AD17" s="2">
        <f t="shared" si="6"/>
        <v>1.220703125E-4</v>
      </c>
      <c r="AF17" s="2">
        <v>13</v>
      </c>
      <c r="AG17" s="2">
        <f t="shared" si="13"/>
        <v>2204.7119140625</v>
      </c>
      <c r="AH17" s="2">
        <v>-0.23335851522142548</v>
      </c>
      <c r="AI17" s="2">
        <f t="shared" si="14"/>
        <v>2207.03125</v>
      </c>
      <c r="AJ17" s="2">
        <v>0.76119220471514382</v>
      </c>
      <c r="AK17" s="2">
        <f t="shared" si="9"/>
        <v>2205.87158203125</v>
      </c>
      <c r="AL17" s="2">
        <v>0.26398735066982226</v>
      </c>
      <c r="AM17" s="2">
        <f t="shared" si="10"/>
        <v>-6.1603696189547502E-2</v>
      </c>
      <c r="AN17" s="2">
        <f t="shared" si="11"/>
        <v>0.20094511347327182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1.4530785938640804</v>
      </c>
      <c r="H18" s="6" t="s">
        <v>172</v>
      </c>
      <c r="J18" s="12" t="s">
        <v>54</v>
      </c>
      <c r="K18" s="6">
        <f xml:space="preserve"> $C$78 * (0.2138 * K4 + 0.2138 * K6)</f>
        <v>126.36542447815037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0.97247314453125</v>
      </c>
      <c r="W18" s="2">
        <f t="shared" si="0"/>
        <v>5.7637094747597928E-5</v>
      </c>
      <c r="X18" s="2">
        <f t="shared" si="8"/>
        <v>0.9725341796875</v>
      </c>
      <c r="Y18" s="2">
        <f t="shared" si="1"/>
        <v>-4.7196001798921472E-6</v>
      </c>
      <c r="Z18" s="2">
        <f t="shared" si="3"/>
        <v>0.972503662109375</v>
      </c>
      <c r="AA18" s="2">
        <f t="shared" si="2"/>
        <v>2.6458726774758468E-5</v>
      </c>
      <c r="AB18" s="2">
        <f t="shared" si="4"/>
        <v>1.5250041420175599E-9</v>
      </c>
      <c r="AC18" s="2">
        <f t="shared" si="5"/>
        <v>-1.2487461164586723E-10</v>
      </c>
      <c r="AD18" s="2">
        <f t="shared" si="6"/>
        <v>6.103515625E-5</v>
      </c>
      <c r="AF18" s="2">
        <v>14</v>
      </c>
      <c r="AG18" s="2">
        <f t="shared" si="13"/>
        <v>2204.7119140625</v>
      </c>
      <c r="AH18" s="2">
        <v>-0.23335851522142548</v>
      </c>
      <c r="AI18" s="2">
        <f t="shared" si="14"/>
        <v>2205.87158203125</v>
      </c>
      <c r="AJ18" s="2">
        <v>0.26398735066982226</v>
      </c>
      <c r="AK18" s="2">
        <f t="shared" si="9"/>
        <v>2205.291748046875</v>
      </c>
      <c r="AL18" s="2">
        <v>1.5332427738485421E-2</v>
      </c>
      <c r="AM18" s="2">
        <f t="shared" si="10"/>
        <v>-3.5779525717927565E-3</v>
      </c>
      <c r="AN18" s="2">
        <f t="shared" si="11"/>
        <v>4.0475669780192609E-3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4.8714266485958758E-2</v>
      </c>
      <c r="J19" s="12" t="s">
        <v>73</v>
      </c>
      <c r="K19" s="6">
        <f xml:space="preserve"> $C$78 * (0.1149 * K4 + 0.1149 * K6)</f>
        <v>67.911072369221117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0.972503662109375</v>
      </c>
      <c r="W19" s="2">
        <f t="shared" si="0"/>
        <v>2.6458726774758468E-5</v>
      </c>
      <c r="X19" s="2">
        <f t="shared" si="8"/>
        <v>0.9725341796875</v>
      </c>
      <c r="Y19" s="2">
        <f t="shared" si="1"/>
        <v>-4.7196001798921472E-6</v>
      </c>
      <c r="Z19" s="2">
        <f t="shared" si="3"/>
        <v>0.9725189208984375</v>
      </c>
      <c r="AA19" s="2">
        <f t="shared" si="2"/>
        <v>1.0869558170423232E-5</v>
      </c>
      <c r="AB19" s="2">
        <f t="shared" si="4"/>
        <v>2.8759466979357186E-10</v>
      </c>
      <c r="AC19" s="2">
        <f t="shared" si="5"/>
        <v>-5.1299968696477643E-11</v>
      </c>
      <c r="AD19" s="2">
        <f t="shared" si="6"/>
        <v>3.0517578125E-5</v>
      </c>
      <c r="AF19" s="2">
        <v>15</v>
      </c>
      <c r="AG19" s="2">
        <f t="shared" si="13"/>
        <v>2204.7119140625</v>
      </c>
      <c r="AH19" s="2">
        <v>-0.23335851522142548</v>
      </c>
      <c r="AI19" s="2">
        <f t="shared" si="14"/>
        <v>2205.291748046875</v>
      </c>
      <c r="AJ19" s="2">
        <v>1.5332427738485421E-2</v>
      </c>
      <c r="AK19" s="2">
        <f t="shared" si="9"/>
        <v>2205.0018310546875</v>
      </c>
      <c r="AL19" s="2">
        <v>-0.10900838787210887</v>
      </c>
      <c r="AM19" s="2">
        <f t="shared" si="10"/>
        <v>2.543803554051657E-2</v>
      </c>
      <c r="AN19" s="2">
        <f t="shared" si="11"/>
        <v>-1.6713632299378998E-3</v>
      </c>
      <c r="AO19" s="2">
        <f t="shared" si="12"/>
        <v>0.579833984375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118.15984549549776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214.98284312673778</v>
      </c>
      <c r="L20" s="6" t="s">
        <v>7</v>
      </c>
      <c r="N20" s="6" t="s">
        <v>20</v>
      </c>
      <c r="O20" s="6">
        <f xml:space="preserve"> O14 / $C$28</f>
        <v>1682.7113747771425</v>
      </c>
      <c r="P20" s="6" t="s">
        <v>21</v>
      </c>
      <c r="U20" s="2">
        <v>16</v>
      </c>
      <c r="V20" s="2">
        <f t="shared" si="7"/>
        <v>0.9725189208984375</v>
      </c>
      <c r="W20" s="2">
        <f t="shared" si="0"/>
        <v>1.0869558170423232E-5</v>
      </c>
      <c r="X20" s="2">
        <f t="shared" si="8"/>
        <v>0.9725341796875</v>
      </c>
      <c r="Y20" s="2">
        <f t="shared" si="1"/>
        <v>-4.7196001798921472E-6</v>
      </c>
      <c r="Z20" s="2">
        <f t="shared" si="3"/>
        <v>0.97252655029296875</v>
      </c>
      <c r="AA20" s="2">
        <f t="shared" si="2"/>
        <v>3.0749777134575496E-6</v>
      </c>
      <c r="AB20" s="2">
        <f t="shared" si="4"/>
        <v>3.3423649129181855E-11</v>
      </c>
      <c r="AC20" s="2">
        <f t="shared" si="5"/>
        <v>-1.4512665369598595E-11</v>
      </c>
      <c r="AD20" s="2">
        <f t="shared" si="6"/>
        <v>1.52587890625E-5</v>
      </c>
      <c r="AF20" s="2">
        <v>16</v>
      </c>
      <c r="AG20" s="2">
        <f t="shared" si="13"/>
        <v>2205.0018310546875</v>
      </c>
      <c r="AH20" s="2">
        <v>-0.10900838787210887</v>
      </c>
      <c r="AI20" s="2">
        <f t="shared" si="14"/>
        <v>2205.291748046875</v>
      </c>
      <c r="AJ20" s="2">
        <v>1.5332427738485421E-2</v>
      </c>
      <c r="AK20" s="2">
        <f t="shared" si="9"/>
        <v>2205.1467895507812</v>
      </c>
      <c r="AL20" s="2">
        <v>-4.6837199563242393E-2</v>
      </c>
      <c r="AM20" s="2">
        <f t="shared" si="10"/>
        <v>5.105647616833295E-3</v>
      </c>
      <c r="AN20" s="2">
        <f t="shared" si="11"/>
        <v>-7.1812797777643495E-4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57.336815249654471</v>
      </c>
      <c r="L21" s="6" t="s">
        <v>7</v>
      </c>
      <c r="N21" s="6" t="s">
        <v>27</v>
      </c>
      <c r="O21" s="6">
        <f>$C$6*2*PI()/60</f>
        <v>43.537359493446388</v>
      </c>
      <c r="P21" s="6" t="s">
        <v>28</v>
      </c>
      <c r="U21" s="2">
        <v>17</v>
      </c>
      <c r="V21" s="2">
        <f t="shared" si="7"/>
        <v>0.97252655029296875</v>
      </c>
      <c r="W21" s="2">
        <f t="shared" si="0"/>
        <v>3.0749777134575496E-6</v>
      </c>
      <c r="X21" s="2">
        <f t="shared" si="8"/>
        <v>0.9725341796875</v>
      </c>
      <c r="Y21" s="2">
        <f t="shared" si="1"/>
        <v>-4.7196001798921472E-6</v>
      </c>
      <c r="Z21" s="2">
        <f t="shared" si="3"/>
        <v>0.97253036499023438</v>
      </c>
      <c r="AA21" s="2">
        <f t="shared" si="2"/>
        <v>-8.2231155362766373E-7</v>
      </c>
      <c r="AB21" s="2">
        <f t="shared" si="4"/>
        <v>-2.5285897009237185E-12</v>
      </c>
      <c r="AC21" s="2">
        <f t="shared" si="5"/>
        <v>3.8809817564285126E-12</v>
      </c>
      <c r="AD21" s="2">
        <f t="shared" si="6"/>
        <v>7.62939453125E-6</v>
      </c>
      <c r="AF21" s="2">
        <v>17</v>
      </c>
      <c r="AG21" s="2">
        <f t="shared" si="13"/>
        <v>2205.1467895507812</v>
      </c>
      <c r="AH21" s="2">
        <v>-4.6837199563242393E-2</v>
      </c>
      <c r="AI21" s="2">
        <f t="shared" si="14"/>
        <v>2205.291748046875</v>
      </c>
      <c r="AJ21" s="2">
        <v>1.5332427738485421E-2</v>
      </c>
      <c r="AK21" s="2">
        <f t="shared" si="9"/>
        <v>2205.2192687988281</v>
      </c>
      <c r="AL21" s="2">
        <v>-1.5752114095448633E-2</v>
      </c>
      <c r="AM21" s="2">
        <f t="shared" si="10"/>
        <v>7.3778491143149105E-4</v>
      </c>
      <c r="AN21" s="2">
        <f t="shared" si="11"/>
        <v>-2.415181510968438E-4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 xml:space="preserve"> $C$79 * (0.04674 * ($C$5*2.20462)^0.397 * ($C$12*3.28084^2)^0.36 * $C$46^0.397 * $C$13^1.712 * 0.453592)</f>
        <v>117.46515980462692</v>
      </c>
      <c r="L22" s="6" t="s">
        <v>7</v>
      </c>
      <c r="N22" s="6" t="s">
        <v>29</v>
      </c>
      <c r="O22" s="6">
        <f xml:space="preserve"> $C$7 * COS(O19/180*PI()) / (O21 * $C$10)</f>
        <v>8.322964153140551E-2</v>
      </c>
      <c r="U22" s="2">
        <v>18</v>
      </c>
      <c r="V22" s="2">
        <f t="shared" si="7"/>
        <v>0.97252655029296875</v>
      </c>
      <c r="W22" s="2">
        <f t="shared" si="0"/>
        <v>3.0749777134575496E-6</v>
      </c>
      <c r="X22" s="2">
        <f t="shared" si="8"/>
        <v>0.97253036499023438</v>
      </c>
      <c r="Y22" s="2">
        <f t="shared" si="1"/>
        <v>-8.2231155362766373E-7</v>
      </c>
      <c r="Z22" s="2">
        <f t="shared" si="3"/>
        <v>0.97252845764160156</v>
      </c>
      <c r="AA22" s="2">
        <f t="shared" si="2"/>
        <v>1.1263329998678628E-6</v>
      </c>
      <c r="AB22" s="2">
        <f t="shared" si="4"/>
        <v>3.4634488725254633E-12</v>
      </c>
      <c r="AC22" s="2">
        <f t="shared" si="5"/>
        <v>-9.261966390234495E-13</v>
      </c>
      <c r="AD22" s="2">
        <f t="shared" si="6"/>
        <v>3.814697265625E-6</v>
      </c>
      <c r="AF22" s="2">
        <v>18</v>
      </c>
      <c r="AG22" s="2">
        <f t="shared" si="13"/>
        <v>2205.2192687988281</v>
      </c>
      <c r="AH22" s="2">
        <v>-1.5752114095448633E-2</v>
      </c>
      <c r="AI22" s="2">
        <f t="shared" si="14"/>
        <v>2205.291748046875</v>
      </c>
      <c r="AJ22" s="2">
        <v>1.5332427738485421E-2</v>
      </c>
      <c r="AK22" s="2">
        <f t="shared" si="9"/>
        <v>2205.2555084228516</v>
      </c>
      <c r="AL22" s="2">
        <v>-2.0977522467546805E-4</v>
      </c>
      <c r="AM22" s="2">
        <f t="shared" si="10"/>
        <v>3.3044032734863443E-6</v>
      </c>
      <c r="AN22" s="2">
        <f t="shared" si="11"/>
        <v>-3.2163634736611577E-6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24.874970452774793</v>
      </c>
      <c r="L23" s="6" t="s">
        <v>7</v>
      </c>
      <c r="N23" s="6" t="s">
        <v>30</v>
      </c>
      <c r="O23" s="6">
        <f xml:space="preserve"> O20 / ( $C$71 * PI() * $C$10^2 * O21^2 * $C$10^2)</f>
        <v>4.1406292966981458E-2</v>
      </c>
      <c r="U23" s="2">
        <v>19</v>
      </c>
      <c r="V23" s="2">
        <f t="shared" si="7"/>
        <v>0.97252845764160156</v>
      </c>
      <c r="W23" s="2">
        <f t="shared" si="0"/>
        <v>1.1263329998678628E-6</v>
      </c>
      <c r="X23" s="2">
        <f t="shared" si="8"/>
        <v>0.97253036499023438</v>
      </c>
      <c r="Y23" s="2">
        <f t="shared" si="1"/>
        <v>-8.2231155362766373E-7</v>
      </c>
      <c r="Z23" s="2">
        <f t="shared" si="3"/>
        <v>0.97252941131591797</v>
      </c>
      <c r="AA23" s="2">
        <f t="shared" si="2"/>
        <v>1.5201070302506281E-7</v>
      </c>
      <c r="AB23" s="2">
        <f t="shared" si="4"/>
        <v>1.7121467115024181E-13</v>
      </c>
      <c r="AC23" s="2">
        <f t="shared" si="5"/>
        <v>-1.2500015737257281E-13</v>
      </c>
      <c r="AD23" s="2">
        <f t="shared" si="6"/>
        <v>1.9073486328125E-6</v>
      </c>
      <c r="AF23" s="2">
        <v>19</v>
      </c>
      <c r="AG23" s="2">
        <f t="shared" si="13"/>
        <v>2205.2555084228516</v>
      </c>
      <c r="AH23" s="2">
        <v>-2.0977522467546805E-4</v>
      </c>
      <c r="AI23" s="2">
        <f t="shared" si="14"/>
        <v>2205.291748046875</v>
      </c>
      <c r="AJ23" s="2">
        <v>1.5332427738485421E-2</v>
      </c>
      <c r="AK23" s="2">
        <f t="shared" si="9"/>
        <v>2205.2736282348633</v>
      </c>
      <c r="AL23" s="2">
        <v>7.5613432447880768E-3</v>
      </c>
      <c r="AM23" s="2">
        <f t="shared" si="10"/>
        <v>-1.5861824780237514E-6</v>
      </c>
      <c r="AN23" s="2">
        <f t="shared" si="11"/>
        <v>1.1593374890659808E-4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8.6755554568387403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0.97252941131591797</v>
      </c>
      <c r="W24" s="2">
        <f t="shared" si="0"/>
        <v>1.5201070302506281E-7</v>
      </c>
      <c r="X24" s="2">
        <f t="shared" si="8"/>
        <v>0.97253036499023438</v>
      </c>
      <c r="Y24" s="2">
        <f t="shared" si="1"/>
        <v>-8.2231155362766373E-7</v>
      </c>
      <c r="Z24" s="2">
        <f t="shared" si="3"/>
        <v>0.97252988815307617</v>
      </c>
      <c r="AA24" s="2">
        <f t="shared" si="2"/>
        <v>-3.3515043029730407E-7</v>
      </c>
      <c r="AB24" s="2">
        <f t="shared" si="4"/>
        <v>-5.09464525286455E-14</v>
      </c>
      <c r="AC24" s="2">
        <f t="shared" si="5"/>
        <v>2.7559807103675615E-13</v>
      </c>
      <c r="AD24" s="2">
        <f t="shared" si="6"/>
        <v>9.5367431640625E-7</v>
      </c>
      <c r="AF24" s="2">
        <v>20</v>
      </c>
      <c r="AG24" s="2">
        <f t="shared" si="13"/>
        <v>2205.2555084228516</v>
      </c>
      <c r="AH24" s="2">
        <v>-2.0977522467546805E-4</v>
      </c>
      <c r="AI24" s="2">
        <f t="shared" si="14"/>
        <v>2205.2736282348633</v>
      </c>
      <c r="AJ24" s="2">
        <v>7.5613432447880768E-3</v>
      </c>
      <c r="AK24" s="2">
        <f t="shared" si="9"/>
        <v>2205.2645683288574</v>
      </c>
      <c r="AL24" s="2">
        <v>3.6757882573965617E-3</v>
      </c>
      <c r="AM24" s="2">
        <f t="shared" si="10"/>
        <v>-7.710893075548109E-7</v>
      </c>
      <c r="AN24" s="2">
        <f t="shared" si="11"/>
        <v>2.7793896709336829E-5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25.505227442221916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2785.336964454295</v>
      </c>
      <c r="P25" s="6" t="s">
        <v>19</v>
      </c>
      <c r="U25" s="2">
        <v>21</v>
      </c>
      <c r="V25" s="2">
        <f t="shared" si="7"/>
        <v>0.97252941131591797</v>
      </c>
      <c r="W25" s="2">
        <f t="shared" si="0"/>
        <v>1.5201070302506281E-7</v>
      </c>
      <c r="X25" s="2">
        <f t="shared" si="8"/>
        <v>0.97252988815307617</v>
      </c>
      <c r="Y25" s="2">
        <f t="shared" si="1"/>
        <v>-3.3515043029730407E-7</v>
      </c>
      <c r="Z25" s="2">
        <f t="shared" si="3"/>
        <v>0.97252964973449707</v>
      </c>
      <c r="AA25" s="2">
        <f t="shared" si="2"/>
        <v>-9.1569864912877108E-8</v>
      </c>
      <c r="AB25" s="2">
        <f t="shared" si="4"/>
        <v>-1.3919599541316481E-14</v>
      </c>
      <c r="AC25" s="2">
        <f t="shared" si="5"/>
        <v>3.068967962781677E-14</v>
      </c>
      <c r="AD25" s="2">
        <f t="shared" si="6"/>
        <v>4.76837158203125E-7</v>
      </c>
      <c r="AF25" s="2">
        <v>21</v>
      </c>
      <c r="AG25" s="2">
        <f t="shared" si="13"/>
        <v>2205.2555084228516</v>
      </c>
      <c r="AH25" s="2">
        <v>-2.0977522467546805E-4</v>
      </c>
      <c r="AI25" s="2">
        <f t="shared" si="14"/>
        <v>2205.2645683288574</v>
      </c>
      <c r="AJ25" s="2">
        <v>3.6757882573965617E-3</v>
      </c>
      <c r="AK25" s="2">
        <f t="shared" si="9"/>
        <v>2205.2600383758545</v>
      </c>
      <c r="AL25" s="2">
        <v>1.7330075786503585E-3</v>
      </c>
      <c r="AM25" s="2">
        <f t="shared" si="10"/>
        <v>-3.6354205417566783E-7</v>
      </c>
      <c r="AN25" s="2">
        <f t="shared" si="11"/>
        <v>6.3701689075822356E-6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2701.8571618740775</v>
      </c>
      <c r="H26" s="6" t="s">
        <v>21</v>
      </c>
      <c r="J26" s="14" t="s">
        <v>65</v>
      </c>
      <c r="K26" s="6">
        <f xml:space="preserve"> $C$80 * (0.0268 * $C$5)</f>
        <v>47.280819959715075</v>
      </c>
      <c r="L26" s="6" t="s">
        <v>7</v>
      </c>
      <c r="N26" s="6" t="s">
        <v>32</v>
      </c>
      <c r="O26" s="17">
        <f>Z34</f>
        <v>0.97252955986186862</v>
      </c>
      <c r="U26" s="2">
        <v>22</v>
      </c>
      <c r="V26" s="2">
        <f t="shared" si="7"/>
        <v>0.97252941131591797</v>
      </c>
      <c r="W26" s="2">
        <f t="shared" si="0"/>
        <v>1.5201070302506281E-7</v>
      </c>
      <c r="X26" s="2">
        <f t="shared" si="8"/>
        <v>0.97252964973449707</v>
      </c>
      <c r="Y26" s="2">
        <f t="shared" si="1"/>
        <v>-9.1569864912877108E-8</v>
      </c>
      <c r="Z26" s="2">
        <f t="shared" si="3"/>
        <v>0.97252953052520752</v>
      </c>
      <c r="AA26" s="2">
        <f t="shared" si="2"/>
        <v>3.0220418834048246E-8</v>
      </c>
      <c r="AB26" s="2">
        <f t="shared" si="4"/>
        <v>4.5938271126755232E-15</v>
      </c>
      <c r="AC26" s="2">
        <f t="shared" si="5"/>
        <v>-2.767279670244365E-15</v>
      </c>
      <c r="AD26" s="2">
        <f t="shared" si="6"/>
        <v>2.384185791015625E-7</v>
      </c>
      <c r="AF26" s="2">
        <v>22</v>
      </c>
      <c r="AG26" s="2">
        <f t="shared" si="13"/>
        <v>2205.2555084228516</v>
      </c>
      <c r="AH26" s="2">
        <v>-2.0977522467546805E-4</v>
      </c>
      <c r="AI26" s="2">
        <f t="shared" si="14"/>
        <v>2205.2600383758545</v>
      </c>
      <c r="AJ26" s="2">
        <v>1.7330075786503585E-3</v>
      </c>
      <c r="AK26" s="2">
        <f t="shared" si="9"/>
        <v>2205.257773399353</v>
      </c>
      <c r="AL26" s="2">
        <v>7.6161644210515078E-4</v>
      </c>
      <c r="AM26" s="2">
        <f t="shared" si="10"/>
        <v>-1.5976826025913861E-7</v>
      </c>
      <c r="AN26" s="2">
        <f t="shared" si="11"/>
        <v>1.3198870661929483E-6</v>
      </c>
      <c r="AO26" s="2">
        <f t="shared" si="12"/>
        <v>4.5299530029296875E-3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41.973452494943416</v>
      </c>
      <c r="H27" t="s">
        <v>97</v>
      </c>
      <c r="J27" s="14" t="s">
        <v>66</v>
      </c>
      <c r="K27" s="6">
        <f xml:space="preserve"> $C$80 * (11.5 * ($C$5*2.20462/1000)^0.4 * 0.453592)</f>
        <v>7.8554451088721002</v>
      </c>
      <c r="L27" s="6" t="s">
        <v>7</v>
      </c>
      <c r="N27" s="6" t="s">
        <v>33</v>
      </c>
      <c r="O27" s="6">
        <f xml:space="preserve"> O21 * $C$10 * O26 - $C$7 * SIN(O19/180*PI())</f>
        <v>1.4893767458111</v>
      </c>
      <c r="P27" s="6" t="s">
        <v>10</v>
      </c>
      <c r="U27" s="2">
        <v>23</v>
      </c>
      <c r="V27" s="2">
        <f t="shared" si="7"/>
        <v>0.97252953052520752</v>
      </c>
      <c r="W27" s="2">
        <f t="shared" si="0"/>
        <v>3.0220418834048246E-8</v>
      </c>
      <c r="X27" s="2">
        <f t="shared" si="8"/>
        <v>0.97252964973449707</v>
      </c>
      <c r="Y27" s="2">
        <f t="shared" si="1"/>
        <v>-9.1569864912877108E-8</v>
      </c>
      <c r="Z27" s="2">
        <f t="shared" si="3"/>
        <v>0.97252959012985229</v>
      </c>
      <c r="AA27" s="2">
        <f t="shared" si="2"/>
        <v>-3.0674723094925582E-8</v>
      </c>
      <c r="AB27" s="2">
        <f t="shared" si="4"/>
        <v>-9.2700297954710384E-16</v>
      </c>
      <c r="AC27" s="2">
        <f t="shared" si="5"/>
        <v>2.808880250042247E-15</v>
      </c>
      <c r="AD27" s="2">
        <f t="shared" si="6"/>
        <v>1.1920928955078125E-7</v>
      </c>
      <c r="AF27" s="2">
        <v>23</v>
      </c>
      <c r="AG27" s="2">
        <f t="shared" si="13"/>
        <v>2205.2555084228516</v>
      </c>
      <c r="AH27" s="2">
        <v>-2.0977522467546805E-4</v>
      </c>
      <c r="AI27" s="2">
        <f t="shared" si="14"/>
        <v>2205.257773399353</v>
      </c>
      <c r="AJ27" s="2">
        <v>7.6161644210515078E-4</v>
      </c>
      <c r="AK27" s="2">
        <f t="shared" si="9"/>
        <v>2205.2566409111023</v>
      </c>
      <c r="AL27" s="2">
        <v>2.7592067522164143E-4</v>
      </c>
      <c r="AM27" s="2">
        <f t="shared" si="10"/>
        <v>-5.7881321637226685E-8</v>
      </c>
      <c r="AN27" s="2">
        <f t="shared" si="11"/>
        <v>2.1014572296555737E-7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6.5674312985463263</v>
      </c>
      <c r="H28" s="6" t="s">
        <v>172</v>
      </c>
      <c r="J28" s="14" t="s">
        <v>67</v>
      </c>
      <c r="K28" s="6">
        <f xml:space="preserve"> $C$80 * (8 * ($C$5/1000))</f>
        <v>14.113677599914945</v>
      </c>
      <c r="L28" s="6" t="s">
        <v>7</v>
      </c>
      <c r="N28" s="6" t="s">
        <v>34</v>
      </c>
      <c r="O28" s="6">
        <f xml:space="preserve"> 1/$C$31 - O25 * SQRT( (2*$C$71*PI()*$C$10^2) / O20^3 )</f>
        <v>1.169503002927414</v>
      </c>
      <c r="U28" s="2">
        <v>24</v>
      </c>
      <c r="V28" s="2">
        <f t="shared" si="7"/>
        <v>0.97252953052520752</v>
      </c>
      <c r="W28" s="2">
        <f t="shared" si="0"/>
        <v>3.0220418834048246E-8</v>
      </c>
      <c r="X28" s="2">
        <f t="shared" si="8"/>
        <v>0.97252959012985229</v>
      </c>
      <c r="Y28" s="2">
        <f t="shared" si="1"/>
        <v>-3.0674723094925582E-8</v>
      </c>
      <c r="Z28" s="2">
        <f t="shared" si="3"/>
        <v>0.97252956032752991</v>
      </c>
      <c r="AA28" s="2">
        <f t="shared" si="2"/>
        <v>-2.2715218594981934E-10</v>
      </c>
      <c r="AB28" s="2">
        <f t="shared" si="4"/>
        <v>-6.8646341984731498E-18</v>
      </c>
      <c r="AC28" s="2">
        <f t="shared" si="5"/>
        <v>6.9678304044177537E-18</v>
      </c>
      <c r="AD28" s="2">
        <f t="shared" si="6"/>
        <v>5.9604644775390625E-8</v>
      </c>
      <c r="AF28" s="2">
        <v>24</v>
      </c>
      <c r="AG28" s="2">
        <f t="shared" si="13"/>
        <v>2205.2555084228516</v>
      </c>
      <c r="AH28" s="2">
        <v>-2.0977522467546805E-4</v>
      </c>
      <c r="AI28" s="2">
        <f t="shared" si="14"/>
        <v>2205.2566409111023</v>
      </c>
      <c r="AJ28" s="2">
        <v>2.7592067522164143E-4</v>
      </c>
      <c r="AK28" s="2">
        <f t="shared" si="9"/>
        <v>2205.2560746669769</v>
      </c>
      <c r="AL28" s="2">
        <v>3.3072742098738672E-5</v>
      </c>
      <c r="AM28" s="2">
        <f t="shared" si="10"/>
        <v>-6.9378419043967155E-9</v>
      </c>
      <c r="AN28" s="2">
        <f t="shared" si="11"/>
        <v>9.1254533313151815E-9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335.78761995954733</v>
      </c>
      <c r="H29" s="22" t="s">
        <v>97</v>
      </c>
      <c r="J29" s="14" t="s">
        <v>68</v>
      </c>
      <c r="K29" s="6">
        <f xml:space="preserve"> $C$80 * (13 * ($C$5*2.20462/1000)^1.3 * 0.453592)</f>
        <v>36.857924459656232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0.97252953052520752</v>
      </c>
      <c r="W29" s="2">
        <f t="shared" si="0"/>
        <v>3.0220418834048246E-8</v>
      </c>
      <c r="X29" s="2">
        <f t="shared" si="8"/>
        <v>0.97252956032752991</v>
      </c>
      <c r="Y29" s="2">
        <f t="shared" si="1"/>
        <v>-2.2715218594981934E-10</v>
      </c>
      <c r="Z29" s="2">
        <f t="shared" si="3"/>
        <v>0.97252954542636871</v>
      </c>
      <c r="AA29" s="2">
        <f t="shared" si="2"/>
        <v>1.4996633268538062E-8</v>
      </c>
      <c r="AB29" s="2">
        <f t="shared" si="4"/>
        <v>4.5320453847584216E-16</v>
      </c>
      <c r="AC29" s="2">
        <f t="shared" si="5"/>
        <v>-3.4065180288362049E-18</v>
      </c>
      <c r="AD29" s="2">
        <f t="shared" si="6"/>
        <v>2.9802322387695312E-8</v>
      </c>
      <c r="AF29" s="2">
        <v>25</v>
      </c>
      <c r="AG29" s="2">
        <f t="shared" si="13"/>
        <v>2205.2555084228516</v>
      </c>
      <c r="AH29" s="2">
        <v>-2.0977522467546805E-4</v>
      </c>
      <c r="AI29" s="2">
        <f t="shared" si="14"/>
        <v>2205.2560746669769</v>
      </c>
      <c r="AJ29" s="2">
        <v>3.3072742098738672E-5</v>
      </c>
      <c r="AK29" s="2">
        <f t="shared" si="9"/>
        <v>2205.2557915449142</v>
      </c>
      <c r="AL29" s="2">
        <v>-8.8658022150411853E-5</v>
      </c>
      <c r="AM29" s="2">
        <f t="shared" si="10"/>
        <v>1.8598256515885269E-8</v>
      </c>
      <c r="AN29" s="2">
        <f t="shared" si="11"/>
        <v>-2.9321639015648317E-9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2.6279354806320043E-3</v>
      </c>
      <c r="L30" s="9" t="s">
        <v>7</v>
      </c>
      <c r="N30" s="6" t="s">
        <v>36</v>
      </c>
      <c r="O30" s="6">
        <f xml:space="preserve"> 1/$C$77 * LN( EXP($C$77 * O28) + EXP($C$77 * O29) )</f>
        <v>1.1842628912766708</v>
      </c>
      <c r="U30" s="2">
        <v>26</v>
      </c>
      <c r="V30" s="2">
        <f>IF(AB29&gt;0, Z29, V29)</f>
        <v>0.97252954542636871</v>
      </c>
      <c r="W30" s="2">
        <f t="shared" si="0"/>
        <v>1.4996633268538062E-8</v>
      </c>
      <c r="X30" s="2">
        <f t="shared" si="8"/>
        <v>0.97252956032752991</v>
      </c>
      <c r="Y30" s="2">
        <f t="shared" si="1"/>
        <v>-2.2715218594981934E-10</v>
      </c>
      <c r="Z30" s="2">
        <f t="shared" si="3"/>
        <v>0.97252955287694931</v>
      </c>
      <c r="AA30" s="2">
        <f t="shared" si="2"/>
        <v>7.3847405968052726E-9</v>
      </c>
      <c r="AB30" s="2">
        <f t="shared" si="4"/>
        <v>1.1074624651357357E-16</v>
      </c>
      <c r="AC30" s="2">
        <f t="shared" si="5"/>
        <v>-1.6774599692366911E-18</v>
      </c>
      <c r="AD30" s="2">
        <f t="shared" si="6"/>
        <v>1.4901161193847656E-8</v>
      </c>
      <c r="AF30" s="2">
        <v>26</v>
      </c>
      <c r="AG30" s="2">
        <f t="shared" si="13"/>
        <v>2205.2557915449142</v>
      </c>
      <c r="AH30" s="2">
        <v>-8.8658022150411853E-5</v>
      </c>
      <c r="AI30" s="2">
        <f t="shared" si="14"/>
        <v>2205.2560746669769</v>
      </c>
      <c r="AJ30" s="2">
        <v>3.3072742098738672E-5</v>
      </c>
      <c r="AK30" s="2">
        <f t="shared" si="9"/>
        <v>2205.2559331059456</v>
      </c>
      <c r="AL30" s="2">
        <v>-2.7485853934194893E-5</v>
      </c>
      <c r="AM30" s="2">
        <f t="shared" si="10"/>
        <v>2.4368414469208356E-9</v>
      </c>
      <c r="AN30" s="2">
        <f t="shared" si="11"/>
        <v>-9.0903255852922938E-10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0.97252955287694931</v>
      </c>
      <c r="W31" s="2">
        <f t="shared" si="0"/>
        <v>7.3847405968052726E-9</v>
      </c>
      <c r="X31" s="2">
        <f t="shared" si="8"/>
        <v>0.97252956032752991</v>
      </c>
      <c r="Y31" s="2">
        <f t="shared" si="1"/>
        <v>-2.2715218594981934E-10</v>
      </c>
      <c r="Z31" s="2">
        <f t="shared" si="3"/>
        <v>0.97252955660223961</v>
      </c>
      <c r="AA31" s="2">
        <f t="shared" si="2"/>
        <v>3.5787941499165754E-9</v>
      </c>
      <c r="AB31" s="2">
        <f t="shared" si="4"/>
        <v>2.6428466446498149E-17</v>
      </c>
      <c r="AC31" s="2">
        <f t="shared" si="5"/>
        <v>-8.1293091421797557E-19</v>
      </c>
      <c r="AD31" s="2">
        <f t="shared" si="6"/>
        <v>7.4505805969238281E-9</v>
      </c>
      <c r="AF31" s="2">
        <v>27</v>
      </c>
      <c r="AG31" s="2">
        <f t="shared" si="13"/>
        <v>2205.2559331059456</v>
      </c>
      <c r="AH31" s="2">
        <v>-2.7485853934194893E-5</v>
      </c>
      <c r="AI31" s="2">
        <f t="shared" si="14"/>
        <v>2205.2560746669769</v>
      </c>
      <c r="AJ31" s="2">
        <v>3.3072742098738672E-5</v>
      </c>
      <c r="AK31" s="2">
        <f t="shared" si="9"/>
        <v>2205.2560038864613</v>
      </c>
      <c r="AL31" s="2">
        <v>2.4866587864380563E-6</v>
      </c>
      <c r="AM31" s="2">
        <f t="shared" si="10"/>
        <v>-6.8347940188218746E-11</v>
      </c>
      <c r="AN31" s="2">
        <f t="shared" si="11"/>
        <v>8.2240624731428321E-11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0.97252955660223961</v>
      </c>
      <c r="W32" s="2">
        <f t="shared" si="0"/>
        <v>3.5787941499165754E-9</v>
      </c>
      <c r="X32" s="2">
        <f t="shared" si="8"/>
        <v>0.97252956032752991</v>
      </c>
      <c r="Y32" s="2">
        <f t="shared" si="1"/>
        <v>-2.2715218594981934E-10</v>
      </c>
      <c r="Z32" s="2">
        <f t="shared" si="3"/>
        <v>0.97252955846488476</v>
      </c>
      <c r="AA32" s="2">
        <f t="shared" si="2"/>
        <v>1.6758210374945293E-9</v>
      </c>
      <c r="AB32" s="2">
        <f t="shared" si="4"/>
        <v>5.9974185252925473E-18</v>
      </c>
      <c r="AC32" s="2">
        <f t="shared" si="5"/>
        <v>-3.8066641192757648E-19</v>
      </c>
      <c r="AD32" s="2">
        <f t="shared" si="6"/>
        <v>3.7252902984619141E-9</v>
      </c>
      <c r="AF32" s="2">
        <v>28</v>
      </c>
      <c r="AG32" s="2">
        <f t="shared" si="13"/>
        <v>2205.2559331059456</v>
      </c>
      <c r="AH32" s="2">
        <v>-2.7485853934194893E-5</v>
      </c>
      <c r="AI32" s="2">
        <f t="shared" si="14"/>
        <v>2205.2560038864613</v>
      </c>
      <c r="AJ32" s="2">
        <v>2.4866587864380563E-6</v>
      </c>
      <c r="AK32" s="2">
        <f t="shared" si="9"/>
        <v>2205.2559684962034</v>
      </c>
      <c r="AL32" s="2">
        <v>-1.2806382528651739E-5</v>
      </c>
      <c r="AM32" s="2">
        <f t="shared" si="10"/>
        <v>3.5199435960794713E-10</v>
      </c>
      <c r="AN32" s="2">
        <f t="shared" si="11"/>
        <v>-3.1845103637358659E-11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118.15984549549776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0.97252955846488476</v>
      </c>
      <c r="W33" s="2">
        <f t="shared" si="0"/>
        <v>1.6758210374945293E-9</v>
      </c>
      <c r="X33" s="2">
        <f t="shared" si="8"/>
        <v>0.97252956032752991</v>
      </c>
      <c r="Y33" s="2">
        <f t="shared" si="1"/>
        <v>-2.2715218594981934E-10</v>
      </c>
      <c r="Z33" s="2">
        <f t="shared" si="3"/>
        <v>0.97252955939620733</v>
      </c>
      <c r="AA33" s="2">
        <f t="shared" si="2"/>
        <v>7.2433437026120373E-10</v>
      </c>
      <c r="AB33" s="2">
        <f t="shared" si="4"/>
        <v>1.2138547758640769E-18</v>
      </c>
      <c r="AC33" s="2">
        <f t="shared" si="5"/>
        <v>-1.6453413556341824E-19</v>
      </c>
      <c r="AD33" s="2">
        <f t="shared" si="6"/>
        <v>1.862645149230957E-9</v>
      </c>
      <c r="AF33" s="2">
        <v>29</v>
      </c>
      <c r="AG33" s="2">
        <f t="shared" si="13"/>
        <v>2205.2559684962034</v>
      </c>
      <c r="AH33" s="2">
        <v>-1.2806382528651739E-5</v>
      </c>
      <c r="AI33" s="2">
        <f t="shared" si="14"/>
        <v>2205.2560038864613</v>
      </c>
      <c r="AJ33" s="2">
        <v>2.4866587864380563E-6</v>
      </c>
      <c r="AK33" s="2">
        <f t="shared" si="9"/>
        <v>2205.2559861913323</v>
      </c>
      <c r="AL33" s="2">
        <v>-5.1598617574200034E-6</v>
      </c>
      <c r="AM33" s="2">
        <f t="shared" si="10"/>
        <v>6.6079163460481787E-11</v>
      </c>
      <c r="AN33" s="2">
        <f t="shared" si="11"/>
        <v>-1.2830815575894162E-11</v>
      </c>
      <c r="AO33" s="2">
        <f t="shared" si="12"/>
        <v>3.5390257835388184E-5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27.21</v>
      </c>
      <c r="L34" s="6" t="s">
        <v>59</v>
      </c>
      <c r="U34" s="2">
        <v>30</v>
      </c>
      <c r="V34" s="2">
        <f t="shared" si="7"/>
        <v>0.97252955939620733</v>
      </c>
      <c r="W34" s="2">
        <f t="shared" si="0"/>
        <v>7.2433437026120373E-10</v>
      </c>
      <c r="X34" s="2">
        <f t="shared" si="8"/>
        <v>0.97252956032752991</v>
      </c>
      <c r="Y34" s="2">
        <f t="shared" si="1"/>
        <v>-2.2715218594981934E-10</v>
      </c>
      <c r="Z34" s="2">
        <f t="shared" si="3"/>
        <v>0.97252955986186862</v>
      </c>
      <c r="AA34" s="2">
        <f t="shared" si="2"/>
        <v>2.4859114766684343E-10</v>
      </c>
      <c r="AB34" s="2">
        <f t="shared" si="4"/>
        <v>1.8006311239777294E-19</v>
      </c>
      <c r="AC34" s="2">
        <f t="shared" si="5"/>
        <v>-5.6468022600297816E-20</v>
      </c>
      <c r="AD34" s="2">
        <f t="shared" si="6"/>
        <v>9.3132257461547852E-10</v>
      </c>
      <c r="AF34" s="2">
        <v>30</v>
      </c>
      <c r="AG34" s="2">
        <f t="shared" si="13"/>
        <v>2205.2559861913323</v>
      </c>
      <c r="AH34" s="2">
        <v>-5.1598617574200034E-6</v>
      </c>
      <c r="AI34" s="2">
        <f t="shared" si="14"/>
        <v>2205.2560038864613</v>
      </c>
      <c r="AJ34" s="2">
        <v>2.4866587864380563E-6</v>
      </c>
      <c r="AK34" s="2">
        <f t="shared" si="9"/>
        <v>2205.2559950388968</v>
      </c>
      <c r="AL34" s="2">
        <v>-1.3366015991778113E-6</v>
      </c>
      <c r="AM34" s="2">
        <f t="shared" si="10"/>
        <v>6.8966794765040084E-12</v>
      </c>
      <c r="AN34" s="2">
        <f t="shared" si="11"/>
        <v>-3.3236721105626615E-12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31.42</v>
      </c>
      <c r="L35" s="6" t="s">
        <v>59</v>
      </c>
      <c r="AF35" s="2">
        <v>31</v>
      </c>
      <c r="AG35" s="2">
        <f t="shared" si="13"/>
        <v>2205.2559950388968</v>
      </c>
      <c r="AH35" s="2">
        <v>-1.3366015991778113E-6</v>
      </c>
      <c r="AI35" s="2">
        <f t="shared" si="14"/>
        <v>2205.2560038864613</v>
      </c>
      <c r="AJ35" s="2">
        <v>2.4866587864380563E-6</v>
      </c>
      <c r="AK35" s="2">
        <f t="shared" si="9"/>
        <v>2205.255999462679</v>
      </c>
      <c r="AL35" s="2">
        <v>5.7502893469063565E-7</v>
      </c>
      <c r="AM35" s="2">
        <f t="shared" si="10"/>
        <v>-7.6858459368101682E-13</v>
      </c>
      <c r="AN35" s="2">
        <f t="shared" si="11"/>
        <v>1.4299007529045844E-12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16.21</v>
      </c>
      <c r="L36" s="6" t="s">
        <v>59</v>
      </c>
      <c r="AF36" s="2">
        <v>32</v>
      </c>
      <c r="AG36" s="2">
        <f t="shared" si="13"/>
        <v>2205.2559950388968</v>
      </c>
      <c r="AH36" s="2">
        <v>-1.3366015991778113E-6</v>
      </c>
      <c r="AI36" s="2">
        <f t="shared" si="14"/>
        <v>2205.255999462679</v>
      </c>
      <c r="AJ36" s="2">
        <v>5.7502893469063565E-7</v>
      </c>
      <c r="AK36" s="2">
        <f t="shared" si="9"/>
        <v>2205.2559972507879</v>
      </c>
      <c r="AL36" s="2">
        <v>-3.8078587749623694E-7</v>
      </c>
      <c r="AM36" s="2">
        <f t="shared" si="10"/>
        <v>5.0895901280579643E-13</v>
      </c>
      <c r="AN36" s="2">
        <f t="shared" si="11"/>
        <v>-2.1896289748190002E-13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20.350000000000001</v>
      </c>
      <c r="L37" s="6" t="s">
        <v>59</v>
      </c>
      <c r="AF37" s="2">
        <v>33</v>
      </c>
      <c r="AG37" s="2">
        <f t="shared" si="13"/>
        <v>2205.2559972507879</v>
      </c>
      <c r="AH37" s="2">
        <v>-3.8078587749623694E-7</v>
      </c>
      <c r="AI37" s="2">
        <f t="shared" si="14"/>
        <v>2205.255999462679</v>
      </c>
      <c r="AJ37" s="2">
        <v>5.7502893469063565E-7</v>
      </c>
      <c r="AK37" s="2">
        <f t="shared" si="9"/>
        <v>2205.2559983567335</v>
      </c>
      <c r="AL37" s="2">
        <v>9.7120846476173028E-8</v>
      </c>
      <c r="AM37" s="2">
        <f t="shared" si="10"/>
        <v>-3.6982246748606857E-14</v>
      </c>
      <c r="AN37" s="2">
        <f t="shared" si="11"/>
        <v>5.5847296885446552E-14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4.8099999999999996</v>
      </c>
      <c r="L38" s="6" t="s">
        <v>59</v>
      </c>
      <c r="AF38" s="2">
        <v>34</v>
      </c>
      <c r="AG38" s="2">
        <f t="shared" si="13"/>
        <v>2205.2559972507879</v>
      </c>
      <c r="AH38" s="2">
        <v>-3.8078587749623694E-7</v>
      </c>
      <c r="AI38" s="2">
        <f t="shared" si="14"/>
        <v>2205.2559983567335</v>
      </c>
      <c r="AJ38" s="2">
        <v>9.7120846476173028E-8</v>
      </c>
      <c r="AK38" s="2">
        <f t="shared" si="9"/>
        <v>2205.2559978037607</v>
      </c>
      <c r="AL38" s="2">
        <v>-1.4183251551003195E-7</v>
      </c>
      <c r="AM38" s="2">
        <f t="shared" si="10"/>
        <v>5.4007818875986153E-14</v>
      </c>
      <c r="AN38" s="2">
        <f t="shared" si="11"/>
        <v>-1.3774893964179243E-14</v>
      </c>
      <c r="AO38" s="2">
        <f t="shared" si="12"/>
        <v>1.1059455573558807E-6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2205.2559978037607</v>
      </c>
      <c r="AH39" s="2">
        <v>-1.4183251551003195E-7</v>
      </c>
      <c r="AI39" s="2">
        <f t="shared" si="14"/>
        <v>2205.2559983567335</v>
      </c>
      <c r="AJ39" s="2">
        <v>9.7120846476173028E-8</v>
      </c>
      <c r="AK39" s="2">
        <f t="shared" si="9"/>
        <v>2205.2559980802471</v>
      </c>
      <c r="AL39" s="2">
        <v>-2.2355379769578576E-8</v>
      </c>
      <c r="AM39" s="2">
        <f t="shared" si="10"/>
        <v>3.170719747901408E-15</v>
      </c>
      <c r="AN39" s="2">
        <f t="shared" si="11"/>
        <v>-2.1711734065177853E-15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2205.2559980802471</v>
      </c>
      <c r="AH40" s="2">
        <v>-2.2355379769578576E-8</v>
      </c>
      <c r="AI40" s="2">
        <f t="shared" si="14"/>
        <v>2205.2559983567335</v>
      </c>
      <c r="AJ40" s="2">
        <v>9.7120846476173028E-8</v>
      </c>
      <c r="AK40" s="2">
        <f t="shared" si="9"/>
        <v>2205.2559982184903</v>
      </c>
      <c r="AL40" s="2">
        <v>3.7382960726972669E-8</v>
      </c>
      <c r="AM40" s="2">
        <f t="shared" si="10"/>
        <v>-8.3571028396271523E-16</v>
      </c>
      <c r="AN40" s="2">
        <f t="shared" si="11"/>
        <v>3.6306647895891183E-15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2205.2559980802471</v>
      </c>
      <c r="AH41" s="2">
        <v>-2.2355379769578576E-8</v>
      </c>
      <c r="AI41" s="2">
        <f t="shared" si="14"/>
        <v>2205.2559982184903</v>
      </c>
      <c r="AJ41" s="2">
        <v>3.7382960726972669E-8</v>
      </c>
      <c r="AK41" s="2">
        <f t="shared" si="9"/>
        <v>2205.2559981493687</v>
      </c>
      <c r="AL41" s="2">
        <v>7.5133357313461602E-9</v>
      </c>
      <c r="AM41" s="2">
        <f t="shared" si="10"/>
        <v>-1.679634736105878E-16</v>
      </c>
      <c r="AN41" s="2">
        <f t="shared" si="11"/>
        <v>2.8087073457347398E-16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2205.2559980802471</v>
      </c>
      <c r="AH42" s="2">
        <v>-2.2355379769578576E-8</v>
      </c>
      <c r="AI42" s="2">
        <f t="shared" si="14"/>
        <v>2205.2559981493687</v>
      </c>
      <c r="AJ42" s="2">
        <v>7.5133357313461602E-9</v>
      </c>
      <c r="AK42" s="2">
        <f t="shared" si="9"/>
        <v>2205.2559981148079</v>
      </c>
      <c r="AL42" s="2">
        <v>-7.4212493927916512E-9</v>
      </c>
      <c r="AM42" s="2">
        <f t="shared" si="10"/>
        <v>1.6590484854061177E-16</v>
      </c>
      <c r="AN42" s="2">
        <f t="shared" si="11"/>
        <v>-5.5758338234092508E-17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692.85</v>
      </c>
      <c r="L43" s="6" t="s">
        <v>7</v>
      </c>
      <c r="AF43" s="2">
        <v>39</v>
      </c>
      <c r="AG43" s="2">
        <f t="shared" si="13"/>
        <v>2205.2559981148079</v>
      </c>
      <c r="AH43" s="2">
        <v>-7.4212493927916512E-9</v>
      </c>
      <c r="AI43" s="2">
        <f t="shared" si="14"/>
        <v>2205.2559981493687</v>
      </c>
      <c r="AJ43" s="2">
        <v>7.5133357313461602E-9</v>
      </c>
      <c r="AK43" s="2">
        <f t="shared" si="9"/>
        <v>2205.2559981320883</v>
      </c>
      <c r="AL43" s="2">
        <v>4.638422979041934E-11</v>
      </c>
      <c r="AM43" s="2">
        <f t="shared" si="10"/>
        <v>-3.4422893716725795E-19</v>
      </c>
      <c r="AN43" s="2">
        <f t="shared" si="11"/>
        <v>3.4850029105532864E-19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357.46</v>
      </c>
      <c r="L44" s="6" t="s">
        <v>7</v>
      </c>
      <c r="AF44" s="2">
        <v>40</v>
      </c>
      <c r="AG44" s="2">
        <f t="shared" si="13"/>
        <v>2205.2559981148079</v>
      </c>
      <c r="AH44" s="2">
        <v>-7.4212493927916512E-9</v>
      </c>
      <c r="AI44" s="2">
        <f t="shared" si="14"/>
        <v>2205.2559981320883</v>
      </c>
      <c r="AJ44" s="2">
        <v>4.638422979041934E-11</v>
      </c>
      <c r="AK44" s="5">
        <f t="shared" si="9"/>
        <v>2205.2559981234481</v>
      </c>
      <c r="AL44" s="2">
        <v>-3.6873188946628943E-9</v>
      </c>
      <c r="AM44" s="2">
        <f t="shared" si="10"/>
        <v>2.7364513108046187E-17</v>
      </c>
      <c r="AN44" s="2">
        <f t="shared" si="11"/>
        <v>-1.7103344692059873E-19</v>
      </c>
      <c r="AO44" s="2">
        <f t="shared" si="12"/>
        <v>1.7280399333685637E-8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448.84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106.11</v>
      </c>
      <c r="L46" s="6" t="s">
        <v>7</v>
      </c>
    </row>
    <row r="47" spans="2:41" x14ac:dyDescent="0.2">
      <c r="J47" s="9" t="s">
        <v>60</v>
      </c>
      <c r="K47" s="9">
        <f>SUM(K42:K46)</f>
        <v>2205.2600000000002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48:D48"/>
    <mergeCell ref="B53:D53"/>
    <mergeCell ref="B76:D76"/>
    <mergeCell ref="B59:D59"/>
    <mergeCell ref="B64:D64"/>
    <mergeCell ref="B70:D70"/>
    <mergeCell ref="F22:H22"/>
    <mergeCell ref="B27:D27"/>
    <mergeCell ref="B39:D39"/>
    <mergeCell ref="J41:L41"/>
    <mergeCell ref="B45:D45"/>
    <mergeCell ref="B34:D34"/>
    <mergeCell ref="F31:H31"/>
    <mergeCell ref="J9:L9"/>
    <mergeCell ref="F12:H12"/>
    <mergeCell ref="B15:D15"/>
    <mergeCell ref="N18:P18"/>
    <mergeCell ref="B20:D20"/>
    <mergeCell ref="B1:D1"/>
    <mergeCell ref="B3:D3"/>
    <mergeCell ref="F3:H3"/>
    <mergeCell ref="J3:L3"/>
    <mergeCell ref="N3:P3"/>
  </mergeCells>
  <conditionalFormatting sqref="K31">
    <cfRule type="containsText" dxfId="47" priority="7" operator="containsText" text="FALSE">
      <formula>NOT(ISERROR(SEARCH("FALSE",K31)))</formula>
    </cfRule>
    <cfRule type="containsText" dxfId="46" priority="8" operator="containsText" text="TRUE">
      <formula>NOT(ISERROR(SEARCH("TRUE",K31)))</formula>
    </cfRule>
    <cfRule type="cellIs" dxfId="45" priority="9" operator="equal">
      <formula>1</formula>
    </cfRule>
    <cfRule type="cellIs" dxfId="44" priority="10" operator="equal">
      <formula>TRUE</formula>
    </cfRule>
    <cfRule type="containsText" dxfId="43" priority="11" operator="containsText" text="YES">
      <formula>NOT(ISERROR(SEARCH("YES",K31)))</formula>
    </cfRule>
    <cfRule type="cellIs" dxfId="42" priority="12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E599-B8DB-7C45-AD35-81934DFC24D5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393.22072165613122</v>
      </c>
      <c r="L4" s="6" t="s">
        <v>97</v>
      </c>
      <c r="N4" s="6" t="s">
        <v>131</v>
      </c>
      <c r="O4" s="6">
        <f xml:space="preserve"> $C$5 * $C$74</f>
        <v>16881.556405857635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1.1746347253153635</v>
      </c>
      <c r="X4" s="3">
        <v>1</v>
      </c>
      <c r="Y4" s="2">
        <f t="shared" ref="Y4:Y34" si="1" xml:space="preserve"> $O$22 * TAN($O$19/180*PI()) + $O$23 / (2 * SQRT($O$22^2 + X4^2)) - X4</f>
        <v>-3.0158412687789515E-2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0.48798755985511189</v>
      </c>
      <c r="AB4" s="2">
        <f>W4*AA4</f>
        <v>0.57320713332772388</v>
      </c>
      <c r="AC4" s="2">
        <f>Y4*AA4</f>
        <v>-1.4716930216617852E-2</v>
      </c>
      <c r="AD4" s="2">
        <f>X4-V4</f>
        <v>1</v>
      </c>
      <c r="AF4" s="2">
        <v>0</v>
      </c>
      <c r="AH4" s="2">
        <f>K30</f>
        <v>-3.5280691670322994E-3</v>
      </c>
      <c r="AJ4" s="2">
        <f>K30</f>
        <v>-3.5280691670322994E-3</v>
      </c>
      <c r="AL4" s="2">
        <f>K30</f>
        <v>-3.5280691670322994E-3</v>
      </c>
    </row>
    <row r="5" spans="2:41" x14ac:dyDescent="0.2">
      <c r="B5" s="9" t="s">
        <v>38</v>
      </c>
      <c r="C5" s="9">
        <v>1722.5104808711801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49.152590207016402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0.48798755985511189</v>
      </c>
      <c r="X5" s="2">
        <f>IF(AC4&gt;0, Z4, X4)</f>
        <v>1</v>
      </c>
      <c r="Y5" s="2">
        <f t="shared" si="1"/>
        <v>-3.0158412687789515E-2</v>
      </c>
      <c r="Z5" s="2">
        <f t="shared" ref="Z5:Z34" si="3" xml:space="preserve"> (V5 + X5)/2</f>
        <v>0.75</v>
      </c>
      <c r="AA5" s="2">
        <f t="shared" si="2"/>
        <v>0.22594992268389325</v>
      </c>
      <c r="AB5" s="2">
        <f t="shared" ref="AB5:AB34" si="4">W5*AA5</f>
        <v>0.11026075141996426</v>
      </c>
      <c r="AC5" s="2">
        <f t="shared" ref="AC5:AC34" si="5">Y5*AA5</f>
        <v>-6.8142910150749865E-3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-727.4698260643454</v>
      </c>
      <c r="AI5" s="3">
        <v>10000</v>
      </c>
      <c r="AJ5" s="2">
        <f t="dataTable" ref="AJ5:AJ44" dt2D="0" dtr="0" r1="C5"/>
        <v>3717.0210896682174</v>
      </c>
      <c r="AK5" s="2">
        <f>(AG5+AI5)/2</f>
        <v>5250</v>
      </c>
      <c r="AL5" s="2">
        <f t="dataTable" ref="AL5:AL44" dt2D="0" dtr="0" r1="C5" ca="1"/>
        <v>1503.9543633526237</v>
      </c>
      <c r="AM5" s="2">
        <f>AH5*AL5</f>
        <v>-1094081.4191168465</v>
      </c>
      <c r="AN5" s="2">
        <f>AJ5*AL5</f>
        <v>5590230.0864802394</v>
      </c>
      <c r="AO5" s="2">
        <f>AI5-AG5</f>
        <v>9500</v>
      </c>
    </row>
    <row r="6" spans="2:41" x14ac:dyDescent="0.2">
      <c r="B6" s="6" t="s">
        <v>168</v>
      </c>
      <c r="C6" s="16">
        <v>415.75115835305098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159.0982873365854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0.18814867483678352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0.22594992268389325</v>
      </c>
      <c r="X6" s="2">
        <f t="shared" ref="X6:X34" si="8">IF(AC5&gt;0, Z5, X5)</f>
        <v>1</v>
      </c>
      <c r="Y6" s="2">
        <f t="shared" si="1"/>
        <v>-3.0158412687789515E-2</v>
      </c>
      <c r="Z6" s="2">
        <f t="shared" si="3"/>
        <v>0.875</v>
      </c>
      <c r="AA6" s="2">
        <f t="shared" si="2"/>
        <v>9.7465393939406009E-2</v>
      </c>
      <c r="AB6" s="2">
        <f t="shared" si="4"/>
        <v>2.2022298224963984E-2</v>
      </c>
      <c r="AC6" s="2">
        <f t="shared" si="5"/>
        <v>-2.9394015732025856E-3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-727.4698260643454</v>
      </c>
      <c r="AI6" s="2">
        <f>IF(AN5&gt;0,AK5,AI5)</f>
        <v>5250</v>
      </c>
      <c r="AJ6" s="2">
        <v>1503.9543633526237</v>
      </c>
      <c r="AK6" s="2">
        <f t="shared" ref="AK6:AK44" si="9">(AG6+AI6)/2</f>
        <v>2875</v>
      </c>
      <c r="AL6" s="2">
        <v>591.9755279294352</v>
      </c>
      <c r="AM6" s="2">
        <f t="shared" ref="AM6:AM44" si="10">AH6*AL6</f>
        <v>-430644.33433717524</v>
      </c>
      <c r="AN6" s="2">
        <f t="shared" ref="AN6:AN44" si="11">AJ6*AL6</f>
        <v>890304.17822744697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2110.3964133846475</v>
      </c>
      <c r="H7" s="6" t="s">
        <v>21</v>
      </c>
      <c r="J7" s="6" t="s">
        <v>133</v>
      </c>
      <c r="K7" s="6">
        <f>K6/$C$28</f>
        <v>159.0982873365854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9.7465393939406009E-2</v>
      </c>
      <c r="X7" s="2">
        <f t="shared" si="8"/>
        <v>1</v>
      </c>
      <c r="Y7" s="2">
        <f t="shared" si="1"/>
        <v>-3.0158412687789515E-2</v>
      </c>
      <c r="Z7" s="2">
        <f t="shared" si="3"/>
        <v>0.9375</v>
      </c>
      <c r="AA7" s="2">
        <f t="shared" si="2"/>
        <v>3.3567059321090387E-2</v>
      </c>
      <c r="AB7" s="2">
        <f t="shared" si="4"/>
        <v>3.2716266601174851E-3</v>
      </c>
      <c r="AC7" s="2">
        <f t="shared" si="5"/>
        <v>-1.0123292277209556E-3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-727.4698260643454</v>
      </c>
      <c r="AI7" s="2">
        <f t="shared" ref="AI7:AI44" si="14">IF(AN6&gt;0,AK6,AI6)</f>
        <v>2875</v>
      </c>
      <c r="AJ7" s="2">
        <v>591.9755279294352</v>
      </c>
      <c r="AK7" s="2">
        <f t="shared" si="9"/>
        <v>1687.5</v>
      </c>
      <c r="AL7" s="2">
        <v>-19.505322210525264</v>
      </c>
      <c r="AM7" s="2">
        <f t="shared" si="10"/>
        <v>14189.533355819827</v>
      </c>
      <c r="AN7" s="2">
        <f t="shared" si="11"/>
        <v>-11546.673413009432</v>
      </c>
      <c r="AO7" s="2">
        <f t="shared" si="12"/>
        <v>2375</v>
      </c>
    </row>
    <row r="8" spans="2:41" x14ac:dyDescent="0.2">
      <c r="B8" s="6" t="s">
        <v>91</v>
      </c>
      <c r="C8" s="16">
        <v>1.7454279323503299</v>
      </c>
      <c r="D8" s="6" t="s">
        <v>8</v>
      </c>
      <c r="F8" t="s">
        <v>93</v>
      </c>
      <c r="G8" s="6">
        <f>G10/$C$21</f>
        <v>32.768393471344268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3.3567059321090387E-2</v>
      </c>
      <c r="X8" s="2">
        <f t="shared" si="8"/>
        <v>1</v>
      </c>
      <c r="Y8" s="2">
        <f t="shared" si="1"/>
        <v>-3.0158412687789515E-2</v>
      </c>
      <c r="Z8" s="2">
        <f t="shared" si="3"/>
        <v>0.96875</v>
      </c>
      <c r="AA8" s="2">
        <f t="shared" si="2"/>
        <v>1.6847750291087982E-3</v>
      </c>
      <c r="AB8" s="2">
        <f t="shared" si="4"/>
        <v>5.6552943344786811E-5</v>
      </c>
      <c r="AC8" s="2">
        <f t="shared" si="5"/>
        <v>-5.0810140613945729E-5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-19.505322210525264</v>
      </c>
      <c r="AI8" s="2">
        <f t="shared" si="14"/>
        <v>2875</v>
      </c>
      <c r="AJ8" s="2">
        <v>591.9755279294352</v>
      </c>
      <c r="AK8" s="2">
        <f t="shared" si="9"/>
        <v>2281.25</v>
      </c>
      <c r="AL8" s="2">
        <v>299.16635229501867</v>
      </c>
      <c r="AM8" s="2">
        <f t="shared" si="10"/>
        <v>-5835.3360960618538</v>
      </c>
      <c r="AN8" s="2">
        <f t="shared" si="11"/>
        <v>177099.15933856709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6.5707771208615382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1.6847750291087982E-3</v>
      </c>
      <c r="X9" s="2">
        <f t="shared" si="8"/>
        <v>1</v>
      </c>
      <c r="Y9" s="2">
        <f t="shared" si="1"/>
        <v>-3.0158412687789515E-2</v>
      </c>
      <c r="Z9" s="2">
        <f t="shared" si="3"/>
        <v>0.984375</v>
      </c>
      <c r="AA9" s="2">
        <f t="shared" si="2"/>
        <v>-1.4241476535070685E-2</v>
      </c>
      <c r="AB9" s="2">
        <f t="shared" si="4"/>
        <v>-2.399368404392598E-5</v>
      </c>
      <c r="AC9" s="2">
        <f t="shared" si="5"/>
        <v>4.295003266281324E-4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-19.505322210525264</v>
      </c>
      <c r="AI9" s="2">
        <f t="shared" si="14"/>
        <v>2281.25</v>
      </c>
      <c r="AJ9" s="2">
        <v>299.16635229501867</v>
      </c>
      <c r="AK9" s="2">
        <f t="shared" si="9"/>
        <v>1984.375</v>
      </c>
      <c r="AL9" s="2">
        <v>143.04714585750799</v>
      </c>
      <c r="AM9" s="2">
        <f t="shared" si="10"/>
        <v>-2790.1806712466978</v>
      </c>
      <c r="AN9" s="2">
        <f t="shared" si="11"/>
        <v>42794.892832404155</v>
      </c>
      <c r="AO9" s="2">
        <f t="shared" si="12"/>
        <v>593.75</v>
      </c>
    </row>
    <row r="10" spans="2:41" x14ac:dyDescent="0.2">
      <c r="B10" s="6" t="s">
        <v>134</v>
      </c>
      <c r="C10" s="16">
        <v>1.6128483780265099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262.14714777075415</v>
      </c>
      <c r="H10" s="22" t="s">
        <v>97</v>
      </c>
      <c r="J10" s="6" t="s">
        <v>92</v>
      </c>
      <c r="K10" s="6">
        <f xml:space="preserve"> $C$18 * (G10*G6 + G20*G13 + G29*G25 + G33*G32)/3600</f>
        <v>99.397511571658342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1.6847750291087982E-3</v>
      </c>
      <c r="X10" s="2">
        <f t="shared" si="8"/>
        <v>0.984375</v>
      </c>
      <c r="Y10" s="2">
        <f t="shared" si="1"/>
        <v>-1.4241476535070685E-2</v>
      </c>
      <c r="Z10" s="2">
        <f t="shared" si="3"/>
        <v>0.9765625</v>
      </c>
      <c r="AA10" s="2">
        <f t="shared" si="2"/>
        <v>-6.2795427242187118E-3</v>
      </c>
      <c r="AB10" s="2">
        <f t="shared" si="4"/>
        <v>-1.0579616775985523E-5</v>
      </c>
      <c r="AC10" s="2">
        <f t="shared" si="5"/>
        <v>8.9429960357934629E-5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-19.505322210525264</v>
      </c>
      <c r="AI10" s="2">
        <f t="shared" si="14"/>
        <v>1984.375</v>
      </c>
      <c r="AJ10" s="2">
        <v>143.04714585750799</v>
      </c>
      <c r="AK10" s="2">
        <f t="shared" si="9"/>
        <v>1835.9375</v>
      </c>
      <c r="AL10" s="2">
        <v>62.570512873519647</v>
      </c>
      <c r="AM10" s="2">
        <f t="shared" si="10"/>
        <v>-1220.4580144758197</v>
      </c>
      <c r="AN10" s="2">
        <f t="shared" si="11"/>
        <v>8950.5332813974455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0.88077356270100793</v>
      </c>
      <c r="U11" s="2">
        <v>7</v>
      </c>
      <c r="V11" s="2">
        <f t="shared" si="7"/>
        <v>0.96875</v>
      </c>
      <c r="W11" s="2">
        <f t="shared" si="0"/>
        <v>1.6847750291087982E-3</v>
      </c>
      <c r="X11" s="2">
        <f t="shared" si="8"/>
        <v>0.9765625</v>
      </c>
      <c r="Y11" s="2">
        <f t="shared" si="1"/>
        <v>-6.2795427242187118E-3</v>
      </c>
      <c r="Z11" s="2">
        <f t="shared" si="3"/>
        <v>0.97265625</v>
      </c>
      <c r="AA11" s="2">
        <f t="shared" si="2"/>
        <v>-2.2976853785043883E-3</v>
      </c>
      <c r="AB11" s="2">
        <f t="shared" si="4"/>
        <v>-3.8710829504525903E-6</v>
      </c>
      <c r="AC11" s="2">
        <f t="shared" si="5"/>
        <v>1.4428413501130947E-5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-19.505322210525264</v>
      </c>
      <c r="AI11" s="2">
        <f t="shared" si="14"/>
        <v>1835.9375</v>
      </c>
      <c r="AJ11" s="2">
        <v>62.570512873519647</v>
      </c>
      <c r="AK11" s="2">
        <f t="shared" si="9"/>
        <v>1761.71875</v>
      </c>
      <c r="AL11" s="2">
        <v>21.731659827058365</v>
      </c>
      <c r="AM11" s="2">
        <f t="shared" si="10"/>
        <v>-423.88302709630113</v>
      </c>
      <c r="AN11" s="2">
        <f t="shared" si="11"/>
        <v>1359.7611009719051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0.24817090814726578</v>
      </c>
      <c r="U12" s="2">
        <v>8</v>
      </c>
      <c r="V12" s="2">
        <f t="shared" si="7"/>
        <v>0.96875</v>
      </c>
      <c r="W12" s="2">
        <f t="shared" si="0"/>
        <v>1.6847750291087982E-3</v>
      </c>
      <c r="X12" s="2">
        <f t="shared" si="8"/>
        <v>0.97265625</v>
      </c>
      <c r="Y12" s="2">
        <f t="shared" si="1"/>
        <v>-2.2976853785043883E-3</v>
      </c>
      <c r="Z12" s="2">
        <f t="shared" si="3"/>
        <v>0.970703125</v>
      </c>
      <c r="AA12" s="2">
        <f t="shared" si="2"/>
        <v>-3.0653100581790049E-4</v>
      </c>
      <c r="AB12" s="2">
        <f t="shared" si="4"/>
        <v>-5.1643578424960244E-7</v>
      </c>
      <c r="AC12" s="2">
        <f t="shared" si="5"/>
        <v>7.0431181012603357E-7</v>
      </c>
      <c r="AD12" s="2">
        <f t="shared" si="6"/>
        <v>3.90625E-3</v>
      </c>
      <c r="AF12" s="2">
        <v>8</v>
      </c>
      <c r="AG12" s="2">
        <f t="shared" si="13"/>
        <v>1687.5</v>
      </c>
      <c r="AH12" s="2">
        <v>-19.505322210525264</v>
      </c>
      <c r="AI12" s="2">
        <f t="shared" si="14"/>
        <v>1761.71875</v>
      </c>
      <c r="AJ12" s="2">
        <v>21.731659827058365</v>
      </c>
      <c r="AK12" s="2">
        <f t="shared" si="9"/>
        <v>1724.609375</v>
      </c>
      <c r="AL12" s="2">
        <v>1.162808595803881</v>
      </c>
      <c r="AM12" s="2">
        <f t="shared" si="10"/>
        <v>-22.680956330323134</v>
      </c>
      <c r="AN12" s="2">
        <f t="shared" si="11"/>
        <v>25.26976084798935</v>
      </c>
      <c r="AO12" s="2">
        <f t="shared" si="12"/>
        <v>74.21875</v>
      </c>
    </row>
    <row r="13" spans="2:41" x14ac:dyDescent="0.2">
      <c r="B13" s="6" t="s">
        <v>136</v>
      </c>
      <c r="C13" s="16">
        <v>5.6243040010406897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2.220796111659086E-2</v>
      </c>
      <c r="U13" s="2">
        <v>9</v>
      </c>
      <c r="V13" s="2">
        <f t="shared" si="7"/>
        <v>0.96875</v>
      </c>
      <c r="W13" s="2">
        <f t="shared" si="0"/>
        <v>1.6847750291087982E-3</v>
      </c>
      <c r="X13" s="2">
        <f t="shared" si="8"/>
        <v>0.970703125</v>
      </c>
      <c r="Y13" s="2">
        <f t="shared" si="1"/>
        <v>-3.0653100581790049E-4</v>
      </c>
      <c r="Z13" s="2">
        <f t="shared" si="3"/>
        <v>0.9697265625</v>
      </c>
      <c r="AA13" s="2">
        <f t="shared" si="2"/>
        <v>6.8910299742963588E-4</v>
      </c>
      <c r="AB13" s="2">
        <f t="shared" si="4"/>
        <v>1.1609835225534748E-6</v>
      </c>
      <c r="AC13" s="2">
        <f t="shared" si="5"/>
        <v>-2.1123143491423639E-7</v>
      </c>
      <c r="AD13" s="2">
        <f t="shared" si="6"/>
        <v>1.953125E-3</v>
      </c>
      <c r="AF13" s="2">
        <v>9</v>
      </c>
      <c r="AG13" s="2">
        <f t="shared" si="13"/>
        <v>1687.5</v>
      </c>
      <c r="AH13" s="2">
        <v>-19.505322210525264</v>
      </c>
      <c r="AI13" s="2">
        <f t="shared" si="14"/>
        <v>1724.609375</v>
      </c>
      <c r="AJ13" s="2">
        <v>1.162808595803881</v>
      </c>
      <c r="AK13" s="2">
        <f t="shared" si="9"/>
        <v>1706.0546875</v>
      </c>
      <c r="AL13" s="2">
        <v>-9.1588642983126647</v>
      </c>
      <c r="AM13" s="2">
        <f t="shared" si="10"/>
        <v>178.64659922106492</v>
      </c>
      <c r="AN13" s="2">
        <f t="shared" si="11"/>
        <v>-10.650006133879247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70.219159642562076</v>
      </c>
      <c r="H14" s="6" t="s">
        <v>10</v>
      </c>
      <c r="J14" s="9" t="s">
        <v>75</v>
      </c>
      <c r="K14" s="17">
        <f>C5</f>
        <v>1722.5104808711801</v>
      </c>
      <c r="L14" s="6" t="s">
        <v>7</v>
      </c>
      <c r="N14" s="6" t="s">
        <v>40</v>
      </c>
      <c r="O14" s="6">
        <f xml:space="preserve"> O5 * O13 * $C$12</f>
        <v>1510.6724275125405</v>
      </c>
      <c r="P14" s="6" t="s">
        <v>21</v>
      </c>
      <c r="U14" s="2">
        <v>10</v>
      </c>
      <c r="V14" s="2">
        <f t="shared" si="7"/>
        <v>0.9697265625</v>
      </c>
      <c r="W14" s="2">
        <f t="shared" si="0"/>
        <v>6.8910299742963588E-4</v>
      </c>
      <c r="X14" s="2">
        <f t="shared" si="8"/>
        <v>0.970703125</v>
      </c>
      <c r="Y14" s="2">
        <f t="shared" si="1"/>
        <v>-3.0653100581790049E-4</v>
      </c>
      <c r="Z14" s="2">
        <f t="shared" si="3"/>
        <v>0.97021484375</v>
      </c>
      <c r="AA14" s="2">
        <f t="shared" si="2"/>
        <v>1.9128124932377144E-4</v>
      </c>
      <c r="AB14" s="2">
        <f t="shared" si="4"/>
        <v>1.3181248226109641E-7</v>
      </c>
      <c r="AC14" s="2">
        <f t="shared" si="5"/>
        <v>-5.8633633749320258E-8</v>
      </c>
      <c r="AD14" s="2">
        <f t="shared" si="6"/>
        <v>9.765625E-4</v>
      </c>
      <c r="AF14" s="2">
        <v>10</v>
      </c>
      <c r="AG14" s="2">
        <f t="shared" si="13"/>
        <v>1706.0546875</v>
      </c>
      <c r="AH14" s="2">
        <v>-9.1588642983126647</v>
      </c>
      <c r="AI14" s="2">
        <f t="shared" si="14"/>
        <v>1724.609375</v>
      </c>
      <c r="AJ14" s="2">
        <v>1.162808595803881</v>
      </c>
      <c r="AK14" s="2">
        <f t="shared" si="9"/>
        <v>1715.33203125</v>
      </c>
      <c r="AL14" s="2">
        <v>-3.9949276473205373</v>
      </c>
      <c r="AM14" s="2">
        <f t="shared" si="10"/>
        <v>36.589000203386277</v>
      </c>
      <c r="AN14" s="2">
        <f t="shared" si="11"/>
        <v>-4.6453362079188958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0.21104469181596469</v>
      </c>
      <c r="H15" s="6" t="s">
        <v>120</v>
      </c>
      <c r="J15" s="10" t="s">
        <v>53</v>
      </c>
      <c r="K15" s="6">
        <f xml:space="preserve"> 1000 * K10 / ($C$60 * $C$61 * $C$62)</f>
        <v>365.43202783697916</v>
      </c>
      <c r="L15" s="6" t="s">
        <v>7</v>
      </c>
      <c r="N15" s="6" t="s">
        <v>140</v>
      </c>
      <c r="O15" s="6">
        <f>O4/O14</f>
        <v>11.174862331772781</v>
      </c>
      <c r="U15" s="2">
        <v>11</v>
      </c>
      <c r="V15" s="2">
        <f t="shared" si="7"/>
        <v>0.97021484375</v>
      </c>
      <c r="W15" s="2">
        <f t="shared" si="0"/>
        <v>1.9128124932377144E-4</v>
      </c>
      <c r="X15" s="2">
        <f t="shared" si="8"/>
        <v>0.970703125</v>
      </c>
      <c r="Y15" s="2">
        <f t="shared" si="1"/>
        <v>-3.0653100581790049E-4</v>
      </c>
      <c r="Z15" s="2">
        <f t="shared" si="3"/>
        <v>0.970458984375</v>
      </c>
      <c r="AA15" s="2">
        <f t="shared" si="2"/>
        <v>-5.7626063985072307E-5</v>
      </c>
      <c r="AB15" s="2">
        <f t="shared" si="4"/>
        <v>-1.1022785512676222E-8</v>
      </c>
      <c r="AC15" s="2">
        <f t="shared" si="5"/>
        <v>1.7664175354670904E-8</v>
      </c>
      <c r="AD15" s="2">
        <f t="shared" si="6"/>
        <v>4.8828125E-4</v>
      </c>
      <c r="AF15" s="2">
        <v>11</v>
      </c>
      <c r="AG15" s="2">
        <f t="shared" si="13"/>
        <v>1715.33203125</v>
      </c>
      <c r="AH15" s="2">
        <v>-3.9949276473205373</v>
      </c>
      <c r="AI15" s="2">
        <f t="shared" si="14"/>
        <v>1724.609375</v>
      </c>
      <c r="AJ15" s="2">
        <v>1.162808595803881</v>
      </c>
      <c r="AK15" s="2">
        <f t="shared" si="9"/>
        <v>1719.970703125</v>
      </c>
      <c r="AL15" s="2">
        <v>-1.4152841997845371</v>
      </c>
      <c r="AM15" s="2">
        <f t="shared" si="10"/>
        <v>5.6539579785351703</v>
      </c>
      <c r="AN15" s="2">
        <f t="shared" si="11"/>
        <v>-1.645704633014877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1510.6724275125405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125.91521238288188</v>
      </c>
      <c r="L16" s="6" t="s">
        <v>7</v>
      </c>
      <c r="N16" s="6" t="s">
        <v>111</v>
      </c>
      <c r="O16" s="6">
        <f>(O13*$C$12)/(0.3048^2)/($C$5*2.20462/1000)^(2/3)</f>
        <v>2.9462500781358734</v>
      </c>
      <c r="U16" s="2">
        <v>12</v>
      </c>
      <c r="V16" s="2">
        <f t="shared" si="7"/>
        <v>0.97021484375</v>
      </c>
      <c r="W16" s="2">
        <f t="shared" si="0"/>
        <v>1.9128124932377144E-4</v>
      </c>
      <c r="X16" s="2">
        <f t="shared" si="8"/>
        <v>0.970458984375</v>
      </c>
      <c r="Y16" s="2">
        <f t="shared" si="1"/>
        <v>-5.7626063985072307E-5</v>
      </c>
      <c r="Z16" s="2">
        <f t="shared" si="3"/>
        <v>0.9703369140625</v>
      </c>
      <c r="AA16" s="2">
        <f t="shared" si="2"/>
        <v>6.6827296124616353E-5</v>
      </c>
      <c r="AB16" s="2">
        <f t="shared" si="4"/>
        <v>1.2782808691646246E-8</v>
      </c>
      <c r="AC16" s="2">
        <f t="shared" si="5"/>
        <v>-3.8509940424265169E-9</v>
      </c>
      <c r="AD16" s="2">
        <f t="shared" si="6"/>
        <v>2.44140625E-4</v>
      </c>
      <c r="AF16" s="2">
        <v>12</v>
      </c>
      <c r="AG16" s="2">
        <f t="shared" si="13"/>
        <v>1719.970703125</v>
      </c>
      <c r="AH16" s="2">
        <v>-1.4152841997845371</v>
      </c>
      <c r="AI16" s="2">
        <f t="shared" si="14"/>
        <v>1724.609375</v>
      </c>
      <c r="AJ16" s="2">
        <v>1.162808595803881</v>
      </c>
      <c r="AK16" s="2">
        <f t="shared" si="9"/>
        <v>1722.2900390625</v>
      </c>
      <c r="AL16" s="2">
        <v>-0.12604389193029419</v>
      </c>
      <c r="AM16" s="2">
        <f t="shared" si="10"/>
        <v>0.17838792872829509</v>
      </c>
      <c r="AN16" s="2">
        <f t="shared" si="11"/>
        <v>-0.14656492098512153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106.06552489105694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0.9703369140625</v>
      </c>
      <c r="W17" s="2">
        <f t="shared" si="0"/>
        <v>6.6827296124616353E-5</v>
      </c>
      <c r="X17" s="2">
        <f t="shared" si="8"/>
        <v>0.970458984375</v>
      </c>
      <c r="Y17" s="2">
        <f t="shared" si="1"/>
        <v>-5.7626063985072307E-5</v>
      </c>
      <c r="Z17" s="2">
        <f t="shared" si="3"/>
        <v>0.97039794921875</v>
      </c>
      <c r="AA17" s="2">
        <f t="shared" si="2"/>
        <v>4.6005419472860964E-6</v>
      </c>
      <c r="AB17" s="2">
        <f t="shared" si="4"/>
        <v>3.074417790450071E-10</v>
      </c>
      <c r="AC17" s="2">
        <f t="shared" si="5"/>
        <v>-2.6511112462031777E-10</v>
      </c>
      <c r="AD17" s="2">
        <f t="shared" si="6"/>
        <v>1.220703125E-4</v>
      </c>
      <c r="AF17" s="2">
        <v>13</v>
      </c>
      <c r="AG17" s="2">
        <f t="shared" si="13"/>
        <v>1722.2900390625</v>
      </c>
      <c r="AH17" s="2">
        <v>-0.12604389193029419</v>
      </c>
      <c r="AI17" s="2">
        <f t="shared" si="14"/>
        <v>1724.609375</v>
      </c>
      <c r="AJ17" s="2">
        <v>1.162808595803881</v>
      </c>
      <c r="AK17" s="2">
        <f t="shared" si="9"/>
        <v>1723.44970703125</v>
      </c>
      <c r="AL17" s="2">
        <v>0.51843061059616957</v>
      </c>
      <c r="AM17" s="2">
        <f t="shared" si="10"/>
        <v>-6.5345011855340029E-2</v>
      </c>
      <c r="AN17" s="2">
        <f t="shared" si="11"/>
        <v>0.60283557032908053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1.4532671140909184</v>
      </c>
      <c r="H18" s="6" t="s">
        <v>172</v>
      </c>
      <c r="J18" s="12" t="s">
        <v>54</v>
      </c>
      <c r="K18" s="6">
        <f xml:space="preserve"> $C$78 * (0.2138 * K4 + 0.2138 * K6)</f>
        <v>94.468643298114245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0.97039794921875</v>
      </c>
      <c r="W18" s="2">
        <f t="shared" si="0"/>
        <v>4.6005419472860964E-6</v>
      </c>
      <c r="X18" s="2">
        <f t="shared" si="8"/>
        <v>0.970458984375</v>
      </c>
      <c r="Y18" s="2">
        <f t="shared" si="1"/>
        <v>-5.7626063985072307E-5</v>
      </c>
      <c r="Z18" s="2">
        <f t="shared" si="3"/>
        <v>0.970428466796875</v>
      </c>
      <c r="AA18" s="2">
        <f t="shared" si="2"/>
        <v>-2.6512779547793741E-5</v>
      </c>
      <c r="AB18" s="2">
        <f t="shared" si="4"/>
        <v>-1.2197315444877401E-10</v>
      </c>
      <c r="AC18" s="2">
        <f t="shared" si="5"/>
        <v>1.5278271306432786E-9</v>
      </c>
      <c r="AD18" s="2">
        <f t="shared" si="6"/>
        <v>6.103515625E-5</v>
      </c>
      <c r="AF18" s="2">
        <v>14</v>
      </c>
      <c r="AG18" s="2">
        <f t="shared" si="13"/>
        <v>1722.2900390625</v>
      </c>
      <c r="AH18" s="2">
        <v>-0.12604389193029419</v>
      </c>
      <c r="AI18" s="2">
        <f t="shared" si="14"/>
        <v>1723.44970703125</v>
      </c>
      <c r="AJ18" s="2">
        <v>0.51843061059616957</v>
      </c>
      <c r="AK18" s="2">
        <f t="shared" si="9"/>
        <v>1722.869873046875</v>
      </c>
      <c r="AL18" s="2">
        <v>0.19620569115772923</v>
      </c>
      <c r="AM18" s="2">
        <f t="shared" si="10"/>
        <v>-2.4730528932393504E-2</v>
      </c>
      <c r="AN18" s="2">
        <f t="shared" si="11"/>
        <v>0.10171903626934503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4.3733762254137318E-2</v>
      </c>
      <c r="J19" s="12" t="s">
        <v>73</v>
      </c>
      <c r="K19" s="6">
        <f xml:space="preserve"> $C$78 * (0.1149 * K4 + 0.1149 * K6)</f>
        <v>50.769163306610515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0.97039794921875</v>
      </c>
      <c r="W19" s="2">
        <f t="shared" si="0"/>
        <v>4.6005419472860964E-6</v>
      </c>
      <c r="X19" s="2">
        <f t="shared" si="8"/>
        <v>0.970428466796875</v>
      </c>
      <c r="Y19" s="2">
        <f t="shared" si="1"/>
        <v>-2.6512779547793741E-5</v>
      </c>
      <c r="Z19" s="2">
        <f t="shared" si="3"/>
        <v>0.9704132080078125</v>
      </c>
      <c r="AA19" s="2">
        <f t="shared" si="2"/>
        <v>-1.0956123432714904E-5</v>
      </c>
      <c r="AB19" s="2">
        <f t="shared" si="4"/>
        <v>-5.0404105431849058E-11</v>
      </c>
      <c r="AC19" s="2">
        <f t="shared" si="5"/>
        <v>2.9047728526998748E-10</v>
      </c>
      <c r="AD19" s="2">
        <f t="shared" si="6"/>
        <v>3.0517578125E-5</v>
      </c>
      <c r="AF19" s="2">
        <v>15</v>
      </c>
      <c r="AG19" s="2">
        <f t="shared" si="13"/>
        <v>1722.2900390625</v>
      </c>
      <c r="AH19" s="2">
        <v>-0.12604389193029419</v>
      </c>
      <c r="AI19" s="2">
        <f t="shared" si="14"/>
        <v>1722.869873046875</v>
      </c>
      <c r="AJ19" s="2">
        <v>0.19620569115772923</v>
      </c>
      <c r="AK19" s="2">
        <f t="shared" si="9"/>
        <v>1722.5799560546875</v>
      </c>
      <c r="AL19" s="2">
        <v>3.5083714845768554E-2</v>
      </c>
      <c r="AM19" s="2">
        <f t="shared" si="10"/>
        <v>-4.4220879625333099E-3</v>
      </c>
      <c r="AN19" s="2">
        <f t="shared" si="11"/>
        <v>6.8836245196947053E-3</v>
      </c>
      <c r="AO19" s="2">
        <f t="shared" si="12"/>
        <v>0.579833984375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106.06552489105694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207.46882166336391</v>
      </c>
      <c r="L20" s="6" t="s">
        <v>7</v>
      </c>
      <c r="N20" s="6" t="s">
        <v>20</v>
      </c>
      <c r="O20" s="6">
        <f xml:space="preserve"> O14 / $C$28</f>
        <v>1510.6724275125405</v>
      </c>
      <c r="P20" s="6" t="s">
        <v>21</v>
      </c>
      <c r="U20" s="2">
        <v>16</v>
      </c>
      <c r="V20" s="2">
        <f t="shared" si="7"/>
        <v>0.97039794921875</v>
      </c>
      <c r="W20" s="2">
        <f t="shared" si="0"/>
        <v>4.6005419472860964E-6</v>
      </c>
      <c r="X20" s="2">
        <f t="shared" si="8"/>
        <v>0.9704132080078125</v>
      </c>
      <c r="Y20" s="2">
        <f t="shared" si="1"/>
        <v>-1.0956123432714904E-5</v>
      </c>
      <c r="Z20" s="2">
        <f t="shared" si="3"/>
        <v>0.97040557861328125</v>
      </c>
      <c r="AA20" s="2">
        <f t="shared" si="2"/>
        <v>-3.1777919008435518E-6</v>
      </c>
      <c r="AB20" s="2">
        <f t="shared" si="4"/>
        <v>-1.4619564939576781E-11</v>
      </c>
      <c r="AC20" s="2">
        <f t="shared" si="5"/>
        <v>3.4816280309123677E-11</v>
      </c>
      <c r="AD20" s="2">
        <f t="shared" si="6"/>
        <v>1.52587890625E-5</v>
      </c>
      <c r="AF20" s="2">
        <v>16</v>
      </c>
      <c r="AG20" s="2">
        <f t="shared" si="13"/>
        <v>1722.2900390625</v>
      </c>
      <c r="AH20" s="2">
        <v>-0.12604389193029419</v>
      </c>
      <c r="AI20" s="2">
        <f t="shared" si="14"/>
        <v>1722.5799560546875</v>
      </c>
      <c r="AJ20" s="2">
        <v>3.5083714845768554E-2</v>
      </c>
      <c r="AK20" s="2">
        <f t="shared" si="9"/>
        <v>1722.4349975585938</v>
      </c>
      <c r="AL20" s="2">
        <v>-4.5479340130668788E-2</v>
      </c>
      <c r="AM20" s="2">
        <f t="shared" si="10"/>
        <v>5.7323930324911085E-3</v>
      </c>
      <c r="AN20" s="2">
        <f t="shared" si="11"/>
        <v>-1.5955842005181021E-3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44.785272502650685</v>
      </c>
      <c r="L21" s="6" t="s">
        <v>7</v>
      </c>
      <c r="N21" s="6" t="s">
        <v>27</v>
      </c>
      <c r="O21" s="6">
        <f>$C$6*2*PI()/60</f>
        <v>43.537359493446388</v>
      </c>
      <c r="P21" s="6" t="s">
        <v>28</v>
      </c>
      <c r="U21" s="2">
        <v>17</v>
      </c>
      <c r="V21" s="2">
        <f t="shared" si="7"/>
        <v>0.97039794921875</v>
      </c>
      <c r="W21" s="2">
        <f t="shared" si="0"/>
        <v>4.6005419472860964E-6</v>
      </c>
      <c r="X21" s="2">
        <f t="shared" si="8"/>
        <v>0.97040557861328125</v>
      </c>
      <c r="Y21" s="2">
        <f t="shared" si="1"/>
        <v>-3.1777919008435518E-6</v>
      </c>
      <c r="Z21" s="2">
        <f t="shared" si="3"/>
        <v>0.97040176391601562</v>
      </c>
      <c r="AA21" s="2">
        <f t="shared" si="2"/>
        <v>7.1137473367510751E-7</v>
      </c>
      <c r="AB21" s="2">
        <f t="shared" si="4"/>
        <v>3.2727093025118075E-12</v>
      </c>
      <c r="AC21" s="2">
        <f t="shared" si="5"/>
        <v>-2.2606008671374952E-12</v>
      </c>
      <c r="AD21" s="2">
        <f t="shared" si="6"/>
        <v>7.62939453125E-6</v>
      </c>
      <c r="AF21" s="2">
        <v>17</v>
      </c>
      <c r="AG21" s="2">
        <f t="shared" si="13"/>
        <v>1722.4349975585938</v>
      </c>
      <c r="AH21" s="2">
        <v>-4.5479340130668788E-2</v>
      </c>
      <c r="AI21" s="2">
        <f t="shared" si="14"/>
        <v>1722.5799560546875</v>
      </c>
      <c r="AJ21" s="2">
        <v>3.5083714845768554E-2</v>
      </c>
      <c r="AK21" s="2">
        <f t="shared" si="9"/>
        <v>1722.5074768066406</v>
      </c>
      <c r="AL21" s="2">
        <v>-5.1974471100493247E-3</v>
      </c>
      <c r="AM21" s="2">
        <f t="shared" si="10"/>
        <v>2.3637646492909476E-4</v>
      </c>
      <c r="AN21" s="2">
        <f t="shared" si="11"/>
        <v>-1.8234575233493436E-4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 xml:space="preserve"> $C$79 * (0.04674 * ($C$5*2.20462)^0.397 * ($C$12*3.28084^2)^0.36 * $C$46^0.397 * $C$13^1.712 * 0.453592)</f>
        <v>106.49068746732831</v>
      </c>
      <c r="L22" s="6" t="s">
        <v>7</v>
      </c>
      <c r="N22" s="6" t="s">
        <v>29</v>
      </c>
      <c r="O22" s="6">
        <f xml:space="preserve"> $C$7 * COS(O19/180*PI()) / (O21 * $C$10)</f>
        <v>8.322964153140551E-2</v>
      </c>
      <c r="U22" s="2">
        <v>18</v>
      </c>
      <c r="V22" s="2">
        <f t="shared" si="7"/>
        <v>0.97040176391601562</v>
      </c>
      <c r="W22" s="2">
        <f t="shared" si="0"/>
        <v>7.1137473367510751E-7</v>
      </c>
      <c r="X22" s="2">
        <f t="shared" si="8"/>
        <v>0.97040557861328125</v>
      </c>
      <c r="Y22" s="2">
        <f t="shared" si="1"/>
        <v>-3.1777919008435518E-6</v>
      </c>
      <c r="Z22" s="2">
        <f t="shared" si="3"/>
        <v>0.97040367126464844</v>
      </c>
      <c r="AA22" s="2">
        <f t="shared" si="2"/>
        <v>-1.2332086559707633E-6</v>
      </c>
      <c r="AB22" s="2">
        <f t="shared" si="4"/>
        <v>-8.7727347920703902E-13</v>
      </c>
      <c r="AC22" s="2">
        <f t="shared" si="5"/>
        <v>3.9188804789940539E-12</v>
      </c>
      <c r="AD22" s="2">
        <f t="shared" si="6"/>
        <v>3.814697265625E-6</v>
      </c>
      <c r="AF22" s="2">
        <v>18</v>
      </c>
      <c r="AG22" s="2">
        <f t="shared" si="13"/>
        <v>1722.5074768066406</v>
      </c>
      <c r="AH22" s="2">
        <v>-5.1974471100493247E-3</v>
      </c>
      <c r="AI22" s="2">
        <f t="shared" si="14"/>
        <v>1722.5799560546875</v>
      </c>
      <c r="AJ22" s="2">
        <v>3.5083714845768554E-2</v>
      </c>
      <c r="AK22" s="2">
        <f t="shared" si="9"/>
        <v>1722.5437164306641</v>
      </c>
      <c r="AL22" s="2">
        <v>1.494318064487743E-2</v>
      </c>
      <c r="AM22" s="2">
        <f t="shared" si="10"/>
        <v>-7.7666391057663205E-5</v>
      </c>
      <c r="AN22" s="2">
        <f t="shared" si="11"/>
        <v>5.2426228863368765E-4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19.979698997391399</v>
      </c>
      <c r="L23" s="6" t="s">
        <v>7</v>
      </c>
      <c r="N23" s="6" t="s">
        <v>30</v>
      </c>
      <c r="O23" s="6">
        <f xml:space="preserve"> O20 / ( $C$71 * PI() * $C$10^2 * O21^2 * $C$10^2)</f>
        <v>3.7172949590959757E-2</v>
      </c>
      <c r="U23" s="2">
        <v>19</v>
      </c>
      <c r="V23" s="2">
        <f t="shared" si="7"/>
        <v>0.97040176391601562</v>
      </c>
      <c r="W23" s="2">
        <f t="shared" si="0"/>
        <v>7.1137473367510751E-7</v>
      </c>
      <c r="X23" s="2">
        <f t="shared" si="8"/>
        <v>0.97040367126464844</v>
      </c>
      <c r="Y23" s="2">
        <f t="shared" si="1"/>
        <v>-1.2332086559707633E-6</v>
      </c>
      <c r="Z23" s="2">
        <f t="shared" si="3"/>
        <v>0.97040271759033203</v>
      </c>
      <c r="AA23" s="2">
        <f t="shared" si="2"/>
        <v>-2.6091697924446322E-7</v>
      </c>
      <c r="AB23" s="2">
        <f t="shared" si="4"/>
        <v>-1.8560974662134356E-13</v>
      </c>
      <c r="AC23" s="2">
        <f t="shared" si="5"/>
        <v>3.2176507729401603E-13</v>
      </c>
      <c r="AD23" s="2">
        <f t="shared" si="6"/>
        <v>1.9073486328125E-6</v>
      </c>
      <c r="AF23" s="2">
        <v>19</v>
      </c>
      <c r="AG23" s="2">
        <f t="shared" si="13"/>
        <v>1722.5074768066406</v>
      </c>
      <c r="AH23" s="2">
        <v>-5.1974471100493247E-3</v>
      </c>
      <c r="AI23" s="2">
        <f t="shared" si="14"/>
        <v>1722.5437164306641</v>
      </c>
      <c r="AJ23" s="2">
        <v>1.494318064487743E-2</v>
      </c>
      <c r="AK23" s="2">
        <f t="shared" si="9"/>
        <v>1722.5255966186523</v>
      </c>
      <c r="AL23" s="2">
        <v>4.8727000323651737E-3</v>
      </c>
      <c r="AM23" s="2">
        <f t="shared" si="10"/>
        <v>-2.5325600701353625E-5</v>
      </c>
      <c r="AN23" s="2">
        <f t="shared" si="11"/>
        <v>7.2813636811932893E-5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7.5415241895281202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0.97040176391601562</v>
      </c>
      <c r="W24" s="2">
        <f t="shared" si="0"/>
        <v>7.1137473367510751E-7</v>
      </c>
      <c r="X24" s="2">
        <f t="shared" si="8"/>
        <v>0.97040271759033203</v>
      </c>
      <c r="Y24" s="2">
        <f t="shared" si="1"/>
        <v>-2.6091697924446322E-7</v>
      </c>
      <c r="Z24" s="2">
        <f t="shared" si="3"/>
        <v>0.97040224075317383</v>
      </c>
      <c r="AA24" s="2">
        <f t="shared" si="2"/>
        <v>2.2522887277443004E-7</v>
      </c>
      <c r="AB24" s="2">
        <f t="shared" si="4"/>
        <v>1.6022212938585485E-13</v>
      </c>
      <c r="AC24" s="2">
        <f t="shared" si="5"/>
        <v>-5.8766037122939806E-14</v>
      </c>
      <c r="AD24" s="2">
        <f t="shared" si="6"/>
        <v>9.5367431640625E-7</v>
      </c>
      <c r="AF24" s="2">
        <v>20</v>
      </c>
      <c r="AG24" s="2">
        <f t="shared" si="13"/>
        <v>1722.5074768066406</v>
      </c>
      <c r="AH24" s="2">
        <v>-5.1974471100493247E-3</v>
      </c>
      <c r="AI24" s="2">
        <f t="shared" si="14"/>
        <v>1722.5255966186523</v>
      </c>
      <c r="AJ24" s="2">
        <v>4.8727000323651737E-3</v>
      </c>
      <c r="AK24" s="2">
        <f t="shared" si="9"/>
        <v>1722.5165367126465</v>
      </c>
      <c r="AL24" s="2">
        <v>-1.6237061504398298E-4</v>
      </c>
      <c r="AM24" s="2">
        <f t="shared" si="10"/>
        <v>8.4391268391728071E-7</v>
      </c>
      <c r="AN24" s="2">
        <f t="shared" si="11"/>
        <v>-7.9118330117996902E-7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17.859298771332675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2785.336964454295</v>
      </c>
      <c r="P25" s="6" t="s">
        <v>19</v>
      </c>
      <c r="U25" s="2">
        <v>21</v>
      </c>
      <c r="V25" s="2">
        <f t="shared" si="7"/>
        <v>0.97040224075317383</v>
      </c>
      <c r="W25" s="2">
        <f t="shared" si="0"/>
        <v>2.2522887277443004E-7</v>
      </c>
      <c r="X25" s="2">
        <f t="shared" si="8"/>
        <v>0.97040271759033203</v>
      </c>
      <c r="Y25" s="2">
        <f t="shared" si="1"/>
        <v>-2.6091697924446322E-7</v>
      </c>
      <c r="Z25" s="2">
        <f t="shared" si="3"/>
        <v>0.97040247917175293</v>
      </c>
      <c r="AA25" s="2">
        <f t="shared" si="2"/>
        <v>-1.7844054345239613E-8</v>
      </c>
      <c r="AB25" s="2">
        <f t="shared" si="4"/>
        <v>-4.018996245903988E-15</v>
      </c>
      <c r="AC25" s="2">
        <f t="shared" si="5"/>
        <v>4.6558167572339576E-15</v>
      </c>
      <c r="AD25" s="2">
        <f t="shared" si="6"/>
        <v>4.76837158203125E-7</v>
      </c>
      <c r="AF25" s="2">
        <v>21</v>
      </c>
      <c r="AG25" s="2">
        <f t="shared" si="13"/>
        <v>1722.5165367126465</v>
      </c>
      <c r="AH25" s="2">
        <v>-1.6237061504398298E-4</v>
      </c>
      <c r="AI25" s="2">
        <f t="shared" si="14"/>
        <v>1722.5255966186523</v>
      </c>
      <c r="AJ25" s="2">
        <v>4.8727000323651737E-3</v>
      </c>
      <c r="AK25" s="2">
        <f t="shared" si="9"/>
        <v>1722.5210666656494</v>
      </c>
      <c r="AL25" s="2">
        <v>2.3551654389848409E-3</v>
      </c>
      <c r="AM25" s="2">
        <f t="shared" si="10"/>
        <v>-3.8240966085830079E-7</v>
      </c>
      <c r="AN25" s="2">
        <f t="shared" si="11"/>
        <v>1.1476014710766772E-5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2110.3964133846475</v>
      </c>
      <c r="H26" s="6" t="s">
        <v>21</v>
      </c>
      <c r="J26" s="14" t="s">
        <v>65</v>
      </c>
      <c r="K26" s="6">
        <f xml:space="preserve"> $C$80 * (0.0268 * $C$5)</f>
        <v>36.930624709878103</v>
      </c>
      <c r="L26" s="6" t="s">
        <v>7</v>
      </c>
      <c r="N26" s="6" t="s">
        <v>32</v>
      </c>
      <c r="O26" s="17">
        <f>Z34</f>
        <v>0.9704024619422853</v>
      </c>
      <c r="U26" s="2">
        <v>22</v>
      </c>
      <c r="V26" s="2">
        <f t="shared" si="7"/>
        <v>0.97040224075317383</v>
      </c>
      <c r="W26" s="2">
        <f t="shared" si="0"/>
        <v>2.2522887277443004E-7</v>
      </c>
      <c r="X26" s="2">
        <f t="shared" si="8"/>
        <v>0.97040247917175293</v>
      </c>
      <c r="Y26" s="2">
        <f t="shared" si="1"/>
        <v>-1.7844054345239613E-8</v>
      </c>
      <c r="Z26" s="2">
        <f t="shared" si="3"/>
        <v>0.97040235996246338</v>
      </c>
      <c r="AA26" s="2">
        <f t="shared" si="2"/>
        <v>1.0369240888152831E-7</v>
      </c>
      <c r="AB26" s="2">
        <f t="shared" si="4"/>
        <v>2.3354524367651918E-14</v>
      </c>
      <c r="AC26" s="2">
        <f t="shared" si="5"/>
        <v>-1.8502929792707977E-15</v>
      </c>
      <c r="AD26" s="2">
        <f t="shared" si="6"/>
        <v>2.384185791015625E-7</v>
      </c>
      <c r="AF26" s="2">
        <v>22</v>
      </c>
      <c r="AG26" s="2">
        <f t="shared" si="13"/>
        <v>1722.5165367126465</v>
      </c>
      <c r="AH26" s="2">
        <v>-1.6237061504398298E-4</v>
      </c>
      <c r="AI26" s="2">
        <f t="shared" si="14"/>
        <v>1722.5210666656494</v>
      </c>
      <c r="AJ26" s="2">
        <v>2.3551654389848409E-3</v>
      </c>
      <c r="AK26" s="2">
        <f t="shared" si="9"/>
        <v>1722.5188016891479</v>
      </c>
      <c r="AL26" s="2">
        <v>1.0965760241106182E-3</v>
      </c>
      <c r="AM26" s="2">
        <f t="shared" si="10"/>
        <v>-1.7805172347732658E-7</v>
      </c>
      <c r="AN26" s="2">
        <f t="shared" si="11"/>
        <v>2.5826179532047353E-6</v>
      </c>
      <c r="AO26" s="2">
        <f t="shared" si="12"/>
        <v>4.5299530029296875E-3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28.975248883180775</v>
      </c>
      <c r="H27" t="s">
        <v>97</v>
      </c>
      <c r="J27" s="14" t="s">
        <v>66</v>
      </c>
      <c r="K27" s="6">
        <f xml:space="preserve"> $C$80 * (11.5 * ($C$5*2.20462/1000)^0.4 * 0.453592)</f>
        <v>7.1162543136666869</v>
      </c>
      <c r="L27" s="6" t="s">
        <v>7</v>
      </c>
      <c r="N27" s="6" t="s">
        <v>33</v>
      </c>
      <c r="O27" s="6">
        <f xml:space="preserve"> O21 * $C$10 * O26 - $C$7 * SIN(O19/180*PI())</f>
        <v>1.3400137174205042</v>
      </c>
      <c r="P27" s="6" t="s">
        <v>10</v>
      </c>
      <c r="U27" s="2">
        <v>23</v>
      </c>
      <c r="V27" s="2">
        <f t="shared" si="7"/>
        <v>0.97040235996246338</v>
      </c>
      <c r="W27" s="2">
        <f t="shared" si="0"/>
        <v>1.0369240888152831E-7</v>
      </c>
      <c r="X27" s="2">
        <f t="shared" si="8"/>
        <v>0.97040247917175293</v>
      </c>
      <c r="Y27" s="2">
        <f t="shared" si="1"/>
        <v>-1.7844054345239613E-8</v>
      </c>
      <c r="Z27" s="2">
        <f t="shared" si="3"/>
        <v>0.97040241956710815</v>
      </c>
      <c r="AA27" s="2">
        <f t="shared" si="2"/>
        <v>4.2924177212633197E-8</v>
      </c>
      <c r="AB27" s="2">
        <f t="shared" si="4"/>
        <v>4.4509113344355418E-15</v>
      </c>
      <c r="AC27" s="2">
        <f t="shared" si="5"/>
        <v>-7.6594135090692255E-16</v>
      </c>
      <c r="AD27" s="2">
        <f t="shared" si="6"/>
        <v>1.1920928955078125E-7</v>
      </c>
      <c r="AF27" s="2">
        <v>23</v>
      </c>
      <c r="AG27" s="2">
        <f t="shared" si="13"/>
        <v>1722.5165367126465</v>
      </c>
      <c r="AH27" s="2">
        <v>-1.6237061504398298E-4</v>
      </c>
      <c r="AI27" s="2">
        <f t="shared" si="14"/>
        <v>1722.5188016891479</v>
      </c>
      <c r="AJ27" s="2">
        <v>1.0965760241106182E-3</v>
      </c>
      <c r="AK27" s="2">
        <f t="shared" si="9"/>
        <v>1722.5176692008972</v>
      </c>
      <c r="AL27" s="2">
        <v>4.6692432078998536E-4</v>
      </c>
      <c r="AM27" s="2">
        <f t="shared" si="10"/>
        <v>-7.5814789145663935E-8</v>
      </c>
      <c r="AN27" s="2">
        <f t="shared" si="11"/>
        <v>5.1201801525243302E-7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7.4309563647572476</v>
      </c>
      <c r="H28" s="6" t="s">
        <v>172</v>
      </c>
      <c r="J28" s="14" t="s">
        <v>67</v>
      </c>
      <c r="K28" s="6">
        <f xml:space="preserve"> $C$80 * (8 * ($C$5/1000))</f>
        <v>11.024067077575554</v>
      </c>
      <c r="L28" s="6" t="s">
        <v>7</v>
      </c>
      <c r="N28" s="6" t="s">
        <v>34</v>
      </c>
      <c r="O28" s="6">
        <f xml:space="preserve"> 1/$C$31 - O25 * SQRT( (2*$C$71*PI()*$C$10^2) / O20^3 )</f>
        <v>1.1407346566172636</v>
      </c>
      <c r="U28" s="2">
        <v>24</v>
      </c>
      <c r="V28" s="2">
        <f t="shared" si="7"/>
        <v>0.97040241956710815</v>
      </c>
      <c r="W28" s="2">
        <f t="shared" si="0"/>
        <v>4.2924177212633197E-8</v>
      </c>
      <c r="X28" s="2">
        <f t="shared" si="8"/>
        <v>0.97040247917175293</v>
      </c>
      <c r="Y28" s="2">
        <f t="shared" si="1"/>
        <v>-1.7844054345239613E-8</v>
      </c>
      <c r="Z28" s="2">
        <f t="shared" si="3"/>
        <v>0.97040244936943054</v>
      </c>
      <c r="AA28" s="2">
        <f t="shared" si="2"/>
        <v>1.2540061433696792E-8</v>
      </c>
      <c r="AB28" s="2">
        <f t="shared" si="4"/>
        <v>5.3827181923730821E-16</v>
      </c>
      <c r="AC28" s="2">
        <f t="shared" si="5"/>
        <v>-2.2376553771552893E-16</v>
      </c>
      <c r="AD28" s="2">
        <f t="shared" si="6"/>
        <v>5.9604644775390625E-8</v>
      </c>
      <c r="AF28" s="2">
        <v>24</v>
      </c>
      <c r="AG28" s="2">
        <f t="shared" si="13"/>
        <v>1722.5165367126465</v>
      </c>
      <c r="AH28" s="2">
        <v>-1.6237061504398298E-4</v>
      </c>
      <c r="AI28" s="2">
        <f t="shared" si="14"/>
        <v>1722.5176692008972</v>
      </c>
      <c r="AJ28" s="2">
        <v>4.6692432078998536E-4</v>
      </c>
      <c r="AK28" s="2">
        <f t="shared" si="9"/>
        <v>1722.5171029567719</v>
      </c>
      <c r="AL28" s="2">
        <v>1.524552938008128E-4</v>
      </c>
      <c r="AM28" s="2">
        <f t="shared" si="10"/>
        <v>-2.47542598211491E-8</v>
      </c>
      <c r="AN28" s="2">
        <f t="shared" si="11"/>
        <v>7.1185084508782184E-8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231.8019910654462</v>
      </c>
      <c r="H29" s="22" t="s">
        <v>97</v>
      </c>
      <c r="J29" s="14" t="s">
        <v>68</v>
      </c>
      <c r="K29" s="6">
        <f xml:space="preserve"> $C$80 * (13 * ($C$5*2.20462/1000)^1.3 * 0.453592)</f>
        <v>26.732712423045509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0.97040244936943054</v>
      </c>
      <c r="W29" s="2">
        <f t="shared" si="0"/>
        <v>1.2540061433696792E-8</v>
      </c>
      <c r="X29" s="2">
        <f t="shared" si="8"/>
        <v>0.97040247917175293</v>
      </c>
      <c r="Y29" s="2">
        <f t="shared" si="1"/>
        <v>-1.7844054345239613E-8</v>
      </c>
      <c r="Z29" s="2">
        <f t="shared" si="3"/>
        <v>0.97040246427059174</v>
      </c>
      <c r="AA29" s="2">
        <f t="shared" si="2"/>
        <v>-2.6519965112825616E-9</v>
      </c>
      <c r="AB29" s="2">
        <f t="shared" si="4"/>
        <v>-3.325619917343289E-17</v>
      </c>
      <c r="AC29" s="2">
        <f t="shared" si="5"/>
        <v>4.7322369870711888E-17</v>
      </c>
      <c r="AD29" s="2">
        <f t="shared" si="6"/>
        <v>2.9802322387695312E-8</v>
      </c>
      <c r="AF29" s="2">
        <v>25</v>
      </c>
      <c r="AG29" s="2">
        <f t="shared" si="13"/>
        <v>1722.5165367126465</v>
      </c>
      <c r="AH29" s="2">
        <v>-1.6237061504398298E-4</v>
      </c>
      <c r="AI29" s="2">
        <f t="shared" si="14"/>
        <v>1722.5171029567719</v>
      </c>
      <c r="AJ29" s="2">
        <v>1.524552938008128E-4</v>
      </c>
      <c r="AK29" s="2">
        <f t="shared" si="9"/>
        <v>1722.5168198347092</v>
      </c>
      <c r="AL29" s="2">
        <v>-4.9576578931009863E-6</v>
      </c>
      <c r="AM29" s="2">
        <f t="shared" si="10"/>
        <v>8.0497796128046396E-10</v>
      </c>
      <c r="AN29" s="2">
        <f t="shared" si="11"/>
        <v>-7.5582119065662942E-10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-3.5280691670322994E-3</v>
      </c>
      <c r="L30" s="9" t="s">
        <v>7</v>
      </c>
      <c r="N30" s="6" t="s">
        <v>36</v>
      </c>
      <c r="O30" s="6">
        <f xml:space="preserve"> 1/$C$77 * LN( EXP($C$77 * O28) + EXP($C$77 * O29) )</f>
        <v>1.1687931279840875</v>
      </c>
      <c r="U30" s="2">
        <v>26</v>
      </c>
      <c r="V30" s="2">
        <f>IF(AB29&gt;0, Z29, V29)</f>
        <v>0.97040244936943054</v>
      </c>
      <c r="W30" s="2">
        <f t="shared" si="0"/>
        <v>1.2540061433696792E-8</v>
      </c>
      <c r="X30" s="2">
        <f t="shared" si="8"/>
        <v>0.97040246427059174</v>
      </c>
      <c r="Y30" s="2">
        <f t="shared" si="1"/>
        <v>-2.6519965112825616E-9</v>
      </c>
      <c r="Z30" s="2">
        <f t="shared" si="3"/>
        <v>0.97040245682001114</v>
      </c>
      <c r="AA30" s="2">
        <f t="shared" si="2"/>
        <v>4.9440325167182664E-9</v>
      </c>
      <c r="AB30" s="2">
        <f t="shared" si="4"/>
        <v>6.1998471489841622E-17</v>
      </c>
      <c r="AC30" s="2">
        <f t="shared" si="5"/>
        <v>-1.3111556986004386E-17</v>
      </c>
      <c r="AD30" s="2">
        <f t="shared" si="6"/>
        <v>1.4901161193847656E-8</v>
      </c>
      <c r="AF30" s="2">
        <v>26</v>
      </c>
      <c r="AG30" s="2">
        <f t="shared" si="13"/>
        <v>1722.5168198347092</v>
      </c>
      <c r="AH30" s="2">
        <v>-4.9576578931009863E-6</v>
      </c>
      <c r="AI30" s="2">
        <f t="shared" si="14"/>
        <v>1722.5171029567719</v>
      </c>
      <c r="AJ30" s="2">
        <v>1.524552938008128E-4</v>
      </c>
      <c r="AK30" s="2">
        <f t="shared" si="9"/>
        <v>1722.5169613957405</v>
      </c>
      <c r="AL30" s="2">
        <v>7.3570389304222772E-5</v>
      </c>
      <c r="AM30" s="2">
        <f t="shared" si="10"/>
        <v>-3.647368212325924E-10</v>
      </c>
      <c r="AN30" s="2">
        <f t="shared" si="11"/>
        <v>1.1216195316415458E-8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0.97040245682001114</v>
      </c>
      <c r="W31" s="2">
        <f t="shared" si="0"/>
        <v>4.9440325167182664E-9</v>
      </c>
      <c r="X31" s="2">
        <f t="shared" si="8"/>
        <v>0.97040246427059174</v>
      </c>
      <c r="Y31" s="2">
        <f t="shared" si="1"/>
        <v>-2.6519965112825616E-9</v>
      </c>
      <c r="Z31" s="2">
        <f t="shared" si="3"/>
        <v>0.97040246054530144</v>
      </c>
      <c r="AA31" s="2">
        <f t="shared" si="2"/>
        <v>1.1460179472067011E-9</v>
      </c>
      <c r="AB31" s="2">
        <f t="shared" si="4"/>
        <v>5.665949995732648E-18</v>
      </c>
      <c r="AC31" s="2">
        <f t="shared" si="5"/>
        <v>-3.0392355978593743E-18</v>
      </c>
      <c r="AD31" s="2">
        <f t="shared" si="6"/>
        <v>7.4505805969238281E-9</v>
      </c>
      <c r="AF31" s="2">
        <v>27</v>
      </c>
      <c r="AG31" s="2">
        <f t="shared" si="13"/>
        <v>1722.5168198347092</v>
      </c>
      <c r="AH31" s="2">
        <v>-4.9576578931009863E-6</v>
      </c>
      <c r="AI31" s="2">
        <f t="shared" si="14"/>
        <v>1722.5169613957405</v>
      </c>
      <c r="AJ31" s="2">
        <v>7.3570389304222772E-5</v>
      </c>
      <c r="AK31" s="2">
        <f t="shared" si="9"/>
        <v>1722.5168906152248</v>
      </c>
      <c r="AL31" s="2">
        <v>3.4484794923628215E-5</v>
      </c>
      <c r="AM31" s="2">
        <f t="shared" si="10"/>
        <v>-1.7096381574509424E-10</v>
      </c>
      <c r="AN31" s="2">
        <f t="shared" si="11"/>
        <v>2.537059787607613E-9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0.97040246054530144</v>
      </c>
      <c r="W32" s="2">
        <f t="shared" si="0"/>
        <v>1.1460179472067011E-9</v>
      </c>
      <c r="X32" s="2">
        <f t="shared" si="8"/>
        <v>0.97040246427059174</v>
      </c>
      <c r="Y32" s="2">
        <f t="shared" si="1"/>
        <v>-2.6519965112825616E-9</v>
      </c>
      <c r="Z32" s="2">
        <f t="shared" si="3"/>
        <v>0.97040246240794659</v>
      </c>
      <c r="AA32" s="2">
        <f t="shared" si="2"/>
        <v>-7.5298922652677902E-10</v>
      </c>
      <c r="AB32" s="2">
        <f t="shared" si="4"/>
        <v>-8.6293916765298096E-19</v>
      </c>
      <c r="AC32" s="2">
        <f t="shared" si="5"/>
        <v>1.9969248017823725E-18</v>
      </c>
      <c r="AD32" s="2">
        <f t="shared" si="6"/>
        <v>3.7252902984619141E-9</v>
      </c>
      <c r="AF32" s="2">
        <v>28</v>
      </c>
      <c r="AG32" s="2">
        <f t="shared" si="13"/>
        <v>1722.5168198347092</v>
      </c>
      <c r="AH32" s="2">
        <v>-4.9576578931009863E-6</v>
      </c>
      <c r="AI32" s="2">
        <f t="shared" si="14"/>
        <v>1722.5168906152248</v>
      </c>
      <c r="AJ32" s="2">
        <v>3.4484794923628215E-5</v>
      </c>
      <c r="AK32" s="2">
        <f t="shared" si="9"/>
        <v>1722.516855224967</v>
      </c>
      <c r="AL32" s="2">
        <v>1.4763568515263614E-5</v>
      </c>
      <c r="AM32" s="2">
        <f t="shared" si="10"/>
        <v>-7.3192721980033866E-11</v>
      </c>
      <c r="AN32" s="2">
        <f t="shared" si="11"/>
        <v>5.0911863258980002E-10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106.06552489105694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0.97040246054530144</v>
      </c>
      <c r="W33" s="2">
        <f t="shared" si="0"/>
        <v>1.1460179472067011E-9</v>
      </c>
      <c r="X33" s="2">
        <f t="shared" si="8"/>
        <v>0.97040246240794659</v>
      </c>
      <c r="Y33" s="2">
        <f t="shared" si="1"/>
        <v>-7.5298922652677902E-10</v>
      </c>
      <c r="Z33" s="2">
        <f t="shared" si="3"/>
        <v>0.97040246147662401</v>
      </c>
      <c r="AA33" s="2">
        <f t="shared" si="2"/>
        <v>1.9651436033996106E-10</v>
      </c>
      <c r="AB33" s="2">
        <f t="shared" si="4"/>
        <v>2.2520898383344014E-19</v>
      </c>
      <c r="AC33" s="2">
        <f t="shared" si="5"/>
        <v>-1.4797319619379202E-19</v>
      </c>
      <c r="AD33" s="2">
        <f t="shared" si="6"/>
        <v>1.862645149230957E-9</v>
      </c>
      <c r="AF33" s="2">
        <v>29</v>
      </c>
      <c r="AG33" s="2">
        <f t="shared" si="13"/>
        <v>1722.5168198347092</v>
      </c>
      <c r="AH33" s="2">
        <v>-4.9576578931009863E-6</v>
      </c>
      <c r="AI33" s="2">
        <f t="shared" si="14"/>
        <v>1722.516855224967</v>
      </c>
      <c r="AJ33" s="2">
        <v>1.4763568515263614E-5</v>
      </c>
      <c r="AK33" s="2">
        <f t="shared" si="9"/>
        <v>1722.5168375298381</v>
      </c>
      <c r="AL33" s="2">
        <v>4.9029554247681517E-6</v>
      </c>
      <c r="AM33" s="2">
        <f t="shared" si="10"/>
        <v>-2.4307175661124126E-11</v>
      </c>
      <c r="AN33" s="2">
        <f t="shared" si="11"/>
        <v>7.2385118340848025E-11</v>
      </c>
      <c r="AO33" s="2">
        <f t="shared" si="12"/>
        <v>3.5390257835388184E-5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34.83</v>
      </c>
      <c r="L34" s="6" t="s">
        <v>59</v>
      </c>
      <c r="U34" s="2">
        <v>30</v>
      </c>
      <c r="V34" s="2">
        <f t="shared" si="7"/>
        <v>0.97040246147662401</v>
      </c>
      <c r="W34" s="2">
        <f t="shared" si="0"/>
        <v>1.9651436033996106E-10</v>
      </c>
      <c r="X34" s="2">
        <f t="shared" si="8"/>
        <v>0.97040246240794659</v>
      </c>
      <c r="Y34" s="2">
        <f t="shared" si="1"/>
        <v>-7.5298922652677902E-10</v>
      </c>
      <c r="Z34" s="2">
        <f t="shared" si="3"/>
        <v>0.9704024619422853</v>
      </c>
      <c r="AA34" s="2">
        <f t="shared" si="2"/>
        <v>-2.7823743309340898E-10</v>
      </c>
      <c r="AB34" s="2">
        <f t="shared" si="4"/>
        <v>-5.4677651186983978E-20</v>
      </c>
      <c r="AC34" s="2">
        <f t="shared" si="5"/>
        <v>2.0950978953580246E-19</v>
      </c>
      <c r="AD34" s="2">
        <f t="shared" si="6"/>
        <v>9.3132257461547852E-10</v>
      </c>
      <c r="AF34" s="2">
        <v>30</v>
      </c>
      <c r="AG34" s="2">
        <f t="shared" si="13"/>
        <v>1722.5168198347092</v>
      </c>
      <c r="AH34" s="2">
        <v>-4.9576578931009863E-6</v>
      </c>
      <c r="AI34" s="2">
        <f t="shared" si="14"/>
        <v>1722.5168375298381</v>
      </c>
      <c r="AJ34" s="2">
        <v>4.9029554247681517E-6</v>
      </c>
      <c r="AK34" s="2">
        <f t="shared" si="9"/>
        <v>1722.5168286822736</v>
      </c>
      <c r="AL34" s="2">
        <v>-2.7351461540092714E-8</v>
      </c>
      <c r="AM34" s="2">
        <f t="shared" si="10"/>
        <v>1.355991891920887E-13</v>
      </c>
      <c r="AN34" s="2">
        <f t="shared" si="11"/>
        <v>-1.3410299673333504E-13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21.22</v>
      </c>
      <c r="L35" s="6" t="s">
        <v>59</v>
      </c>
      <c r="AF35" s="2">
        <v>31</v>
      </c>
      <c r="AG35" s="2">
        <f t="shared" si="13"/>
        <v>1722.5168286822736</v>
      </c>
      <c r="AH35" s="2">
        <v>-2.7351461540092714E-8</v>
      </c>
      <c r="AI35" s="2">
        <f t="shared" si="14"/>
        <v>1722.5168375298381</v>
      </c>
      <c r="AJ35" s="2">
        <v>4.9029554247681517E-6</v>
      </c>
      <c r="AK35" s="2">
        <f t="shared" si="9"/>
        <v>1722.5168331060559</v>
      </c>
      <c r="AL35" s="2">
        <v>2.4378020953008672E-6</v>
      </c>
      <c r="AM35" s="2">
        <f t="shared" si="10"/>
        <v>-6.6677450251979103E-14</v>
      </c>
      <c r="AN35" s="2">
        <f t="shared" si="11"/>
        <v>1.1952435007666554E-11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15.74</v>
      </c>
      <c r="L36" s="6" t="s">
        <v>59</v>
      </c>
      <c r="AF36" s="2">
        <v>32</v>
      </c>
      <c r="AG36" s="2">
        <f t="shared" si="13"/>
        <v>1722.5168286822736</v>
      </c>
      <c r="AH36" s="2">
        <v>-2.7351461540092714E-8</v>
      </c>
      <c r="AI36" s="2">
        <f t="shared" si="14"/>
        <v>1722.5168331060559</v>
      </c>
      <c r="AJ36" s="2">
        <v>2.4378020953008672E-6</v>
      </c>
      <c r="AK36" s="2">
        <f t="shared" si="9"/>
        <v>1722.5168308941647</v>
      </c>
      <c r="AL36" s="2">
        <v>1.2052253168803873E-6</v>
      </c>
      <c r="AM36" s="2">
        <f t="shared" si="10"/>
        <v>-3.2964673901799966E-14</v>
      </c>
      <c r="AN36" s="2">
        <f t="shared" si="11"/>
        <v>2.9381008028006597E-12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23.46</v>
      </c>
      <c r="L37" s="6" t="s">
        <v>59</v>
      </c>
      <c r="AF37" s="2">
        <v>33</v>
      </c>
      <c r="AG37" s="2">
        <f t="shared" si="13"/>
        <v>1722.5168286822736</v>
      </c>
      <c r="AH37" s="2">
        <v>-2.7351461540092714E-8</v>
      </c>
      <c r="AI37" s="2">
        <f t="shared" si="14"/>
        <v>1722.5168308941647</v>
      </c>
      <c r="AJ37" s="2">
        <v>1.2052253168803873E-6</v>
      </c>
      <c r="AK37" s="2">
        <f t="shared" si="9"/>
        <v>1722.5168297882192</v>
      </c>
      <c r="AL37" s="2">
        <v>5.8893715504382271E-7</v>
      </c>
      <c r="AM37" s="2">
        <f t="shared" si="10"/>
        <v>-1.6108291945712737E-14</v>
      </c>
      <c r="AN37" s="2">
        <f t="shared" si="11"/>
        <v>7.0980196931032499E-13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4.75</v>
      </c>
      <c r="L38" s="6" t="s">
        <v>59</v>
      </c>
      <c r="AF38" s="2">
        <v>34</v>
      </c>
      <c r="AG38" s="2">
        <f t="shared" si="13"/>
        <v>1722.5168286822736</v>
      </c>
      <c r="AH38" s="2">
        <v>-2.7351461540092714E-8</v>
      </c>
      <c r="AI38" s="2">
        <f t="shared" si="14"/>
        <v>1722.5168297882192</v>
      </c>
      <c r="AJ38" s="2">
        <v>5.8893715504382271E-7</v>
      </c>
      <c r="AK38" s="2">
        <f t="shared" si="9"/>
        <v>1722.5168292352464</v>
      </c>
      <c r="AL38" s="2">
        <v>2.80792846751865E-7</v>
      </c>
      <c r="AM38" s="2">
        <f t="shared" si="10"/>
        <v>-7.6800947486667829E-15</v>
      </c>
      <c r="AN38" s="2">
        <f t="shared" si="11"/>
        <v>1.6536934032269947E-13</v>
      </c>
      <c r="AO38" s="2">
        <f t="shared" si="12"/>
        <v>1.1059455573558807E-6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1722.5168286822736</v>
      </c>
      <c r="AH39" s="2">
        <v>-2.7351461540092714E-8</v>
      </c>
      <c r="AI39" s="2">
        <f t="shared" si="14"/>
        <v>1722.5168292352464</v>
      </c>
      <c r="AJ39" s="2">
        <v>2.80792846751865E-7</v>
      </c>
      <c r="AK39" s="2">
        <f t="shared" si="9"/>
        <v>1722.51682895876</v>
      </c>
      <c r="AL39" s="2">
        <v>1.2672080629272386E-7</v>
      </c>
      <c r="AM39" s="2">
        <f t="shared" si="10"/>
        <v>-3.4659992596449756E-15</v>
      </c>
      <c r="AN39" s="2">
        <f t="shared" si="11"/>
        <v>3.5582295941625582E-14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1722.5168286822736</v>
      </c>
      <c r="AH40" s="2">
        <v>-2.7351461540092714E-8</v>
      </c>
      <c r="AI40" s="2">
        <f t="shared" si="14"/>
        <v>1722.51682895876</v>
      </c>
      <c r="AJ40" s="2">
        <v>1.2672080629272386E-7</v>
      </c>
      <c r="AK40" s="2">
        <f t="shared" si="9"/>
        <v>1722.5168288205168</v>
      </c>
      <c r="AL40" s="2">
        <v>4.9684786063153297E-8</v>
      </c>
      <c r="AM40" s="2">
        <f t="shared" si="10"/>
        <v>-1.3589515151340719E-15</v>
      </c>
      <c r="AN40" s="2">
        <f t="shared" si="11"/>
        <v>6.2960961504042752E-15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1722.5168286822736</v>
      </c>
      <c r="AH41" s="2">
        <v>-2.7351461540092714E-8</v>
      </c>
      <c r="AI41" s="2">
        <f t="shared" si="14"/>
        <v>1722.5168288205168</v>
      </c>
      <c r="AJ41" s="2">
        <v>4.9684786063153297E-8</v>
      </c>
      <c r="AK41" s="2">
        <f t="shared" si="9"/>
        <v>1722.5168287513952</v>
      </c>
      <c r="AL41" s="2">
        <v>1.116654857469257E-8</v>
      </c>
      <c r="AM41" s="2">
        <f t="shared" si="10"/>
        <v>-3.0542142387628093E-16</v>
      </c>
      <c r="AN41" s="2">
        <f t="shared" si="11"/>
        <v>5.548075769974097E-16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1722.5168286822736</v>
      </c>
      <c r="AH42" s="2">
        <v>-2.7351461540092714E-8</v>
      </c>
      <c r="AI42" s="2">
        <f t="shared" si="14"/>
        <v>1722.5168287513952</v>
      </c>
      <c r="AJ42" s="2">
        <v>1.116654857469257E-8</v>
      </c>
      <c r="AK42" s="2">
        <f t="shared" si="9"/>
        <v>1722.5168287168344</v>
      </c>
      <c r="AL42" s="2">
        <v>-8.092229109024629E-9</v>
      </c>
      <c r="AM42" s="2">
        <f t="shared" si="10"/>
        <v>2.2133429324910587E-16</v>
      </c>
      <c r="AN42" s="2">
        <f t="shared" si="11"/>
        <v>-9.0362269423464694E-17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365.43</v>
      </c>
      <c r="L43" s="6" t="s">
        <v>7</v>
      </c>
      <c r="AF43" s="2">
        <v>39</v>
      </c>
      <c r="AG43" s="2">
        <f t="shared" si="13"/>
        <v>1722.5168287168344</v>
      </c>
      <c r="AH43" s="2">
        <v>-8.092229109024629E-9</v>
      </c>
      <c r="AI43" s="2">
        <f t="shared" si="14"/>
        <v>1722.5168287513952</v>
      </c>
      <c r="AJ43" s="2">
        <v>1.116654857469257E-8</v>
      </c>
      <c r="AK43" s="2">
        <f t="shared" si="9"/>
        <v>1722.5168287341148</v>
      </c>
      <c r="AL43" s="2">
        <v>1.5370460459962487E-9</v>
      </c>
      <c r="AM43" s="2">
        <f t="shared" si="10"/>
        <v>-1.2438128755322053E-17</v>
      </c>
      <c r="AN43" s="2">
        <f t="shared" si="11"/>
        <v>1.7163499334156261E-17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271.14999999999998</v>
      </c>
      <c r="L44" s="6" t="s">
        <v>7</v>
      </c>
      <c r="AF44" s="2">
        <v>40</v>
      </c>
      <c r="AG44" s="2">
        <f t="shared" si="13"/>
        <v>1722.5168287168344</v>
      </c>
      <c r="AH44" s="2">
        <v>-8.092229109024629E-9</v>
      </c>
      <c r="AI44" s="2">
        <f t="shared" si="14"/>
        <v>1722.5168287341148</v>
      </c>
      <c r="AJ44" s="2">
        <v>1.5370460459962487E-9</v>
      </c>
      <c r="AK44" s="5">
        <f t="shared" si="9"/>
        <v>1722.5168287254746</v>
      </c>
      <c r="AL44" s="2">
        <v>-3.2775915315141901E-9</v>
      </c>
      <c r="AM44" s="2">
        <f t="shared" si="10"/>
        <v>2.6523021598811744E-17</v>
      </c>
      <c r="AN44" s="2">
        <f t="shared" si="11"/>
        <v>-5.0378091039046752E-18</v>
      </c>
      <c r="AO44" s="2">
        <f t="shared" si="12"/>
        <v>1.7280399333685637E-8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404.13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81.8</v>
      </c>
      <c r="L46" s="6" t="s">
        <v>7</v>
      </c>
    </row>
    <row r="47" spans="2:41" x14ac:dyDescent="0.2">
      <c r="J47" s="9" t="s">
        <v>60</v>
      </c>
      <c r="K47" s="9">
        <f>SUM(K42:K46)</f>
        <v>1722.51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400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  <mergeCell ref="N18:P18"/>
    <mergeCell ref="B20:D20"/>
    <mergeCell ref="F22:H22"/>
    <mergeCell ref="B27:D27"/>
    <mergeCell ref="F31:H31"/>
    <mergeCell ref="B1:D1"/>
    <mergeCell ref="B3:D3"/>
    <mergeCell ref="F3:H3"/>
    <mergeCell ref="J3:L3"/>
    <mergeCell ref="N3:P3"/>
  </mergeCells>
  <conditionalFormatting sqref="K31">
    <cfRule type="containsText" dxfId="41" priority="1" operator="containsText" text="FALSE">
      <formula>NOT(ISERROR(SEARCH("FALSE",K31)))</formula>
    </cfRule>
    <cfRule type="containsText" dxfId="40" priority="2" operator="containsText" text="TRUE">
      <formula>NOT(ISERROR(SEARCH("TRUE",K31)))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NOT(ISERROR(SEARCH("YES",K31)))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287B-15E3-F74A-8EAB-6E6701AC89FE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339.47170694194017</v>
      </c>
      <c r="L4" s="6" t="s">
        <v>97</v>
      </c>
      <c r="N4" s="6" t="s">
        <v>131</v>
      </c>
      <c r="O4" s="6">
        <f xml:space="preserve"> $C$5 * $C$74</f>
        <v>15240.482786401146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1.1672737505651525</v>
      </c>
      <c r="X4" s="3">
        <v>1</v>
      </c>
      <c r="Y4" s="2">
        <f t="shared" ref="Y4:Y34" si="1" xml:space="preserve"> $O$22 * TAN($O$19/180*PI()) + $O$23 / (2 * SQRT($O$22^2 + X4^2)) - X4</f>
        <v>-3.0768952967952234E-2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0.48677888821302706</v>
      </c>
      <c r="AB4" s="2">
        <f>W4*AA4</f>
        <v>0.56820421854035519</v>
      </c>
      <c r="AC4" s="2">
        <f>Y4*AA4</f>
        <v>-1.4977676717218709E-2</v>
      </c>
      <c r="AD4" s="2">
        <f>X4-V4</f>
        <v>1</v>
      </c>
      <c r="AF4" s="2">
        <v>0</v>
      </c>
      <c r="AH4" s="2">
        <f>K30</f>
        <v>-4.4751556258688652E-3</v>
      </c>
      <c r="AJ4" s="2">
        <f>K30</f>
        <v>-4.4751556258688652E-3</v>
      </c>
      <c r="AL4" s="2">
        <f>K30</f>
        <v>-4.4751556258688652E-3</v>
      </c>
    </row>
    <row r="5" spans="2:41" x14ac:dyDescent="0.2">
      <c r="B5" s="9" t="s">
        <v>38</v>
      </c>
      <c r="C5" s="9">
        <v>1555.06344924475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42.433963367742521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0.48677888821302706</v>
      </c>
      <c r="X5" s="2">
        <f>IF(AC4&gt;0, Z4, X4)</f>
        <v>1</v>
      </c>
      <c r="Y5" s="2">
        <f t="shared" si="1"/>
        <v>-3.0768952967952234E-2</v>
      </c>
      <c r="Z5" s="2">
        <f t="shared" ref="Z5:Z34" si="3" xml:space="preserve"> (V5 + X5)/2</f>
        <v>0.75</v>
      </c>
      <c r="AA5" s="2">
        <f t="shared" si="2"/>
        <v>0.22513803816900835</v>
      </c>
      <c r="AB5" s="2">
        <f t="shared" ref="AB5:AB34" si="4">W5*AA5</f>
        <v>0.10959244391437194</v>
      </c>
      <c r="AC5" s="2">
        <f t="shared" ref="AC5:AC34" si="5">Y5*AA5</f>
        <v>-6.9272617077192527E-3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-658.5824891297043</v>
      </c>
      <c r="AI5" s="3">
        <v>10000</v>
      </c>
      <c r="AJ5" s="2">
        <f t="dataTable" ref="AJ5:AJ44" dt2D="0" dtr="0" r1="C5" ca="1"/>
        <v>4202.4587400203718</v>
      </c>
      <c r="AK5" s="2">
        <f>(AG5+AI5)/2</f>
        <v>5250</v>
      </c>
      <c r="AL5" s="2">
        <f t="dataTable" ref="AL5:AL44" dt2D="0" dtr="0" r1="C5" ca="1"/>
        <v>1814.1796837809593</v>
      </c>
      <c r="AM5" s="2">
        <f>AH5*AL5</f>
        <v>-1194786.971873004</v>
      </c>
      <c r="AN5" s="2">
        <f>AJ5*AL5</f>
        <v>7624015.2680726871</v>
      </c>
      <c r="AO5" s="2">
        <f>AI5-AG5</f>
        <v>9500</v>
      </c>
    </row>
    <row r="6" spans="2:41" x14ac:dyDescent="0.2">
      <c r="B6" s="6" t="s">
        <v>168</v>
      </c>
      <c r="C6" s="16">
        <v>415.75115835305098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153.86959509037189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0.17574864724609005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0.22513803816900835</v>
      </c>
      <c r="X6" s="2">
        <f t="shared" ref="X6:X34" si="8">IF(AC5&gt;0, Z5, X5)</f>
        <v>1</v>
      </c>
      <c r="Y6" s="2">
        <f t="shared" si="1"/>
        <v>-3.0768952967952234E-2</v>
      </c>
      <c r="Z6" s="2">
        <f t="shared" si="3"/>
        <v>0.875</v>
      </c>
      <c r="AA6" s="2">
        <f t="shared" si="2"/>
        <v>9.6768367193575289E-2</v>
      </c>
      <c r="AB6" s="2">
        <f t="shared" si="4"/>
        <v>2.178624034677977E-2</v>
      </c>
      <c r="AC6" s="2">
        <f t="shared" si="5"/>
        <v>-2.97746133896465E-3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-658.5824891297043</v>
      </c>
      <c r="AI6" s="2">
        <f>IF(AN5&gt;0,AK5,AI5)</f>
        <v>5250</v>
      </c>
      <c r="AJ6" s="2">
        <v>1814.1796837809593</v>
      </c>
      <c r="AK6" s="2">
        <f t="shared" ref="AK6:AK44" si="9">(AG6+AI6)/2</f>
        <v>2875</v>
      </c>
      <c r="AL6" s="2">
        <v>741.17386582669201</v>
      </c>
      <c r="AM6" s="2">
        <f t="shared" ref="AM6:AM44" si="10">AH6*AL6</f>
        <v>-488124.12943402829</v>
      </c>
      <c r="AN6" s="2">
        <f t="shared" ref="AN6:AN44" si="11">AJ6*AL6</f>
        <v>1344622.5695321793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1905.2425876746304</v>
      </c>
      <c r="H7" s="6" t="s">
        <v>21</v>
      </c>
      <c r="J7" s="6" t="s">
        <v>133</v>
      </c>
      <c r="K7" s="6">
        <f>K6/$C$28</f>
        <v>153.86959509037189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9.6768367193575289E-2</v>
      </c>
      <c r="X7" s="2">
        <f t="shared" si="8"/>
        <v>1</v>
      </c>
      <c r="Y7" s="2">
        <f t="shared" si="1"/>
        <v>-3.0768952967952234E-2</v>
      </c>
      <c r="Z7" s="2">
        <f t="shared" si="3"/>
        <v>0.9375</v>
      </c>
      <c r="AA7" s="2">
        <f t="shared" si="2"/>
        <v>3.2916124774930888E-2</v>
      </c>
      <c r="AB7" s="2">
        <f t="shared" si="4"/>
        <v>3.1852396488100529E-3</v>
      </c>
      <c r="AC7" s="2">
        <f t="shared" si="5"/>
        <v>-1.0127946950870958E-3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-658.5824891297043</v>
      </c>
      <c r="AI7" s="2">
        <f t="shared" ref="AI7:AI44" si="14">IF(AN6&gt;0,AK6,AI6)</f>
        <v>2875</v>
      </c>
      <c r="AJ7" s="2">
        <v>741.17386582669201</v>
      </c>
      <c r="AK7" s="2">
        <f t="shared" si="9"/>
        <v>1687.5</v>
      </c>
      <c r="AL7" s="2">
        <v>78.953299925318674</v>
      </c>
      <c r="AM7" s="2">
        <f t="shared" si="10"/>
        <v>-51997.260789820466</v>
      </c>
      <c r="AN7" s="2">
        <f t="shared" si="11"/>
        <v>58518.122525422717</v>
      </c>
      <c r="AO7" s="2">
        <f t="shared" si="12"/>
        <v>2375</v>
      </c>
    </row>
    <row r="8" spans="2:41" x14ac:dyDescent="0.2">
      <c r="B8" s="6" t="s">
        <v>91</v>
      </c>
      <c r="C8" s="16">
        <v>1.7454279323503299</v>
      </c>
      <c r="D8" s="6" t="s">
        <v>8</v>
      </c>
      <c r="F8" t="s">
        <v>93</v>
      </c>
      <c r="G8" s="6">
        <f>G10/$C$21</f>
        <v>28.28930891182835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3.2916124774930888E-2</v>
      </c>
      <c r="X8" s="2">
        <f t="shared" si="8"/>
        <v>1</v>
      </c>
      <c r="Y8" s="2">
        <f t="shared" si="1"/>
        <v>-3.0768952967952234E-2</v>
      </c>
      <c r="Z8" s="2">
        <f t="shared" si="3"/>
        <v>0.96875</v>
      </c>
      <c r="AA8" s="2">
        <f t="shared" si="2"/>
        <v>1.0546819707114574E-3</v>
      </c>
      <c r="AB8" s="2">
        <f t="shared" si="4"/>
        <v>3.4716043345808338E-5</v>
      </c>
      <c r="AC8" s="2">
        <f t="shared" si="5"/>
        <v>-3.2451459952968011E-5</v>
      </c>
      <c r="AD8" s="2">
        <f t="shared" si="6"/>
        <v>6.25E-2</v>
      </c>
      <c r="AF8" s="2">
        <v>4</v>
      </c>
      <c r="AG8" s="2">
        <f t="shared" si="13"/>
        <v>500</v>
      </c>
      <c r="AH8" s="2">
        <v>-658.5824891297043</v>
      </c>
      <c r="AI8" s="2">
        <f t="shared" si="14"/>
        <v>1687.5</v>
      </c>
      <c r="AJ8" s="2">
        <v>78.953299925318674</v>
      </c>
      <c r="AK8" s="2">
        <f t="shared" si="9"/>
        <v>1093.75</v>
      </c>
      <c r="AL8" s="2">
        <v>-282.47093789894302</v>
      </c>
      <c r="AM8" s="2">
        <f t="shared" si="10"/>
        <v>186030.41338828803</v>
      </c>
      <c r="AN8" s="2">
        <f t="shared" si="11"/>
        <v>-22302.012680121315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6.8712506113685299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1.0546819707114574E-3</v>
      </c>
      <c r="X9" s="2">
        <f t="shared" si="8"/>
        <v>1</v>
      </c>
      <c r="Y9" s="2">
        <f t="shared" si="1"/>
        <v>-3.0768952967952234E-2</v>
      </c>
      <c r="Z9" s="2">
        <f t="shared" si="3"/>
        <v>0.984375</v>
      </c>
      <c r="AA9" s="2">
        <f t="shared" si="2"/>
        <v>-1.4861639676075233E-2</v>
      </c>
      <c r="AB9" s="2">
        <f t="shared" si="4"/>
        <v>-1.5674303421566612E-5</v>
      </c>
      <c r="AC9" s="2">
        <f t="shared" si="5"/>
        <v>4.5727709221981172E-4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-282.47093789894302</v>
      </c>
      <c r="AI9" s="2">
        <f t="shared" si="14"/>
        <v>1687.5</v>
      </c>
      <c r="AJ9" s="2">
        <v>78.953299925318674</v>
      </c>
      <c r="AK9" s="2">
        <f t="shared" si="9"/>
        <v>1390.625</v>
      </c>
      <c r="AL9" s="2">
        <v>-99.40286513835099</v>
      </c>
      <c r="AM9" s="2">
        <f t="shared" si="10"/>
        <v>28078.420545472152</v>
      </c>
      <c r="AN9" s="2">
        <f t="shared" si="11"/>
        <v>-7848.1842247042296</v>
      </c>
      <c r="AO9" s="2">
        <f t="shared" si="12"/>
        <v>593.75</v>
      </c>
    </row>
    <row r="10" spans="2:41" x14ac:dyDescent="0.2">
      <c r="B10" s="6" t="s">
        <v>134</v>
      </c>
      <c r="C10" s="16">
        <v>1.6128483780265099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226.3144712946268</v>
      </c>
      <c r="H10" s="22" t="s">
        <v>97</v>
      </c>
      <c r="J10" s="6" t="s">
        <v>92</v>
      </c>
      <c r="K10" s="6">
        <f xml:space="preserve"> $C$18 * (G10*G6 + G20*G13 + G29*G25 + G33*G32)/3600</f>
        <v>93.815433813331566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1.0546819707114574E-3</v>
      </c>
      <c r="X10" s="2">
        <f t="shared" si="8"/>
        <v>0.984375</v>
      </c>
      <c r="Y10" s="2">
        <f t="shared" si="1"/>
        <v>-1.4861639676075233E-2</v>
      </c>
      <c r="Z10" s="2">
        <f t="shared" si="3"/>
        <v>0.9765625</v>
      </c>
      <c r="AA10" s="2">
        <f t="shared" si="2"/>
        <v>-6.9046315339130748E-3</v>
      </c>
      <c r="AB10" s="2">
        <f t="shared" si="4"/>
        <v>-7.2821903932239145E-6</v>
      </c>
      <c r="AC10" s="2">
        <f t="shared" si="5"/>
        <v>1.0261414595308275E-4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-99.40286513835099</v>
      </c>
      <c r="AI10" s="2">
        <f t="shared" si="14"/>
        <v>1687.5</v>
      </c>
      <c r="AJ10" s="2">
        <v>78.953299925318674</v>
      </c>
      <c r="AK10" s="2">
        <f t="shared" si="9"/>
        <v>1539.0625</v>
      </c>
      <c r="AL10" s="2">
        <v>-9.6109936647519589</v>
      </c>
      <c r="AM10" s="2">
        <f t="shared" si="10"/>
        <v>955.36030710288469</v>
      </c>
      <c r="AN10" s="2">
        <f t="shared" si="11"/>
        <v>-758.81966539349912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0.88077356270100793</v>
      </c>
      <c r="U11" s="2">
        <v>7</v>
      </c>
      <c r="V11" s="2">
        <f t="shared" si="7"/>
        <v>0.96875</v>
      </c>
      <c r="W11" s="2">
        <f t="shared" si="0"/>
        <v>1.0546819707114574E-3</v>
      </c>
      <c r="X11" s="2">
        <f t="shared" si="8"/>
        <v>0.9765625</v>
      </c>
      <c r="Y11" s="2">
        <f t="shared" si="1"/>
        <v>-6.9046315339130748E-3</v>
      </c>
      <c r="Z11" s="2">
        <f t="shared" si="3"/>
        <v>0.97265625</v>
      </c>
      <c r="AA11" s="2">
        <f t="shared" si="2"/>
        <v>-2.9252663734237183E-3</v>
      </c>
      <c r="AB11" s="2">
        <f t="shared" si="4"/>
        <v>-3.0852257035784853E-6</v>
      </c>
      <c r="AC11" s="2">
        <f t="shared" si="5"/>
        <v>2.0197886447036946E-5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-9.6109936647519589</v>
      </c>
      <c r="AI11" s="2">
        <f t="shared" si="14"/>
        <v>1687.5</v>
      </c>
      <c r="AJ11" s="2">
        <v>78.953299925318674</v>
      </c>
      <c r="AK11" s="2">
        <f t="shared" si="9"/>
        <v>1613.28125</v>
      </c>
      <c r="AL11" s="2">
        <v>34.826706638440669</v>
      </c>
      <c r="AM11" s="2">
        <f t="shared" si="10"/>
        <v>-334.71925686622825</v>
      </c>
      <c r="AN11" s="2">
        <f t="shared" si="11"/>
        <v>2749.6834146358929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0.22404595659151219</v>
      </c>
      <c r="U12" s="2">
        <v>8</v>
      </c>
      <c r="V12" s="2">
        <f t="shared" si="7"/>
        <v>0.96875</v>
      </c>
      <c r="W12" s="2">
        <f t="shared" si="0"/>
        <v>1.0546819707114574E-3</v>
      </c>
      <c r="X12" s="2">
        <f t="shared" si="8"/>
        <v>0.97265625</v>
      </c>
      <c r="Y12" s="2">
        <f t="shared" si="1"/>
        <v>-2.9252663734237183E-3</v>
      </c>
      <c r="Z12" s="2">
        <f t="shared" si="3"/>
        <v>0.970703125</v>
      </c>
      <c r="AA12" s="2">
        <f t="shared" si="2"/>
        <v>-9.3536553291495572E-4</v>
      </c>
      <c r="AB12" s="2">
        <f t="shared" si="4"/>
        <v>-9.8651316359031801E-7</v>
      </c>
      <c r="AC12" s="2">
        <f t="shared" si="5"/>
        <v>2.7361933402956761E-6</v>
      </c>
      <c r="AD12" s="2">
        <f t="shared" si="6"/>
        <v>3.90625E-3</v>
      </c>
      <c r="AF12" s="2">
        <v>8</v>
      </c>
      <c r="AG12" s="2">
        <f t="shared" si="13"/>
        <v>1539.0625</v>
      </c>
      <c r="AH12" s="2">
        <v>-9.6109936647519589</v>
      </c>
      <c r="AI12" s="2">
        <f t="shared" si="14"/>
        <v>1613.28125</v>
      </c>
      <c r="AJ12" s="2">
        <v>34.826706638440669</v>
      </c>
      <c r="AK12" s="2">
        <f t="shared" si="9"/>
        <v>1576.171875</v>
      </c>
      <c r="AL12" s="2">
        <v>12.646514064416806</v>
      </c>
      <c r="AM12" s="2">
        <f t="shared" si="10"/>
        <v>-121.54556655430648</v>
      </c>
      <c r="AN12" s="2">
        <f t="shared" si="11"/>
        <v>440.43643532035804</v>
      </c>
      <c r="AO12" s="2">
        <f t="shared" si="12"/>
        <v>74.21875</v>
      </c>
    </row>
    <row r="13" spans="2:41" x14ac:dyDescent="0.2">
      <c r="B13" s="6" t="s">
        <v>136</v>
      </c>
      <c r="C13" s="16">
        <v>5.6243040010406897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2.1475937633320542E-2</v>
      </c>
      <c r="U13" s="2">
        <v>9</v>
      </c>
      <c r="V13" s="2">
        <f t="shared" si="7"/>
        <v>0.96875</v>
      </c>
      <c r="W13" s="2">
        <f t="shared" si="0"/>
        <v>1.0546819707114574E-3</v>
      </c>
      <c r="X13" s="2">
        <f t="shared" si="8"/>
        <v>0.970703125</v>
      </c>
      <c r="Y13" s="2">
        <f t="shared" si="1"/>
        <v>-9.3536553291495572E-4</v>
      </c>
      <c r="Z13" s="2">
        <f t="shared" si="3"/>
        <v>0.9697265625</v>
      </c>
      <c r="AA13" s="2">
        <f t="shared" si="2"/>
        <v>5.9639831433089263E-5</v>
      </c>
      <c r="AB13" s="2">
        <f t="shared" si="4"/>
        <v>6.2901054948749705E-8</v>
      </c>
      <c r="AC13" s="2">
        <f t="shared" si="5"/>
        <v>-5.5785042711369669E-8</v>
      </c>
      <c r="AD13" s="2">
        <f t="shared" si="6"/>
        <v>1.953125E-3</v>
      </c>
      <c r="AF13" s="2">
        <v>9</v>
      </c>
      <c r="AG13" s="2">
        <f t="shared" si="13"/>
        <v>1539.0625</v>
      </c>
      <c r="AH13" s="2">
        <v>-9.6109936647519589</v>
      </c>
      <c r="AI13" s="2">
        <f t="shared" si="14"/>
        <v>1576.171875</v>
      </c>
      <c r="AJ13" s="2">
        <v>12.646514064416806</v>
      </c>
      <c r="AK13" s="2">
        <f t="shared" si="9"/>
        <v>1557.6171875</v>
      </c>
      <c r="AL13" s="2">
        <v>1.5273931544937795</v>
      </c>
      <c r="AM13" s="2">
        <f t="shared" si="10"/>
        <v>-14.679765931425225</v>
      </c>
      <c r="AN13" s="2">
        <f t="shared" si="11"/>
        <v>19.316199010199533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70.219159642562076</v>
      </c>
      <c r="H14" s="6" t="s">
        <v>10</v>
      </c>
      <c r="J14" s="9" t="s">
        <v>75</v>
      </c>
      <c r="K14" s="17">
        <f>C5</f>
        <v>1555.06344924475</v>
      </c>
      <c r="L14" s="6" t="s">
        <v>7</v>
      </c>
      <c r="N14" s="6" t="s">
        <v>40</v>
      </c>
      <c r="O14" s="6">
        <f xml:space="preserve"> O5 * O13 * $C$12</f>
        <v>1460.8773253569441</v>
      </c>
      <c r="P14" s="6" t="s">
        <v>21</v>
      </c>
      <c r="U14" s="2">
        <v>10</v>
      </c>
      <c r="V14" s="2">
        <f t="shared" si="7"/>
        <v>0.9697265625</v>
      </c>
      <c r="W14" s="2">
        <f t="shared" si="0"/>
        <v>5.9639831433089263E-5</v>
      </c>
      <c r="X14" s="2">
        <f t="shared" si="8"/>
        <v>0.970703125</v>
      </c>
      <c r="Y14" s="2">
        <f t="shared" si="1"/>
        <v>-9.3536553291495572E-4</v>
      </c>
      <c r="Z14" s="2">
        <f t="shared" si="3"/>
        <v>0.97021484375</v>
      </c>
      <c r="AA14" s="2">
        <f t="shared" si="2"/>
        <v>-4.3786744076845796E-4</v>
      </c>
      <c r="AB14" s="2">
        <f t="shared" si="4"/>
        <v>-2.6114340357469031E-8</v>
      </c>
      <c r="AC14" s="2">
        <f t="shared" si="5"/>
        <v>4.0956611208049646E-7</v>
      </c>
      <c r="AD14" s="2">
        <f t="shared" si="6"/>
        <v>9.765625E-4</v>
      </c>
      <c r="AF14" s="2">
        <v>10</v>
      </c>
      <c r="AG14" s="2">
        <f t="shared" si="13"/>
        <v>1539.0625</v>
      </c>
      <c r="AH14" s="2">
        <v>-9.6109936647519589</v>
      </c>
      <c r="AI14" s="2">
        <f t="shared" si="14"/>
        <v>1557.6171875</v>
      </c>
      <c r="AJ14" s="2">
        <v>1.5273931544937795</v>
      </c>
      <c r="AK14" s="2">
        <f t="shared" si="9"/>
        <v>1548.33984375</v>
      </c>
      <c r="AL14" s="2">
        <v>-4.0393962219616242</v>
      </c>
      <c r="AM14" s="2">
        <f t="shared" si="10"/>
        <v>38.822611498696169</v>
      </c>
      <c r="AN14" s="2">
        <f t="shared" si="11"/>
        <v>-6.1697461377122202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0.21104469181596469</v>
      </c>
      <c r="H15" s="6" t="s">
        <v>120</v>
      </c>
      <c r="J15" s="10" t="s">
        <v>53</v>
      </c>
      <c r="K15" s="6">
        <f xml:space="preserve"> 1000 * K10 / ($C$60 * $C$61 * $C$62)</f>
        <v>250.84340591799884</v>
      </c>
      <c r="L15" s="6" t="s">
        <v>7</v>
      </c>
      <c r="N15" s="6" t="s">
        <v>140</v>
      </c>
      <c r="O15" s="6">
        <f>O4/O14</f>
        <v>10.432417918922354</v>
      </c>
      <c r="U15" s="2">
        <v>11</v>
      </c>
      <c r="V15" s="2">
        <f t="shared" si="7"/>
        <v>0.9697265625</v>
      </c>
      <c r="W15" s="2">
        <f t="shared" si="0"/>
        <v>5.9639831433089263E-5</v>
      </c>
      <c r="X15" s="2">
        <f t="shared" si="8"/>
        <v>0.97021484375</v>
      </c>
      <c r="Y15" s="2">
        <f t="shared" si="1"/>
        <v>-4.3786744076845796E-4</v>
      </c>
      <c r="Z15" s="2">
        <f t="shared" si="3"/>
        <v>0.969970703125</v>
      </c>
      <c r="AA15" s="2">
        <f t="shared" si="2"/>
        <v>-1.8911495302842418E-4</v>
      </c>
      <c r="AB15" s="2">
        <f t="shared" si="4"/>
        <v>-1.1278783920091812E-8</v>
      </c>
      <c r="AC15" s="2">
        <f t="shared" si="5"/>
        <v>8.280728049360324E-8</v>
      </c>
      <c r="AD15" s="2">
        <f t="shared" si="6"/>
        <v>4.8828125E-4</v>
      </c>
      <c r="AF15" s="2">
        <v>11</v>
      </c>
      <c r="AG15" s="2">
        <f t="shared" si="13"/>
        <v>1548.33984375</v>
      </c>
      <c r="AH15" s="2">
        <v>-4.0393962219616242</v>
      </c>
      <c r="AI15" s="2">
        <f t="shared" si="14"/>
        <v>1557.6171875</v>
      </c>
      <c r="AJ15" s="2">
        <v>1.5273931544937795</v>
      </c>
      <c r="AK15" s="2">
        <f t="shared" si="9"/>
        <v>1552.978515625</v>
      </c>
      <c r="AL15" s="2">
        <v>-1.2553999058500267</v>
      </c>
      <c r="AM15" s="2">
        <f t="shared" si="10"/>
        <v>5.0710576367415765</v>
      </c>
      <c r="AN15" s="2">
        <f t="shared" si="11"/>
        <v>-1.9174892223474662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1460.8773253569441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113.0634170033303</v>
      </c>
      <c r="L16" s="6" t="s">
        <v>7</v>
      </c>
      <c r="N16" s="6" t="s">
        <v>111</v>
      </c>
      <c r="O16" s="6">
        <f>(O13*$C$12)/(0.3048^2)/($C$5*2.20462/1000)^(2/3)</f>
        <v>3.0501572209582064</v>
      </c>
      <c r="U16" s="2">
        <v>12</v>
      </c>
      <c r="V16" s="2">
        <f t="shared" si="7"/>
        <v>0.9697265625</v>
      </c>
      <c r="W16" s="2">
        <f t="shared" si="0"/>
        <v>5.9639831433089263E-5</v>
      </c>
      <c r="X16" s="2">
        <f t="shared" si="8"/>
        <v>0.969970703125</v>
      </c>
      <c r="Y16" s="2">
        <f t="shared" si="1"/>
        <v>-1.8911495302842418E-4</v>
      </c>
      <c r="Z16" s="2">
        <f t="shared" si="3"/>
        <v>0.9698486328125</v>
      </c>
      <c r="AA16" s="2">
        <f t="shared" si="2"/>
        <v>-6.4737847994655873E-5</v>
      </c>
      <c r="AB16" s="2">
        <f t="shared" si="4"/>
        <v>-3.8609543417422321E-9</v>
      </c>
      <c r="AC16" s="2">
        <f t="shared" si="5"/>
        <v>1.224289508267061E-8</v>
      </c>
      <c r="AD16" s="2">
        <f t="shared" si="6"/>
        <v>2.44140625E-4</v>
      </c>
      <c r="AF16" s="2">
        <v>12</v>
      </c>
      <c r="AG16" s="2">
        <f t="shared" si="13"/>
        <v>1552.978515625</v>
      </c>
      <c r="AH16" s="2">
        <v>-1.2553999058500267</v>
      </c>
      <c r="AI16" s="2">
        <f t="shared" si="14"/>
        <v>1557.6171875</v>
      </c>
      <c r="AJ16" s="2">
        <v>1.5273931544937795</v>
      </c>
      <c r="AK16" s="2">
        <f t="shared" si="9"/>
        <v>1555.2978515625</v>
      </c>
      <c r="AL16" s="2">
        <v>0.13614709578860129</v>
      </c>
      <c r="AM16" s="2">
        <f t="shared" si="10"/>
        <v>-0.17091905123476464</v>
      </c>
      <c r="AN16" s="2">
        <f t="shared" si="11"/>
        <v>0.2079501421117185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102.57973006024793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0.9697265625</v>
      </c>
      <c r="W17" s="2">
        <f t="shared" si="0"/>
        <v>5.9639831433089263E-5</v>
      </c>
      <c r="X17" s="2">
        <f t="shared" si="8"/>
        <v>0.9698486328125</v>
      </c>
      <c r="Y17" s="2">
        <f t="shared" si="1"/>
        <v>-6.4737847994655873E-5</v>
      </c>
      <c r="Z17" s="2">
        <f t="shared" si="3"/>
        <v>0.96978759765625</v>
      </c>
      <c r="AA17" s="2">
        <f t="shared" si="2"/>
        <v>-2.5490800934502289E-6</v>
      </c>
      <c r="AB17" s="2">
        <f t="shared" si="4"/>
        <v>-1.5202670708281508E-10</v>
      </c>
      <c r="AC17" s="2">
        <f t="shared" si="5"/>
        <v>1.650219596159841E-10</v>
      </c>
      <c r="AD17" s="2">
        <f t="shared" si="6"/>
        <v>1.220703125E-4</v>
      </c>
      <c r="AF17" s="2">
        <v>13</v>
      </c>
      <c r="AG17" s="2">
        <f t="shared" si="13"/>
        <v>1552.978515625</v>
      </c>
      <c r="AH17" s="2">
        <v>-1.2553999058500267</v>
      </c>
      <c r="AI17" s="2">
        <f t="shared" si="14"/>
        <v>1555.2978515625</v>
      </c>
      <c r="AJ17" s="2">
        <v>0.13614709578860129</v>
      </c>
      <c r="AK17" s="2">
        <f t="shared" si="9"/>
        <v>1554.13818359375</v>
      </c>
      <c r="AL17" s="2">
        <v>-0.55958882795175668</v>
      </c>
      <c r="AM17" s="2">
        <f t="shared" si="10"/>
        <v>0.70250776192536213</v>
      </c>
      <c r="AN17" s="2">
        <f t="shared" si="11"/>
        <v>-7.6186393761378951E-2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1.453120351865874</v>
      </c>
      <c r="H18" s="6" t="s">
        <v>172</v>
      </c>
      <c r="J18" s="12" t="s">
        <v>54</v>
      </c>
      <c r="K18" s="6">
        <f xml:space="preserve"> $C$78 * (0.2138 * K4 + 0.2138 * K6)</f>
        <v>84.381096299606668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0.9697265625</v>
      </c>
      <c r="W18" s="2">
        <f t="shared" si="0"/>
        <v>5.9639831433089263E-5</v>
      </c>
      <c r="X18" s="2">
        <f t="shared" si="8"/>
        <v>0.96978759765625</v>
      </c>
      <c r="Y18" s="2">
        <f t="shared" si="1"/>
        <v>-2.5490800934502289E-6</v>
      </c>
      <c r="Z18" s="2">
        <f t="shared" si="3"/>
        <v>0.969757080078125</v>
      </c>
      <c r="AA18" s="2">
        <f t="shared" si="2"/>
        <v>2.8545357715015207E-5</v>
      </c>
      <c r="AB18" s="2">
        <f t="shared" si="4"/>
        <v>1.702440322320741E-9</v>
      </c>
      <c r="AC18" s="2">
        <f t="shared" si="5"/>
        <v>-7.2764403111761178E-11</v>
      </c>
      <c r="AD18" s="2">
        <f t="shared" si="6"/>
        <v>6.103515625E-5</v>
      </c>
      <c r="AF18" s="2">
        <v>14</v>
      </c>
      <c r="AG18" s="2">
        <f t="shared" si="13"/>
        <v>1554.13818359375</v>
      </c>
      <c r="AH18" s="2">
        <v>-0.55958882795175668</v>
      </c>
      <c r="AI18" s="2">
        <f t="shared" si="14"/>
        <v>1555.2978515625</v>
      </c>
      <c r="AJ18" s="2">
        <v>0.13614709578860129</v>
      </c>
      <c r="AK18" s="2">
        <f t="shared" si="9"/>
        <v>1554.718017578125</v>
      </c>
      <c r="AL18" s="2">
        <v>-0.21171156909201727</v>
      </c>
      <c r="AM18" s="2">
        <f t="shared" si="10"/>
        <v>0.11847142881202929</v>
      </c>
      <c r="AN18" s="2">
        <f t="shared" si="11"/>
        <v>-2.8823915276725957E-2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4.229220078824153E-2</v>
      </c>
      <c r="J19" s="12" t="s">
        <v>73</v>
      </c>
      <c r="K19" s="6">
        <f xml:space="preserve"> $C$78 * (0.1149 * K4 + 0.1149 * K6)</f>
        <v>45.347932482810123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0.969757080078125</v>
      </c>
      <c r="W19" s="2">
        <f t="shared" si="0"/>
        <v>2.8545357715015207E-5</v>
      </c>
      <c r="X19" s="2">
        <f t="shared" si="8"/>
        <v>0.96978759765625</v>
      </c>
      <c r="Y19" s="2">
        <f t="shared" si="1"/>
        <v>-2.5490800934502289E-6</v>
      </c>
      <c r="Z19" s="2">
        <f t="shared" si="3"/>
        <v>0.9697723388671875</v>
      </c>
      <c r="AA19" s="2">
        <f t="shared" si="2"/>
        <v>1.2998134322317334E-5</v>
      </c>
      <c r="AB19" s="2">
        <f t="shared" si="4"/>
        <v>3.7103639385836509E-10</v>
      </c>
      <c r="AC19" s="2">
        <f t="shared" si="5"/>
        <v>-3.31332854530113E-11</v>
      </c>
      <c r="AD19" s="2">
        <f t="shared" si="6"/>
        <v>3.0517578125E-5</v>
      </c>
      <c r="AF19" s="2">
        <v>15</v>
      </c>
      <c r="AG19" s="2">
        <f t="shared" si="13"/>
        <v>1554.718017578125</v>
      </c>
      <c r="AH19" s="2">
        <v>-0.21171156909201727</v>
      </c>
      <c r="AI19" s="2">
        <f t="shared" si="14"/>
        <v>1555.2978515625</v>
      </c>
      <c r="AJ19" s="2">
        <v>0.13614709578860129</v>
      </c>
      <c r="AK19" s="2">
        <f t="shared" si="9"/>
        <v>1555.0079345703125</v>
      </c>
      <c r="AL19" s="2">
        <v>-3.7780043335715163E-2</v>
      </c>
      <c r="AM19" s="2">
        <f t="shared" si="10"/>
        <v>7.9984722549686672E-3</v>
      </c>
      <c r="AN19" s="2">
        <f t="shared" si="11"/>
        <v>-5.1436431789251202E-3</v>
      </c>
      <c r="AO19" s="2">
        <f t="shared" si="12"/>
        <v>0.579833984375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102.57973006024793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204.43594541013206</v>
      </c>
      <c r="L20" s="6" t="s">
        <v>7</v>
      </c>
      <c r="N20" s="6" t="s">
        <v>20</v>
      </c>
      <c r="O20" s="6">
        <f xml:space="preserve"> O14 / $C$28</f>
        <v>1460.8773253569441</v>
      </c>
      <c r="P20" s="6" t="s">
        <v>21</v>
      </c>
      <c r="U20" s="2">
        <v>16</v>
      </c>
      <c r="V20" s="2">
        <f t="shared" si="7"/>
        <v>0.9697723388671875</v>
      </c>
      <c r="W20" s="2">
        <f t="shared" si="0"/>
        <v>1.2998134322317334E-5</v>
      </c>
      <c r="X20" s="2">
        <f t="shared" si="8"/>
        <v>0.96978759765625</v>
      </c>
      <c r="Y20" s="2">
        <f t="shared" si="1"/>
        <v>-2.5490800934502289E-6</v>
      </c>
      <c r="Z20" s="2">
        <f t="shared" si="3"/>
        <v>0.96977996826171875</v>
      </c>
      <c r="AA20" s="2">
        <f t="shared" si="2"/>
        <v>5.2245259923866527E-6</v>
      </c>
      <c r="AB20" s="2">
        <f t="shared" si="4"/>
        <v>6.7909090619479987E-11</v>
      </c>
      <c r="AC20" s="2">
        <f t="shared" si="5"/>
        <v>-1.3317735204906118E-11</v>
      </c>
      <c r="AD20" s="2">
        <f t="shared" si="6"/>
        <v>1.52587890625E-5</v>
      </c>
      <c r="AF20" s="2">
        <v>16</v>
      </c>
      <c r="AG20" s="2">
        <f t="shared" si="13"/>
        <v>1555.0079345703125</v>
      </c>
      <c r="AH20" s="2">
        <v>-3.7780043335715163E-2</v>
      </c>
      <c r="AI20" s="2">
        <f t="shared" si="14"/>
        <v>1555.2978515625</v>
      </c>
      <c r="AJ20" s="2">
        <v>0.13614709578860129</v>
      </c>
      <c r="AK20" s="2">
        <f t="shared" si="9"/>
        <v>1555.1528930664062</v>
      </c>
      <c r="AL20" s="2">
        <v>4.918423838785202E-2</v>
      </c>
      <c r="AM20" s="2">
        <f t="shared" si="10"/>
        <v>-1.8581826577271946E-3</v>
      </c>
      <c r="AN20" s="2">
        <f t="shared" si="11"/>
        <v>6.6962912150802896E-3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40.431649680363506</v>
      </c>
      <c r="L21" s="6" t="s">
        <v>7</v>
      </c>
      <c r="N21" s="6" t="s">
        <v>27</v>
      </c>
      <c r="O21" s="6">
        <f>$C$6*2*PI()/60</f>
        <v>43.537359493446388</v>
      </c>
      <c r="P21" s="6" t="s">
        <v>28</v>
      </c>
      <c r="U21" s="2">
        <v>17</v>
      </c>
      <c r="V21" s="2">
        <f t="shared" si="7"/>
        <v>0.96977996826171875</v>
      </c>
      <c r="W21" s="2">
        <f t="shared" si="0"/>
        <v>5.2245259923866527E-6</v>
      </c>
      <c r="X21" s="2">
        <f t="shared" si="8"/>
        <v>0.96978759765625</v>
      </c>
      <c r="Y21" s="2">
        <f t="shared" si="1"/>
        <v>-2.5490800934502289E-6</v>
      </c>
      <c r="Z21" s="2">
        <f t="shared" si="3"/>
        <v>0.96978378295898438</v>
      </c>
      <c r="AA21" s="2">
        <f t="shared" si="2"/>
        <v>1.3377226689703647E-6</v>
      </c>
      <c r="AB21" s="2">
        <f t="shared" si="4"/>
        <v>6.9889668546405168E-12</v>
      </c>
      <c r="AC21" s="2">
        <f t="shared" si="5"/>
        <v>-3.4099622260294669E-12</v>
      </c>
      <c r="AD21" s="2">
        <f t="shared" si="6"/>
        <v>7.62939453125E-6</v>
      </c>
      <c r="AF21" s="2">
        <v>17</v>
      </c>
      <c r="AG21" s="2">
        <f t="shared" si="13"/>
        <v>1555.0079345703125</v>
      </c>
      <c r="AH21" s="2">
        <v>-3.7780043335715163E-2</v>
      </c>
      <c r="AI21" s="2">
        <f t="shared" si="14"/>
        <v>1555.1528930664062</v>
      </c>
      <c r="AJ21" s="2">
        <v>4.918423838785202E-2</v>
      </c>
      <c r="AK21" s="2">
        <f t="shared" si="9"/>
        <v>1555.0804138183594</v>
      </c>
      <c r="AL21" s="2">
        <v>5.7022427993160818E-3</v>
      </c>
      <c r="AM21" s="2">
        <f t="shared" si="10"/>
        <v>-2.154309800689313E-4</v>
      </c>
      <c r="AN21" s="2">
        <f t="shared" si="11"/>
        <v>2.8046046918697482E-4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 xml:space="preserve"> $C$79 * (0.04674 * ($C$5*2.20462)^0.397 * ($C$12*3.28084^2)^0.36 * $C$46^0.397 * $C$13^1.712 * 0.453592)</f>
        <v>102.25377923011354</v>
      </c>
      <c r="L22" s="6" t="s">
        <v>7</v>
      </c>
      <c r="N22" s="6" t="s">
        <v>29</v>
      </c>
      <c r="O22" s="6">
        <f xml:space="preserve"> $C$7 * COS(O19/180*PI()) / (O21 * $C$10)</f>
        <v>8.322964153140551E-2</v>
      </c>
      <c r="U22" s="2">
        <v>18</v>
      </c>
      <c r="V22" s="2">
        <f t="shared" si="7"/>
        <v>0.96978378295898438</v>
      </c>
      <c r="W22" s="2">
        <f t="shared" si="0"/>
        <v>1.3377226689703647E-6</v>
      </c>
      <c r="X22" s="2">
        <f t="shared" si="8"/>
        <v>0.96978759765625</v>
      </c>
      <c r="Y22" s="2">
        <f t="shared" si="1"/>
        <v>-2.5490800934502289E-6</v>
      </c>
      <c r="Z22" s="2">
        <f t="shared" si="3"/>
        <v>0.96978569030761719</v>
      </c>
      <c r="AA22" s="2">
        <f t="shared" si="2"/>
        <v>-6.0567878235051609E-7</v>
      </c>
      <c r="AB22" s="2">
        <f t="shared" si="4"/>
        <v>-8.1023023726465299E-13</v>
      </c>
      <c r="AC22" s="2">
        <f t="shared" si="5"/>
        <v>1.5439237271148743E-12</v>
      </c>
      <c r="AD22" s="2">
        <f t="shared" si="6"/>
        <v>3.814697265625E-6</v>
      </c>
      <c r="AF22" s="2">
        <v>18</v>
      </c>
      <c r="AG22" s="2">
        <f t="shared" si="13"/>
        <v>1555.0079345703125</v>
      </c>
      <c r="AH22" s="2">
        <v>-3.7780043335715163E-2</v>
      </c>
      <c r="AI22" s="2">
        <f t="shared" si="14"/>
        <v>1555.0804138183594</v>
      </c>
      <c r="AJ22" s="2">
        <v>5.7022427993160818E-3</v>
      </c>
      <c r="AK22" s="2">
        <f t="shared" si="9"/>
        <v>1555.0441741943359</v>
      </c>
      <c r="AL22" s="2">
        <v>-1.603886395025711E-2</v>
      </c>
      <c r="AM22" s="2">
        <f t="shared" si="10"/>
        <v>6.059489750963533E-4</v>
      </c>
      <c r="AN22" s="2">
        <f t="shared" si="11"/>
        <v>-9.1457496469563894E-5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18.24710354437223</v>
      </c>
      <c r="L23" s="6" t="s">
        <v>7</v>
      </c>
      <c r="N23" s="6" t="s">
        <v>30</v>
      </c>
      <c r="O23" s="6">
        <f xml:space="preserve"> O20 / ( $C$71 * PI() * $C$10^2 * O21^2 * $C$10^2)</f>
        <v>3.5947647011396189E-2</v>
      </c>
      <c r="U23" s="2">
        <v>19</v>
      </c>
      <c r="V23" s="2">
        <f t="shared" si="7"/>
        <v>0.96978378295898438</v>
      </c>
      <c r="W23" s="2">
        <f t="shared" si="0"/>
        <v>1.3377226689703647E-6</v>
      </c>
      <c r="X23" s="2">
        <f t="shared" si="8"/>
        <v>0.96978569030761719</v>
      </c>
      <c r="Y23" s="2">
        <f t="shared" si="1"/>
        <v>-6.0567878235051609E-7</v>
      </c>
      <c r="Z23" s="2">
        <f t="shared" si="3"/>
        <v>0.96978473663330078</v>
      </c>
      <c r="AA23" s="2">
        <f t="shared" si="2"/>
        <v>3.6602192576840054E-7</v>
      </c>
      <c r="AB23" s="2">
        <f t="shared" si="4"/>
        <v>4.8963582744057745E-13</v>
      </c>
      <c r="AC23" s="2">
        <f t="shared" si="5"/>
        <v>-2.2169171431299582E-13</v>
      </c>
      <c r="AD23" s="2">
        <f t="shared" si="6"/>
        <v>1.9073486328125E-6</v>
      </c>
      <c r="AF23" s="2">
        <v>19</v>
      </c>
      <c r="AG23" s="2">
        <f t="shared" si="13"/>
        <v>1555.0441741943359</v>
      </c>
      <c r="AH23" s="2">
        <v>-1.603886395025711E-2</v>
      </c>
      <c r="AI23" s="2">
        <f t="shared" si="14"/>
        <v>1555.0804138183594</v>
      </c>
      <c r="AJ23" s="2">
        <v>5.7022427993160818E-3</v>
      </c>
      <c r="AK23" s="2">
        <f t="shared" si="9"/>
        <v>1555.0622940063477</v>
      </c>
      <c r="AL23" s="2">
        <v>-5.1683014958143758E-3</v>
      </c>
      <c r="AM23" s="2">
        <f t="shared" si="10"/>
        <v>8.2893684545277092E-5</v>
      </c>
      <c r="AN23" s="2">
        <f t="shared" si="11"/>
        <v>-2.9470909989202058E-5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7.1166650632041843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0.96978473663330078</v>
      </c>
      <c r="W24" s="2">
        <f t="shared" si="0"/>
        <v>3.6602192576840054E-7</v>
      </c>
      <c r="X24" s="2">
        <f t="shared" si="8"/>
        <v>0.96978569030761719</v>
      </c>
      <c r="Y24" s="2">
        <f t="shared" si="1"/>
        <v>-6.0567878235051609E-7</v>
      </c>
      <c r="Z24" s="2">
        <f t="shared" si="3"/>
        <v>0.96978521347045898</v>
      </c>
      <c r="AA24" s="2">
        <f t="shared" si="2"/>
        <v>-1.1982843262092757E-7</v>
      </c>
      <c r="AB24" s="2">
        <f t="shared" si="4"/>
        <v>-4.3859833669720934E-14</v>
      </c>
      <c r="AC24" s="2">
        <f t="shared" si="5"/>
        <v>7.2577539160814268E-14</v>
      </c>
      <c r="AD24" s="2">
        <f t="shared" si="6"/>
        <v>9.5367431640625E-7</v>
      </c>
      <c r="AF24" s="2">
        <v>20</v>
      </c>
      <c r="AG24" s="2">
        <f t="shared" si="13"/>
        <v>1555.0622940063477</v>
      </c>
      <c r="AH24" s="2">
        <v>-5.1683014958143758E-3</v>
      </c>
      <c r="AI24" s="2">
        <f t="shared" si="14"/>
        <v>1555.0804138183594</v>
      </c>
      <c r="AJ24" s="2">
        <v>5.7022427993160818E-3</v>
      </c>
      <c r="AK24" s="2">
        <f t="shared" si="9"/>
        <v>1555.0713539123535</v>
      </c>
      <c r="AL24" s="2">
        <v>2.6697292184962862E-4</v>
      </c>
      <c r="AM24" s="2">
        <f t="shared" si="10"/>
        <v>-1.37979655133737E-6</v>
      </c>
      <c r="AN24" s="2">
        <f t="shared" si="11"/>
        <v>1.5223444212294198E-6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15.418126016238304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2785.336964454295</v>
      </c>
      <c r="P25" s="6" t="s">
        <v>19</v>
      </c>
      <c r="U25" s="2">
        <v>21</v>
      </c>
      <c r="V25" s="2">
        <f t="shared" si="7"/>
        <v>0.96978473663330078</v>
      </c>
      <c r="W25" s="2">
        <f t="shared" si="0"/>
        <v>3.6602192576840054E-7</v>
      </c>
      <c r="X25" s="2">
        <f t="shared" si="8"/>
        <v>0.96978521347045898</v>
      </c>
      <c r="Y25" s="2">
        <f t="shared" si="1"/>
        <v>-1.1982843262092757E-7</v>
      </c>
      <c r="Z25" s="2">
        <f t="shared" si="3"/>
        <v>0.96978497505187988</v>
      </c>
      <c r="AA25" s="2">
        <f t="shared" si="2"/>
        <v>1.2309674546351346E-7</v>
      </c>
      <c r="AB25" s="2">
        <f t="shared" si="4"/>
        <v>4.5056107830377815E-14</v>
      </c>
      <c r="AC25" s="2">
        <f t="shared" si="5"/>
        <v>-1.4750490069630096E-14</v>
      </c>
      <c r="AD25" s="2">
        <f t="shared" si="6"/>
        <v>4.76837158203125E-7</v>
      </c>
      <c r="AF25" s="2">
        <v>21</v>
      </c>
      <c r="AG25" s="2">
        <f t="shared" si="13"/>
        <v>1555.0622940063477</v>
      </c>
      <c r="AH25" s="2">
        <v>-5.1683014958143758E-3</v>
      </c>
      <c r="AI25" s="2">
        <f t="shared" si="14"/>
        <v>1555.0713539123535</v>
      </c>
      <c r="AJ25" s="2">
        <v>2.6697292184962862E-4</v>
      </c>
      <c r="AK25" s="2">
        <f t="shared" si="9"/>
        <v>1555.0668239593506</v>
      </c>
      <c r="AL25" s="2">
        <v>-2.4506637195145231E-3</v>
      </c>
      <c r="AM25" s="2">
        <f t="shared" si="10"/>
        <v>1.2665768967304932E-5</v>
      </c>
      <c r="AN25" s="2">
        <f t="shared" si="11"/>
        <v>-6.5426085366967093E-7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1905.2425876746304</v>
      </c>
      <c r="H26" s="6" t="s">
        <v>21</v>
      </c>
      <c r="J26" s="14" t="s">
        <v>65</v>
      </c>
      <c r="K26" s="6">
        <f xml:space="preserve"> $C$80 * (0.0268 * $C$5)</f>
        <v>33.340560351807447</v>
      </c>
      <c r="L26" s="6" t="s">
        <v>7</v>
      </c>
      <c r="N26" s="6" t="s">
        <v>32</v>
      </c>
      <c r="O26" s="17">
        <f>Z34</f>
        <v>0.9697850956581533</v>
      </c>
      <c r="U26" s="2">
        <v>22</v>
      </c>
      <c r="V26" s="2">
        <f t="shared" si="7"/>
        <v>0.96978497505187988</v>
      </c>
      <c r="W26" s="2">
        <f t="shared" si="0"/>
        <v>1.2309674546351346E-7</v>
      </c>
      <c r="X26" s="2">
        <f t="shared" si="8"/>
        <v>0.96978521347045898</v>
      </c>
      <c r="Y26" s="2">
        <f t="shared" si="1"/>
        <v>-1.1982843262092757E-7</v>
      </c>
      <c r="Z26" s="2">
        <f t="shared" si="3"/>
        <v>0.96978509426116943</v>
      </c>
      <c r="AA26" s="2">
        <f t="shared" si="2"/>
        <v>1.6341561437371865E-9</v>
      </c>
      <c r="AB26" s="2">
        <f t="shared" si="4"/>
        <v>2.0115930287325316E-16</v>
      </c>
      <c r="AC26" s="2">
        <f t="shared" si="5"/>
        <v>-1.9581836936188629E-16</v>
      </c>
      <c r="AD26" s="2">
        <f t="shared" si="6"/>
        <v>2.384185791015625E-7</v>
      </c>
      <c r="AF26" s="2">
        <v>22</v>
      </c>
      <c r="AG26" s="2">
        <f t="shared" si="13"/>
        <v>1555.0668239593506</v>
      </c>
      <c r="AH26" s="2">
        <v>-2.4506637195145231E-3</v>
      </c>
      <c r="AI26" s="2">
        <f t="shared" si="14"/>
        <v>1555.0713539123535</v>
      </c>
      <c r="AJ26" s="2">
        <v>2.6697292184962862E-4</v>
      </c>
      <c r="AK26" s="2">
        <f t="shared" si="9"/>
        <v>1555.0690889358521</v>
      </c>
      <c r="AL26" s="2">
        <v>-1.0917142034259086E-3</v>
      </c>
      <c r="AM26" s="2">
        <f t="shared" si="10"/>
        <v>2.6754243904145718E-6</v>
      </c>
      <c r="AN26" s="2">
        <f t="shared" si="11"/>
        <v>-2.9145813071335467E-7</v>
      </c>
      <c r="AO26" s="2">
        <f t="shared" si="12"/>
        <v>4.5299530029296875E-3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24.854586133489946</v>
      </c>
      <c r="H27" t="s">
        <v>97</v>
      </c>
      <c r="J27" s="14" t="s">
        <v>66</v>
      </c>
      <c r="K27" s="6">
        <f xml:space="preserve"> $C$80 * (11.5 * ($C$5*2.20462/1000)^0.4 * 0.453592)</f>
        <v>6.8310262826240322</v>
      </c>
      <c r="L27" s="6" t="s">
        <v>7</v>
      </c>
      <c r="N27" s="6" t="s">
        <v>33</v>
      </c>
      <c r="O27" s="6">
        <f xml:space="preserve"> O21 * $C$10 * O26 - $C$7 * SIN(O19/180*PI())</f>
        <v>1.2966627757571132</v>
      </c>
      <c r="P27" s="6" t="s">
        <v>10</v>
      </c>
      <c r="U27" s="2">
        <v>23</v>
      </c>
      <c r="V27" s="2">
        <f t="shared" si="7"/>
        <v>0.96978509426116943</v>
      </c>
      <c r="W27" s="2">
        <f t="shared" si="0"/>
        <v>1.6341561437371865E-9</v>
      </c>
      <c r="X27" s="2">
        <f t="shared" si="8"/>
        <v>0.96978521347045898</v>
      </c>
      <c r="Y27" s="2">
        <f t="shared" si="1"/>
        <v>-1.1982843262092757E-7</v>
      </c>
      <c r="Z27" s="2">
        <f t="shared" si="3"/>
        <v>0.96978515386581421</v>
      </c>
      <c r="AA27" s="2">
        <f t="shared" si="2"/>
        <v>-5.9097138294106344E-8</v>
      </c>
      <c r="AB27" s="2">
        <f t="shared" si="4"/>
        <v>-9.6573951620600037E-17</v>
      </c>
      <c r="AC27" s="2">
        <f t="shared" si="5"/>
        <v>7.0815174541649604E-15</v>
      </c>
      <c r="AD27" s="2">
        <f t="shared" si="6"/>
        <v>1.1920928955078125E-7</v>
      </c>
      <c r="AF27" s="2">
        <v>23</v>
      </c>
      <c r="AG27" s="2">
        <f t="shared" si="13"/>
        <v>1555.0690889358521</v>
      </c>
      <c r="AH27" s="2">
        <v>-1.0917142034259086E-3</v>
      </c>
      <c r="AI27" s="2">
        <f t="shared" si="14"/>
        <v>1555.0713539123535</v>
      </c>
      <c r="AJ27" s="2">
        <v>2.6697292184962862E-4</v>
      </c>
      <c r="AK27" s="2">
        <f t="shared" si="9"/>
        <v>1555.0702214241028</v>
      </c>
      <c r="AL27" s="2">
        <v>-4.1250165918427228E-4</v>
      </c>
      <c r="AM27" s="2">
        <f t="shared" si="10"/>
        <v>4.5033392026822348E-7</v>
      </c>
      <c r="AN27" s="2">
        <f t="shared" si="11"/>
        <v>-1.1012677322024486E-7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7.8208073999540604</v>
      </c>
      <c r="H28" s="6" t="s">
        <v>172</v>
      </c>
      <c r="J28" s="14" t="s">
        <v>67</v>
      </c>
      <c r="K28" s="6">
        <f xml:space="preserve"> $C$80 * (8 * ($C$5/1000))</f>
        <v>9.952406075166401</v>
      </c>
      <c r="L28" s="6" t="s">
        <v>7</v>
      </c>
      <c r="N28" s="6" t="s">
        <v>34</v>
      </c>
      <c r="O28" s="6">
        <f xml:space="preserve"> 1/$C$31 - O25 * SQRT( (2*$C$71*PI()*$C$10^2) / O20^3 )</f>
        <v>1.1308039080415986</v>
      </c>
      <c r="U28" s="2">
        <v>24</v>
      </c>
      <c r="V28" s="2">
        <f t="shared" si="7"/>
        <v>0.96978509426116943</v>
      </c>
      <c r="W28" s="2">
        <f t="shared" si="0"/>
        <v>1.6341561437371865E-9</v>
      </c>
      <c r="X28" s="2">
        <f t="shared" si="8"/>
        <v>0.96978515386581421</v>
      </c>
      <c r="Y28" s="2">
        <f t="shared" si="1"/>
        <v>-5.9097138294106344E-8</v>
      </c>
      <c r="Z28" s="2">
        <f t="shared" si="3"/>
        <v>0.96978512406349182</v>
      </c>
      <c r="AA28" s="2">
        <f t="shared" si="2"/>
        <v>-2.8731491186206881E-8</v>
      </c>
      <c r="AB28" s="2">
        <f t="shared" si="4"/>
        <v>-4.69517428406708E-17</v>
      </c>
      <c r="AC28" s="2">
        <f t="shared" si="5"/>
        <v>1.6979489080271655E-15</v>
      </c>
      <c r="AD28" s="2">
        <f t="shared" si="6"/>
        <v>5.9604644775390625E-8</v>
      </c>
      <c r="AF28" s="2">
        <v>24</v>
      </c>
      <c r="AG28" s="2">
        <f t="shared" si="13"/>
        <v>1555.0702214241028</v>
      </c>
      <c r="AH28" s="2">
        <v>-4.1250165918427228E-4</v>
      </c>
      <c r="AI28" s="2">
        <f t="shared" si="14"/>
        <v>1555.0713539123535</v>
      </c>
      <c r="AJ28" s="2">
        <v>2.6697292184962862E-4</v>
      </c>
      <c r="AK28" s="2">
        <f t="shared" si="9"/>
        <v>1555.0707876682281</v>
      </c>
      <c r="AL28" s="2">
        <v>-7.2764359856591909E-5</v>
      </c>
      <c r="AM28" s="2">
        <f t="shared" si="10"/>
        <v>3.0015419170325619E-8</v>
      </c>
      <c r="AN28" s="2">
        <f t="shared" si="11"/>
        <v>-1.9426113757432165E-8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198.83668906791956</v>
      </c>
      <c r="H29" s="22" t="s">
        <v>97</v>
      </c>
      <c r="J29" s="14" t="s">
        <v>68</v>
      </c>
      <c r="K29" s="6">
        <f xml:space="preserve"> $C$80 * (13 * ($C$5*2.20462/1000)^1.3 * 0.453592)</f>
        <v>23.404811042608216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0.96978509426116943</v>
      </c>
      <c r="W29" s="2">
        <f t="shared" si="0"/>
        <v>1.6341561437371865E-9</v>
      </c>
      <c r="X29" s="2">
        <f t="shared" si="8"/>
        <v>0.96978512406349182</v>
      </c>
      <c r="Y29" s="2">
        <f t="shared" si="1"/>
        <v>-2.8731491186206881E-8</v>
      </c>
      <c r="Z29" s="2">
        <f t="shared" si="3"/>
        <v>0.96978510916233063</v>
      </c>
      <c r="AA29" s="2">
        <f t="shared" si="2"/>
        <v>-1.3548667521234847E-8</v>
      </c>
      <c r="AB29" s="2">
        <f t="shared" si="4"/>
        <v>-2.2140638269278404E-17</v>
      </c>
      <c r="AC29" s="2">
        <f t="shared" si="5"/>
        <v>3.8927342147120645E-16</v>
      </c>
      <c r="AD29" s="2">
        <f t="shared" si="6"/>
        <v>2.9802322387695312E-8</v>
      </c>
      <c r="AF29" s="2">
        <v>25</v>
      </c>
      <c r="AG29" s="2">
        <f t="shared" si="13"/>
        <v>1555.0707876682281</v>
      </c>
      <c r="AH29" s="2">
        <v>-7.2764359856591909E-5</v>
      </c>
      <c r="AI29" s="2">
        <f t="shared" si="14"/>
        <v>1555.0713539123535</v>
      </c>
      <c r="AJ29" s="2">
        <v>2.6697292184962862E-4</v>
      </c>
      <c r="AK29" s="2">
        <f t="shared" si="9"/>
        <v>1555.0710707902908</v>
      </c>
      <c r="AL29" s="2">
        <v>9.7104282986038015E-5</v>
      </c>
      <c r="AM29" s="2">
        <f t="shared" si="10"/>
        <v>-7.0657309908124053E-9</v>
      </c>
      <c r="AN29" s="2">
        <f t="shared" si="11"/>
        <v>2.592421415289575E-8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-4.4751556258688652E-3</v>
      </c>
      <c r="L30" s="9" t="s">
        <v>7</v>
      </c>
      <c r="N30" s="6" t="s">
        <v>36</v>
      </c>
      <c r="O30" s="6">
        <f xml:space="preserve"> 1/$C$77 * LN( EXP($C$77 * O28) + EXP($C$77 * O29) )</f>
        <v>1.1648700144208566</v>
      </c>
      <c r="U30" s="2">
        <v>26</v>
      </c>
      <c r="V30" s="2">
        <f>IF(AB29&gt;0, Z29, V29)</f>
        <v>0.96978509426116943</v>
      </c>
      <c r="W30" s="2">
        <f t="shared" si="0"/>
        <v>1.6341561437371865E-9</v>
      </c>
      <c r="X30" s="2">
        <f t="shared" si="8"/>
        <v>0.96978510916233063</v>
      </c>
      <c r="Y30" s="2">
        <f t="shared" si="1"/>
        <v>-1.3548667521234847E-8</v>
      </c>
      <c r="Z30" s="2">
        <f t="shared" si="3"/>
        <v>0.96978510171175003</v>
      </c>
      <c r="AA30" s="2">
        <f t="shared" si="2"/>
        <v>-5.9572556887488304E-9</v>
      </c>
      <c r="AB30" s="2">
        <f t="shared" si="4"/>
        <v>-9.7350859835822059E-18</v>
      </c>
      <c r="AC30" s="2">
        <f t="shared" si="5"/>
        <v>8.0712876665842809E-17</v>
      </c>
      <c r="AD30" s="2">
        <f t="shared" si="6"/>
        <v>1.4901161193847656E-8</v>
      </c>
      <c r="AF30" s="2">
        <v>26</v>
      </c>
      <c r="AG30" s="2">
        <f t="shared" si="13"/>
        <v>1555.0707876682281</v>
      </c>
      <c r="AH30" s="2">
        <v>-7.2764359856591909E-5</v>
      </c>
      <c r="AI30" s="2">
        <f t="shared" si="14"/>
        <v>1555.0710707902908</v>
      </c>
      <c r="AJ30" s="2">
        <v>9.7104282986038015E-5</v>
      </c>
      <c r="AK30" s="2">
        <f t="shared" si="9"/>
        <v>1555.0709292292595</v>
      </c>
      <c r="AL30" s="2">
        <v>1.2301015999582887E-5</v>
      </c>
      <c r="AM30" s="2">
        <f t="shared" si="10"/>
        <v>-8.9507555479534386E-10</v>
      </c>
      <c r="AN30" s="2">
        <f t="shared" si="11"/>
        <v>1.1944813386392779E-9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0.96978509426116943</v>
      </c>
      <c r="W31" s="2">
        <f t="shared" si="0"/>
        <v>1.6341561437371865E-9</v>
      </c>
      <c r="X31" s="2">
        <f t="shared" si="8"/>
        <v>0.96978510171175003</v>
      </c>
      <c r="Y31" s="2">
        <f t="shared" si="1"/>
        <v>-5.9572556887488304E-9</v>
      </c>
      <c r="Z31" s="2">
        <f t="shared" si="3"/>
        <v>0.96978509798645973</v>
      </c>
      <c r="AA31" s="2">
        <f t="shared" si="2"/>
        <v>-2.1615498280169732E-9</v>
      </c>
      <c r="AB31" s="2">
        <f t="shared" si="4"/>
        <v>-3.5323099314479956E-18</v>
      </c>
      <c r="AC31" s="2">
        <f t="shared" si="5"/>
        <v>1.2876905009468169E-17</v>
      </c>
      <c r="AD31" s="2">
        <f t="shared" si="6"/>
        <v>7.4505805969238281E-9</v>
      </c>
      <c r="AF31" s="2">
        <v>27</v>
      </c>
      <c r="AG31" s="2">
        <f t="shared" si="13"/>
        <v>1555.0707876682281</v>
      </c>
      <c r="AH31" s="2">
        <v>-7.2764359856591909E-5</v>
      </c>
      <c r="AI31" s="2">
        <f t="shared" si="14"/>
        <v>1555.0709292292595</v>
      </c>
      <c r="AJ31" s="2">
        <v>1.2301015999582887E-5</v>
      </c>
      <c r="AK31" s="2">
        <f t="shared" si="9"/>
        <v>1555.0708584487438</v>
      </c>
      <c r="AL31" s="2">
        <v>-3.0231671757974254E-5</v>
      </c>
      <c r="AM31" s="2">
        <f t="shared" si="10"/>
        <v>2.1997882428636053E-9</v>
      </c>
      <c r="AN31" s="2">
        <f t="shared" si="11"/>
        <v>-3.718802779889794E-10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0.96978509426116943</v>
      </c>
      <c r="W32" s="2">
        <f t="shared" si="0"/>
        <v>1.6341561437371865E-9</v>
      </c>
      <c r="X32" s="2">
        <f t="shared" si="8"/>
        <v>0.96978509798645973</v>
      </c>
      <c r="Y32" s="2">
        <f t="shared" si="1"/>
        <v>-2.1615498280169732E-9</v>
      </c>
      <c r="Z32" s="2">
        <f t="shared" si="3"/>
        <v>0.96978509612381458</v>
      </c>
      <c r="AA32" s="2">
        <f t="shared" si="2"/>
        <v>-2.6369684213989331E-10</v>
      </c>
      <c r="AB32" s="2">
        <f t="shared" si="4"/>
        <v>-4.3092181466700167E-19</v>
      </c>
      <c r="AC32" s="2">
        <f t="shared" si="5"/>
        <v>5.6999386377610529E-19</v>
      </c>
      <c r="AD32" s="2">
        <f t="shared" si="6"/>
        <v>3.7252902984619141E-9</v>
      </c>
      <c r="AF32" s="2">
        <v>28</v>
      </c>
      <c r="AG32" s="2">
        <f t="shared" si="13"/>
        <v>1555.0708584487438</v>
      </c>
      <c r="AH32" s="2">
        <v>-3.0231671757974254E-5</v>
      </c>
      <c r="AI32" s="2">
        <f t="shared" si="14"/>
        <v>1555.0709292292595</v>
      </c>
      <c r="AJ32" s="2">
        <v>1.2301015999582887E-5</v>
      </c>
      <c r="AK32" s="2">
        <f t="shared" si="9"/>
        <v>1555.0708938390017</v>
      </c>
      <c r="AL32" s="2">
        <v>-8.9653274244483327E-6</v>
      </c>
      <c r="AM32" s="2">
        <f t="shared" si="10"/>
        <v>2.7103683589868675E-10</v>
      </c>
      <c r="AN32" s="2">
        <f t="shared" si="11"/>
        <v>-1.1028263608963818E-10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102.57973006024793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0.96978509426116943</v>
      </c>
      <c r="W33" s="2">
        <f t="shared" si="0"/>
        <v>1.6341561437371865E-9</v>
      </c>
      <c r="X33" s="2">
        <f t="shared" si="8"/>
        <v>0.96978509612381458</v>
      </c>
      <c r="Y33" s="2">
        <f t="shared" si="1"/>
        <v>-2.6369684213989331E-10</v>
      </c>
      <c r="Z33" s="2">
        <f t="shared" si="3"/>
        <v>0.96978509519249201</v>
      </c>
      <c r="AA33" s="2">
        <f t="shared" si="2"/>
        <v>6.8522965079864662E-10</v>
      </c>
      <c r="AB33" s="2">
        <f t="shared" si="4"/>
        <v>1.1197722437234953E-18</v>
      </c>
      <c r="AC33" s="2">
        <f t="shared" si="5"/>
        <v>-1.8069289505622493E-19</v>
      </c>
      <c r="AD33" s="2">
        <f t="shared" si="6"/>
        <v>1.862645149230957E-9</v>
      </c>
      <c r="AF33" s="2">
        <v>29</v>
      </c>
      <c r="AG33" s="2">
        <f t="shared" si="13"/>
        <v>1555.0708938390017</v>
      </c>
      <c r="AH33" s="2">
        <v>-8.9653274244483327E-6</v>
      </c>
      <c r="AI33" s="2">
        <f t="shared" si="14"/>
        <v>1555.0709292292595</v>
      </c>
      <c r="AJ33" s="2">
        <v>1.2301015999582887E-5</v>
      </c>
      <c r="AK33" s="2">
        <f t="shared" si="9"/>
        <v>1555.0709115341306</v>
      </c>
      <c r="AL33" s="2">
        <v>1.6678438896633452E-6</v>
      </c>
      <c r="AM33" s="2">
        <f t="shared" si="10"/>
        <v>-1.4952766563697368E-11</v>
      </c>
      <c r="AN33" s="2">
        <f t="shared" si="11"/>
        <v>2.0516174371555365E-11</v>
      </c>
      <c r="AO33" s="2">
        <f t="shared" si="12"/>
        <v>3.5390257835388184E-5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38.58</v>
      </c>
      <c r="L34" s="6" t="s">
        <v>59</v>
      </c>
      <c r="U34" s="2">
        <v>30</v>
      </c>
      <c r="V34" s="2">
        <f t="shared" si="7"/>
        <v>0.96978509519249201</v>
      </c>
      <c r="W34" s="2">
        <f t="shared" si="0"/>
        <v>6.8522965079864662E-10</v>
      </c>
      <c r="X34" s="2">
        <f t="shared" si="8"/>
        <v>0.96978509612381458</v>
      </c>
      <c r="Y34" s="2">
        <f t="shared" si="1"/>
        <v>-2.6369684213989331E-10</v>
      </c>
      <c r="Z34" s="2">
        <f t="shared" si="3"/>
        <v>0.9697850956581533</v>
      </c>
      <c r="AA34" s="2">
        <f t="shared" si="2"/>
        <v>2.1076640432937666E-10</v>
      </c>
      <c r="AB34" s="2">
        <f t="shared" si="4"/>
        <v>1.4442338963870513E-19</v>
      </c>
      <c r="AC34" s="2">
        <f t="shared" si="5"/>
        <v>-5.5578435250836561E-20</v>
      </c>
      <c r="AD34" s="2">
        <f t="shared" si="6"/>
        <v>9.3132257461547852E-10</v>
      </c>
      <c r="AF34" s="2">
        <v>30</v>
      </c>
      <c r="AG34" s="2">
        <f t="shared" si="13"/>
        <v>1555.0708938390017</v>
      </c>
      <c r="AH34" s="2">
        <v>-8.9653274244483327E-6</v>
      </c>
      <c r="AI34" s="2">
        <f t="shared" si="14"/>
        <v>1555.0709115341306</v>
      </c>
      <c r="AJ34" s="2">
        <v>1.6678438896633452E-6</v>
      </c>
      <c r="AK34" s="2">
        <f t="shared" si="9"/>
        <v>1555.0709026865661</v>
      </c>
      <c r="AL34" s="2">
        <v>-3.6487418810793315E-6</v>
      </c>
      <c r="AM34" s="2">
        <f t="shared" si="10"/>
        <v>3.2712165651173728E-11</v>
      </c>
      <c r="AN34" s="2">
        <f t="shared" si="11"/>
        <v>-6.0855318513169031E-12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16.13</v>
      </c>
      <c r="L35" s="6" t="s">
        <v>59</v>
      </c>
      <c r="AF35" s="2">
        <v>31</v>
      </c>
      <c r="AG35" s="2">
        <f t="shared" si="13"/>
        <v>1555.0709026865661</v>
      </c>
      <c r="AH35" s="2">
        <v>-3.6487418810793315E-6</v>
      </c>
      <c r="AI35" s="2">
        <f t="shared" si="14"/>
        <v>1555.0709115341306</v>
      </c>
      <c r="AJ35" s="2">
        <v>1.6678438896633452E-6</v>
      </c>
      <c r="AK35" s="2">
        <f t="shared" si="9"/>
        <v>1555.0709071103483</v>
      </c>
      <c r="AL35" s="2">
        <v>-9.9044871149089886E-7</v>
      </c>
      <c r="AM35" s="2">
        <f t="shared" si="10"/>
        <v>3.6138916946779024E-12</v>
      </c>
      <c r="AN35" s="2">
        <f t="shared" si="11"/>
        <v>-1.6519138314850291E-12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15.61</v>
      </c>
      <c r="L36" s="6" t="s">
        <v>59</v>
      </c>
      <c r="AF36" s="2">
        <v>32</v>
      </c>
      <c r="AG36" s="2">
        <f t="shared" si="13"/>
        <v>1555.0709071103483</v>
      </c>
      <c r="AH36" s="2">
        <v>-9.9044871149089886E-7</v>
      </c>
      <c r="AI36" s="2">
        <f t="shared" si="14"/>
        <v>1555.0709115341306</v>
      </c>
      <c r="AJ36" s="2">
        <v>1.6678438896633452E-6</v>
      </c>
      <c r="AK36" s="2">
        <f t="shared" si="9"/>
        <v>1555.0709093222395</v>
      </c>
      <c r="AL36" s="2">
        <v>3.3869764592964202E-7</v>
      </c>
      <c r="AM36" s="2">
        <f t="shared" si="10"/>
        <v>-3.3546264699601462E-13</v>
      </c>
      <c r="AN36" s="2">
        <f t="shared" si="11"/>
        <v>5.6489479920711262E-13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24.94</v>
      </c>
      <c r="L37" s="6" t="s">
        <v>59</v>
      </c>
      <c r="AF37" s="2">
        <v>33</v>
      </c>
      <c r="AG37" s="2">
        <f t="shared" si="13"/>
        <v>1555.0709071103483</v>
      </c>
      <c r="AH37" s="2">
        <v>-9.9044871149089886E-7</v>
      </c>
      <c r="AI37" s="2">
        <f t="shared" si="14"/>
        <v>1555.0709093222395</v>
      </c>
      <c r="AJ37" s="2">
        <v>3.3869764592964202E-7</v>
      </c>
      <c r="AK37" s="2">
        <f t="shared" si="9"/>
        <v>1555.0709082162939</v>
      </c>
      <c r="AL37" s="2">
        <v>-3.2587558962404728E-7</v>
      </c>
      <c r="AM37" s="2">
        <f t="shared" si="10"/>
        <v>3.2276305784947456E-13</v>
      </c>
      <c r="AN37" s="2">
        <f t="shared" si="11"/>
        <v>-1.1037329507159889E-13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4.7300000000000004</v>
      </c>
      <c r="L38" s="6" t="s">
        <v>59</v>
      </c>
      <c r="AF38" s="2">
        <v>34</v>
      </c>
      <c r="AG38" s="2">
        <f t="shared" si="13"/>
        <v>1555.0709082162939</v>
      </c>
      <c r="AH38" s="2">
        <v>-3.2587558962404728E-7</v>
      </c>
      <c r="AI38" s="2">
        <f t="shared" si="14"/>
        <v>1555.0709093222395</v>
      </c>
      <c r="AJ38" s="2">
        <v>3.3869764592964202E-7</v>
      </c>
      <c r="AK38" s="2">
        <f t="shared" si="9"/>
        <v>1555.0709087692667</v>
      </c>
      <c r="AL38" s="2">
        <v>6.4110281527973711E-9</v>
      </c>
      <c r="AM38" s="2">
        <f t="shared" si="10"/>
        <v>-2.08919757938921E-15</v>
      </c>
      <c r="AN38" s="2">
        <f t="shared" si="11"/>
        <v>2.1714001433411309E-15</v>
      </c>
      <c r="AO38" s="2">
        <f t="shared" si="12"/>
        <v>1.1059455573558807E-6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99.99</v>
      </c>
      <c r="L39" s="9" t="s">
        <v>59</v>
      </c>
      <c r="AF39" s="2">
        <v>35</v>
      </c>
      <c r="AG39" s="2">
        <f t="shared" si="13"/>
        <v>1555.0709082162939</v>
      </c>
      <c r="AH39" s="2">
        <v>-3.2587558962404728E-7</v>
      </c>
      <c r="AI39" s="2">
        <f t="shared" si="14"/>
        <v>1555.0709087692667</v>
      </c>
      <c r="AJ39" s="2">
        <v>6.4110281527973711E-9</v>
      </c>
      <c r="AK39" s="2">
        <f t="shared" si="9"/>
        <v>1555.0709084927803</v>
      </c>
      <c r="AL39" s="2">
        <v>-1.5973216704878723E-7</v>
      </c>
      <c r="AM39" s="2">
        <f t="shared" si="10"/>
        <v>5.2052814118950355E-14</v>
      </c>
      <c r="AN39" s="2">
        <f t="shared" si="11"/>
        <v>-1.0240474198571075E-15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1555.0709084927803</v>
      </c>
      <c r="AH40" s="2">
        <v>-1.5973216704878723E-7</v>
      </c>
      <c r="AI40" s="2">
        <f t="shared" si="14"/>
        <v>1555.0709087692667</v>
      </c>
      <c r="AJ40" s="2">
        <v>6.4110281527973711E-9</v>
      </c>
      <c r="AK40" s="2">
        <f t="shared" si="9"/>
        <v>1555.0709086310235</v>
      </c>
      <c r="AL40" s="2">
        <v>-7.6660398917738348E-8</v>
      </c>
      <c r="AM40" s="2">
        <f t="shared" si="10"/>
        <v>1.224513164595485E-14</v>
      </c>
      <c r="AN40" s="2">
        <f t="shared" si="11"/>
        <v>-4.9147197566629767E-16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1555.0709086310235</v>
      </c>
      <c r="AH41" s="2">
        <v>-7.6660398917738348E-8</v>
      </c>
      <c r="AI41" s="2">
        <f t="shared" si="14"/>
        <v>1555.0709087692667</v>
      </c>
      <c r="AJ41" s="2">
        <v>6.4110281527973711E-9</v>
      </c>
      <c r="AK41" s="2">
        <f t="shared" si="9"/>
        <v>1555.0709087001451</v>
      </c>
      <c r="AL41" s="2">
        <v>-3.512479906930821E-8</v>
      </c>
      <c r="AM41" s="2">
        <f t="shared" si="10"/>
        <v>2.6926811085585721E-15</v>
      </c>
      <c r="AN41" s="2">
        <f t="shared" si="11"/>
        <v>-2.2518607569468584E-16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1555.0709087001451</v>
      </c>
      <c r="AH42" s="2">
        <v>-3.512479906930821E-8</v>
      </c>
      <c r="AI42" s="2">
        <f t="shared" si="14"/>
        <v>1555.0709087692667</v>
      </c>
      <c r="AJ42" s="2">
        <v>-3.512479906930821E-8</v>
      </c>
      <c r="AK42" s="2">
        <f t="shared" si="9"/>
        <v>1555.0709087347059</v>
      </c>
      <c r="AL42" s="2">
        <v>-1.435694230167428E-8</v>
      </c>
      <c r="AM42" s="2">
        <f t="shared" si="10"/>
        <v>5.0428471359596043E-16</v>
      </c>
      <c r="AN42" s="2">
        <f t="shared" si="11"/>
        <v>5.0428471359596043E-16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250.84</v>
      </c>
      <c r="L43" s="6" t="s">
        <v>7</v>
      </c>
      <c r="AF43" s="2">
        <v>39</v>
      </c>
      <c r="AG43" s="2">
        <f t="shared" si="13"/>
        <v>1555.0709087347059</v>
      </c>
      <c r="AH43" s="2">
        <v>-1.435694230167428E-8</v>
      </c>
      <c r="AI43" s="2">
        <f t="shared" si="14"/>
        <v>1555.0709087347059</v>
      </c>
      <c r="AJ43" s="2">
        <v>-3.512479906930821E-8</v>
      </c>
      <c r="AK43" s="2">
        <f t="shared" si="9"/>
        <v>1555.0709087347059</v>
      </c>
      <c r="AL43" s="2">
        <v>-1.435694230167428E-8</v>
      </c>
      <c r="AM43" s="2">
        <f t="shared" si="10"/>
        <v>2.0612179225360438E-16</v>
      </c>
      <c r="AN43" s="2">
        <f t="shared" si="11"/>
        <v>5.0428471359596043E-16</v>
      </c>
      <c r="AO43" s="2">
        <f t="shared" si="12"/>
        <v>0</v>
      </c>
    </row>
    <row r="44" spans="2:41" x14ac:dyDescent="0.2">
      <c r="J44" s="18" t="s">
        <v>74</v>
      </c>
      <c r="K44" s="6">
        <f>ROUND(SUM(K16:K19), 2)</f>
        <v>242.79</v>
      </c>
      <c r="L44" s="6" t="s">
        <v>7</v>
      </c>
      <c r="AF44" s="2">
        <v>40</v>
      </c>
      <c r="AG44" s="2">
        <f t="shared" si="13"/>
        <v>1555.0709087347059</v>
      </c>
      <c r="AH44" s="2">
        <v>-1.435694230167428E-8</v>
      </c>
      <c r="AI44" s="2">
        <f t="shared" si="14"/>
        <v>1555.0709087347059</v>
      </c>
      <c r="AJ44" s="2">
        <v>-3.512479906930821E-8</v>
      </c>
      <c r="AK44" s="5">
        <f t="shared" si="9"/>
        <v>1555.0709087347059</v>
      </c>
      <c r="AL44" s="2">
        <v>-1.435694230167428E-8</v>
      </c>
      <c r="AM44" s="2">
        <f t="shared" si="10"/>
        <v>2.0612179225360438E-16</v>
      </c>
      <c r="AN44" s="2">
        <f t="shared" si="11"/>
        <v>5.0428471359596043E-16</v>
      </c>
      <c r="AO44" s="2">
        <f t="shared" si="12"/>
        <v>0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387.9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73.53</v>
      </c>
      <c r="L46" s="6" t="s">
        <v>7</v>
      </c>
    </row>
    <row r="47" spans="2:41" x14ac:dyDescent="0.2">
      <c r="J47" s="9" t="s">
        <v>60</v>
      </c>
      <c r="K47" s="9">
        <f>SUM(K42:K46)</f>
        <v>1555.0600000000002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550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  <mergeCell ref="N18:P18"/>
    <mergeCell ref="B20:D20"/>
    <mergeCell ref="F22:H22"/>
    <mergeCell ref="B27:D27"/>
    <mergeCell ref="F31:H31"/>
    <mergeCell ref="B1:D1"/>
    <mergeCell ref="B3:D3"/>
    <mergeCell ref="F3:H3"/>
    <mergeCell ref="J3:L3"/>
    <mergeCell ref="N3:P3"/>
  </mergeCells>
  <conditionalFormatting sqref="K31">
    <cfRule type="containsText" dxfId="35" priority="1" operator="containsText" text="FALSE">
      <formula>NOT(ISERROR(SEARCH("FALSE",K31)))</formula>
    </cfRule>
    <cfRule type="containsText" dxfId="34" priority="2" operator="containsText" text="TRUE">
      <formula>NOT(ISERROR(SEARCH("TRUE",K31)))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NOT(ISERROR(SEARCH("YES",K31)))</formula>
    </cfRule>
    <cfRule type="cellIs" dxfId="30" priority="6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D9D-F2B2-6B44-A3B6-9B79311720B3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312.66545287580817</v>
      </c>
      <c r="L4" s="6" t="s">
        <v>97</v>
      </c>
      <c r="N4" s="6" t="s">
        <v>131</v>
      </c>
      <c r="O4" s="6">
        <f xml:space="preserve"> $C$5 * $C$74</f>
        <v>14391.277860756354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1.1637599741968216</v>
      </c>
      <c r="X4" s="3">
        <v>1</v>
      </c>
      <c r="Y4" s="2">
        <f t="shared" ref="Y4:Y34" si="1" xml:space="preserve"> $O$22 * TAN($O$19/180*PI()) + $O$23 / (2 * SQRT($O$22^2 + X4^2)) - X4</f>
        <v>-3.1060395620746029E-2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0.48620192632996828</v>
      </c>
      <c r="AB4" s="2">
        <f>W4*AA4</f>
        <v>0.56582234124020891</v>
      </c>
      <c r="AC4" s="2">
        <f>Y4*AA4</f>
        <v>-1.510162418337763E-2</v>
      </c>
      <c r="AD4" s="2">
        <f>X4-V4</f>
        <v>1</v>
      </c>
      <c r="AF4" s="2">
        <v>0</v>
      </c>
      <c r="AH4" s="2">
        <f>K30</f>
        <v>-4.8021927195804892E-3</v>
      </c>
      <c r="AJ4" s="2">
        <f>K30</f>
        <v>-4.8021927195804892E-3</v>
      </c>
      <c r="AL4" s="2">
        <f>K30</f>
        <v>-4.8021927195804892E-3</v>
      </c>
    </row>
    <row r="5" spans="2:41" x14ac:dyDescent="0.2">
      <c r="B5" s="9" t="s">
        <v>38</v>
      </c>
      <c r="C5" s="9">
        <v>1468.4147807414699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39.083181609476021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0.48620192632996828</v>
      </c>
      <c r="X5" s="2">
        <f>IF(AC4&gt;0, Z4, X4)</f>
        <v>1</v>
      </c>
      <c r="Y5" s="2">
        <f t="shared" si="1"/>
        <v>-3.1060395620746029E-2</v>
      </c>
      <c r="Z5" s="2">
        <f t="shared" ref="Z5:Z34" si="3" xml:space="preserve"> (V5 + X5)/2</f>
        <v>0.75</v>
      </c>
      <c r="AA5" s="2">
        <f t="shared" si="2"/>
        <v>0.22475048343352511</v>
      </c>
      <c r="AB5" s="2">
        <f t="shared" ref="AB5:AB34" si="4">W5*AA5</f>
        <v>0.10927411798897153</v>
      </c>
      <c r="AC5" s="2">
        <f t="shared" ref="AC5:AC34" si="5">Y5*AA5</f>
        <v>-6.9808389313992161E-3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-619.21829659562343</v>
      </c>
      <c r="AI5" s="3">
        <v>10000</v>
      </c>
      <c r="AJ5" s="2">
        <f t="dataTable" ref="AJ5:AJ44" dt2D="0" dtr="0" r1="C5"/>
        <v>4479.8516830787466</v>
      </c>
      <c r="AK5" s="2">
        <f>(AG5+AI5)/2</f>
        <v>5250</v>
      </c>
      <c r="AL5" s="2">
        <f t="dataTable" ref="AL5:AL44" dt2D="0" dtr="0" r1="C5" ca="1"/>
        <v>1991.4512954542943</v>
      </c>
      <c r="AM5" s="2">
        <f>AH5*AL5</f>
        <v>-1233143.0789243558</v>
      </c>
      <c r="AN5" s="2">
        <f>AJ5*AL5</f>
        <v>8921406.4377102703</v>
      </c>
      <c r="AO5" s="2">
        <f>AI5-AG5</f>
        <v>9500</v>
      </c>
    </row>
    <row r="6" spans="2:41" x14ac:dyDescent="0.2">
      <c r="B6" s="6" t="s">
        <v>168</v>
      </c>
      <c r="C6" s="16">
        <v>415.75115835305098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151.37721095851589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0.16915794999996281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0.22475048343352511</v>
      </c>
      <c r="X6" s="2">
        <f t="shared" ref="X6:X34" si="8">IF(AC5&gt;0, Z5, X5)</f>
        <v>1</v>
      </c>
      <c r="Y6" s="2">
        <f t="shared" si="1"/>
        <v>-3.1060395620746029E-2</v>
      </c>
      <c r="Z6" s="2">
        <f t="shared" si="3"/>
        <v>0.875</v>
      </c>
      <c r="AA6" s="2">
        <f t="shared" si="2"/>
        <v>9.643564004931704E-2</v>
      </c>
      <c r="AB6" s="2">
        <f t="shared" si="4"/>
        <v>2.1673956721305419E-2</v>
      </c>
      <c r="AC6" s="2">
        <f t="shared" si="5"/>
        <v>-2.9953291318716474E-3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-619.21829659562343</v>
      </c>
      <c r="AI6" s="2">
        <f>IF(AN5&gt;0,AK5,AI5)</f>
        <v>5250</v>
      </c>
      <c r="AJ6" s="2">
        <v>1991.4512954542943</v>
      </c>
      <c r="AK6" s="2">
        <f t="shared" ref="AK6:AK44" si="9">(AG6+AI6)/2</f>
        <v>2875</v>
      </c>
      <c r="AL6" s="2">
        <v>826.43005891083862</v>
      </c>
      <c r="AM6" s="2">
        <f t="shared" ref="AM6:AM44" si="10">AH6*AL6</f>
        <v>-511740.61333419022</v>
      </c>
      <c r="AN6" s="2">
        <f t="shared" ref="AN6:AN44" si="11">AJ6*AL6</f>
        <v>1645795.2114203584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1799.0818175286095</v>
      </c>
      <c r="H7" s="6" t="s">
        <v>21</v>
      </c>
      <c r="J7" s="6" t="s">
        <v>133</v>
      </c>
      <c r="K7" s="6">
        <f>K6/$C$28</f>
        <v>151.37721095851589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9.643564004931704E-2</v>
      </c>
      <c r="X7" s="2">
        <f t="shared" si="8"/>
        <v>1</v>
      </c>
      <c r="Y7" s="2">
        <f t="shared" si="1"/>
        <v>-3.1060395620746029E-2</v>
      </c>
      <c r="Z7" s="2">
        <f t="shared" si="3"/>
        <v>0.9375</v>
      </c>
      <c r="AA7" s="2">
        <f t="shared" si="2"/>
        <v>3.2605399836557747E-2</v>
      </c>
      <c r="AB7" s="2">
        <f t="shared" si="4"/>
        <v>3.1443226023023436E-3</v>
      </c>
      <c r="AC7" s="2">
        <f t="shared" si="5"/>
        <v>-1.0127366182960916E-3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-619.21829659562343</v>
      </c>
      <c r="AI7" s="2">
        <f t="shared" ref="AI7:AI44" si="14">IF(AN6&gt;0,AK6,AI6)</f>
        <v>2875</v>
      </c>
      <c r="AJ7" s="2">
        <v>826.43005891083862</v>
      </c>
      <c r="AK7" s="2">
        <f t="shared" si="9"/>
        <v>1687.5</v>
      </c>
      <c r="AL7" s="2">
        <v>135.21536971722946</v>
      </c>
      <c r="AM7" s="2">
        <f t="shared" si="10"/>
        <v>-83727.83090985028</v>
      </c>
      <c r="AN7" s="2">
        <f t="shared" si="11"/>
        <v>111746.04596106076</v>
      </c>
      <c r="AO7" s="2">
        <f t="shared" si="12"/>
        <v>2375</v>
      </c>
    </row>
    <row r="8" spans="2:41" x14ac:dyDescent="0.2">
      <c r="B8" s="6" t="s">
        <v>91</v>
      </c>
      <c r="C8" s="16">
        <v>1.7454279323503299</v>
      </c>
      <c r="D8" s="6" t="s">
        <v>8</v>
      </c>
      <c r="F8" t="s">
        <v>93</v>
      </c>
      <c r="G8" s="6">
        <f>G10/$C$21</f>
        <v>26.055454406317349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3.2605399836557747E-2</v>
      </c>
      <c r="X8" s="2">
        <f t="shared" si="8"/>
        <v>1</v>
      </c>
      <c r="Y8" s="2">
        <f t="shared" si="1"/>
        <v>-3.1060395620746029E-2</v>
      </c>
      <c r="Z8" s="2">
        <f t="shared" si="3"/>
        <v>0.96875</v>
      </c>
      <c r="AA8" s="2">
        <f t="shared" si="2"/>
        <v>7.5390575919376257E-4</v>
      </c>
      <c r="AB8" s="2">
        <f t="shared" si="4"/>
        <v>2.458139871759625E-5</v>
      </c>
      <c r="AC8" s="2">
        <f t="shared" si="5"/>
        <v>-2.3416611141317153E-5</v>
      </c>
      <c r="AD8" s="2">
        <f t="shared" si="6"/>
        <v>6.25E-2</v>
      </c>
      <c r="AF8" s="2">
        <v>4</v>
      </c>
      <c r="AG8" s="2">
        <f t="shared" si="13"/>
        <v>500</v>
      </c>
      <c r="AH8" s="2">
        <v>-619.21829659562343</v>
      </c>
      <c r="AI8" s="2">
        <f t="shared" si="14"/>
        <v>1687.5</v>
      </c>
      <c r="AJ8" s="2">
        <v>135.21536971722946</v>
      </c>
      <c r="AK8" s="2">
        <f t="shared" si="9"/>
        <v>1093.75</v>
      </c>
      <c r="AL8" s="2">
        <v>-236.27434255427806</v>
      </c>
      <c r="AM8" s="2">
        <f t="shared" si="10"/>
        <v>146305.39592571088</v>
      </c>
      <c r="AN8" s="2">
        <f t="shared" si="11"/>
        <v>-31947.922583172032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7.0446611573268187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7.5390575919376257E-4</v>
      </c>
      <c r="X9" s="2">
        <f t="shared" si="8"/>
        <v>1</v>
      </c>
      <c r="Y9" s="2">
        <f t="shared" si="1"/>
        <v>-3.1060395620746029E-2</v>
      </c>
      <c r="Z9" s="2">
        <f t="shared" si="3"/>
        <v>0.984375</v>
      </c>
      <c r="AA9" s="2">
        <f t="shared" si="2"/>
        <v>-1.5157675821194316E-2</v>
      </c>
      <c r="AB9" s="2">
        <f t="shared" si="4"/>
        <v>-1.142745909759044E-5</v>
      </c>
      <c r="AC9" s="2">
        <f t="shared" si="5"/>
        <v>4.7080340769731189E-4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-236.27434255427806</v>
      </c>
      <c r="AI9" s="2">
        <f t="shared" si="14"/>
        <v>1687.5</v>
      </c>
      <c r="AJ9" s="2">
        <v>135.21536971722946</v>
      </c>
      <c r="AK9" s="2">
        <f t="shared" si="9"/>
        <v>1390.625</v>
      </c>
      <c r="AL9" s="2">
        <v>-48.557907148643721</v>
      </c>
      <c r="AM9" s="2">
        <f t="shared" si="10"/>
        <v>11472.987587357475</v>
      </c>
      <c r="AN9" s="2">
        <f t="shared" si="11"/>
        <v>-6565.7753677987603</v>
      </c>
      <c r="AO9" s="2">
        <f t="shared" si="12"/>
        <v>593.75</v>
      </c>
    </row>
    <row r="10" spans="2:41" x14ac:dyDescent="0.2">
      <c r="B10" s="6" t="s">
        <v>134</v>
      </c>
      <c r="C10" s="16">
        <v>1.6128483780265099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208.44363525053879</v>
      </c>
      <c r="H10" s="22" t="s">
        <v>97</v>
      </c>
      <c r="J10" s="6" t="s">
        <v>92</v>
      </c>
      <c r="K10" s="6">
        <f xml:space="preserve"> $C$18 * (G10*G6 + G20*G13 + G29*G25 + G33*G32)/3600</f>
        <v>91.090952909323434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7.5390575919376257E-4</v>
      </c>
      <c r="X10" s="2">
        <f t="shared" si="8"/>
        <v>0.984375</v>
      </c>
      <c r="Y10" s="2">
        <f t="shared" si="1"/>
        <v>-1.5157675821194316E-2</v>
      </c>
      <c r="Z10" s="2">
        <f t="shared" si="3"/>
        <v>0.9765625</v>
      </c>
      <c r="AA10" s="2">
        <f t="shared" si="2"/>
        <v>-7.2030189570664316E-3</v>
      </c>
      <c r="AB10" s="2">
        <f t="shared" si="4"/>
        <v>-5.4303974753142323E-6</v>
      </c>
      <c r="AC10" s="2">
        <f t="shared" si="5"/>
        <v>1.0918102628513016E-4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-48.557907148643721</v>
      </c>
      <c r="AI10" s="2">
        <f t="shared" si="14"/>
        <v>1687.5</v>
      </c>
      <c r="AJ10" s="2">
        <v>135.21536971722946</v>
      </c>
      <c r="AK10" s="2">
        <f t="shared" si="9"/>
        <v>1539.0625</v>
      </c>
      <c r="AL10" s="2">
        <v>43.848046787055409</v>
      </c>
      <c r="AM10" s="2">
        <f t="shared" si="10"/>
        <v>-2129.1693845352224</v>
      </c>
      <c r="AN10" s="2">
        <f t="shared" si="11"/>
        <v>5928.9298576900728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0.88077356270100793</v>
      </c>
      <c r="U11" s="2">
        <v>7</v>
      </c>
      <c r="V11" s="2">
        <f t="shared" si="7"/>
        <v>0.96875</v>
      </c>
      <c r="W11" s="2">
        <f t="shared" si="0"/>
        <v>7.5390575919376257E-4</v>
      </c>
      <c r="X11" s="2">
        <f t="shared" si="8"/>
        <v>0.9765625</v>
      </c>
      <c r="Y11" s="2">
        <f t="shared" si="1"/>
        <v>-7.2030189570664316E-3</v>
      </c>
      <c r="Z11" s="2">
        <f t="shared" si="3"/>
        <v>0.97265625</v>
      </c>
      <c r="AA11" s="2">
        <f t="shared" si="2"/>
        <v>-3.2248434462968101E-3</v>
      </c>
      <c r="AB11" s="2">
        <f t="shared" si="4"/>
        <v>-2.4312280466614264E-6</v>
      </c>
      <c r="AC11" s="2">
        <f t="shared" si="5"/>
        <v>2.3228608477247367E-5</v>
      </c>
      <c r="AD11" s="2">
        <f t="shared" si="6"/>
        <v>7.8125E-3</v>
      </c>
      <c r="AF11" s="2">
        <v>7</v>
      </c>
      <c r="AG11" s="2">
        <f t="shared" si="13"/>
        <v>1390.625</v>
      </c>
      <c r="AH11" s="2">
        <v>-48.557907148643721</v>
      </c>
      <c r="AI11" s="2">
        <f t="shared" si="14"/>
        <v>1539.0625</v>
      </c>
      <c r="AJ11" s="2">
        <v>43.848046787055409</v>
      </c>
      <c r="AK11" s="2">
        <f t="shared" si="9"/>
        <v>1464.84375</v>
      </c>
      <c r="AL11" s="2">
        <v>-2.227606986782348</v>
      </c>
      <c r="AM11" s="2">
        <f t="shared" si="10"/>
        <v>108.16793322784727</v>
      </c>
      <c r="AN11" s="2">
        <f t="shared" si="11"/>
        <v>-97.676215379603917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0.21156203908214835</v>
      </c>
      <c r="U12" s="2">
        <v>8</v>
      </c>
      <c r="V12" s="2">
        <f t="shared" si="7"/>
        <v>0.96875</v>
      </c>
      <c r="W12" s="2">
        <f t="shared" si="0"/>
        <v>7.5390575919376257E-4</v>
      </c>
      <c r="X12" s="2">
        <f t="shared" si="8"/>
        <v>0.97265625</v>
      </c>
      <c r="Y12" s="2">
        <f t="shared" si="1"/>
        <v>-3.2248434462968101E-3</v>
      </c>
      <c r="Z12" s="2">
        <f t="shared" si="3"/>
        <v>0.970703125</v>
      </c>
      <c r="AA12" s="2">
        <f t="shared" si="2"/>
        <v>-1.2355409819396757E-3</v>
      </c>
      <c r="AB12" s="2">
        <f t="shared" si="4"/>
        <v>-9.3148146200423811E-7</v>
      </c>
      <c r="AC12" s="2">
        <f t="shared" si="5"/>
        <v>3.9844262382392885E-6</v>
      </c>
      <c r="AD12" s="2">
        <f t="shared" si="6"/>
        <v>3.90625E-3</v>
      </c>
      <c r="AF12" s="2">
        <v>8</v>
      </c>
      <c r="AG12" s="2">
        <f t="shared" si="13"/>
        <v>1464.84375</v>
      </c>
      <c r="AH12" s="2">
        <v>-2.227606986782348</v>
      </c>
      <c r="AI12" s="2">
        <f t="shared" si="14"/>
        <v>1539.0625</v>
      </c>
      <c r="AJ12" s="2">
        <v>43.848046787055409</v>
      </c>
      <c r="AK12" s="2">
        <f t="shared" si="9"/>
        <v>1501.953125</v>
      </c>
      <c r="AL12" s="2">
        <v>20.842402097366062</v>
      </c>
      <c r="AM12" s="2">
        <f t="shared" si="10"/>
        <v>-46.428680533419701</v>
      </c>
      <c r="AN12" s="2">
        <f t="shared" si="11"/>
        <v>913.8986223199289</v>
      </c>
      <c r="AO12" s="2">
        <f t="shared" si="12"/>
        <v>74.21875</v>
      </c>
    </row>
    <row r="13" spans="2:41" x14ac:dyDescent="0.2">
      <c r="B13" s="6" t="s">
        <v>136</v>
      </c>
      <c r="C13" s="16">
        <v>5.6243040010406897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2.1126504724791037E-2</v>
      </c>
      <c r="U13" s="2">
        <v>9</v>
      </c>
      <c r="V13" s="2">
        <f t="shared" si="7"/>
        <v>0.96875</v>
      </c>
      <c r="W13" s="2">
        <f t="shared" si="0"/>
        <v>7.5390575919376257E-4</v>
      </c>
      <c r="X13" s="2">
        <f t="shared" si="8"/>
        <v>0.970703125</v>
      </c>
      <c r="Y13" s="2">
        <f t="shared" si="1"/>
        <v>-1.2355409819396757E-3</v>
      </c>
      <c r="Z13" s="2">
        <f t="shared" si="3"/>
        <v>0.9697265625</v>
      </c>
      <c r="AA13" s="2">
        <f t="shared" si="2"/>
        <v>-2.4083569965749341E-4</v>
      </c>
      <c r="AB13" s="2">
        <f t="shared" si="4"/>
        <v>-1.8156742099124355E-7</v>
      </c>
      <c r="AC13" s="2">
        <f t="shared" si="5"/>
        <v>2.975623768409482E-7</v>
      </c>
      <c r="AD13" s="2">
        <f t="shared" si="6"/>
        <v>1.953125E-3</v>
      </c>
      <c r="AF13" s="2">
        <v>9</v>
      </c>
      <c r="AG13" s="2">
        <f t="shared" si="13"/>
        <v>1464.84375</v>
      </c>
      <c r="AH13" s="2">
        <v>-2.227606986782348</v>
      </c>
      <c r="AI13" s="2">
        <f t="shared" si="14"/>
        <v>1501.953125</v>
      </c>
      <c r="AJ13" s="2">
        <v>20.842402097366062</v>
      </c>
      <c r="AK13" s="2">
        <f t="shared" si="9"/>
        <v>1483.3984375</v>
      </c>
      <c r="AL13" s="2">
        <v>9.3154017116421528</v>
      </c>
      <c r="AM13" s="2">
        <f t="shared" si="10"/>
        <v>-20.751053937538302</v>
      </c>
      <c r="AN13" s="2">
        <f t="shared" si="11"/>
        <v>194.1553481725378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70.219159642562076</v>
      </c>
      <c r="H14" s="6" t="s">
        <v>10</v>
      </c>
      <c r="J14" s="9" t="s">
        <v>75</v>
      </c>
      <c r="K14" s="17">
        <f>C5</f>
        <v>1468.4147807414699</v>
      </c>
      <c r="L14" s="6" t="s">
        <v>7</v>
      </c>
      <c r="N14" s="6" t="s">
        <v>40</v>
      </c>
      <c r="O14" s="6">
        <f xml:space="preserve"> O5 * O13 * $C$12</f>
        <v>1437.10753138938</v>
      </c>
      <c r="P14" s="6" t="s">
        <v>21</v>
      </c>
      <c r="U14" s="2">
        <v>10</v>
      </c>
      <c r="V14" s="2">
        <f t="shared" si="7"/>
        <v>0.96875</v>
      </c>
      <c r="W14" s="2">
        <f t="shared" si="0"/>
        <v>7.5390575919376257E-4</v>
      </c>
      <c r="X14" s="2">
        <f t="shared" si="8"/>
        <v>0.9697265625</v>
      </c>
      <c r="Y14" s="2">
        <f t="shared" si="1"/>
        <v>-2.4083569965749341E-4</v>
      </c>
      <c r="Z14" s="2">
        <f t="shared" si="3"/>
        <v>0.96923828125</v>
      </c>
      <c r="AA14" s="2">
        <f t="shared" si="2"/>
        <v>2.5653050096285934E-4</v>
      </c>
      <c r="AB14" s="2">
        <f t="shared" si="4"/>
        <v>1.9339982208476072E-7</v>
      </c>
      <c r="AC14" s="2">
        <f t="shared" si="5"/>
        <v>-6.178170268287752E-8</v>
      </c>
      <c r="AD14" s="2">
        <f t="shared" si="6"/>
        <v>9.765625E-4</v>
      </c>
      <c r="AF14" s="2">
        <v>10</v>
      </c>
      <c r="AG14" s="2">
        <f t="shared" si="13"/>
        <v>1464.84375</v>
      </c>
      <c r="AH14" s="2">
        <v>-2.227606986782348</v>
      </c>
      <c r="AI14" s="2">
        <f t="shared" si="14"/>
        <v>1483.3984375</v>
      </c>
      <c r="AJ14" s="2">
        <v>9.3154017116421528</v>
      </c>
      <c r="AK14" s="2">
        <f t="shared" si="9"/>
        <v>1474.12109375</v>
      </c>
      <c r="AL14" s="2">
        <v>3.5458930452435879</v>
      </c>
      <c r="AM14" s="2">
        <f t="shared" si="10"/>
        <v>-7.8988561219675528</v>
      </c>
      <c r="AN14" s="2">
        <f t="shared" si="11"/>
        <v>33.031418142962124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0.21104469181596469</v>
      </c>
      <c r="H15" s="6" t="s">
        <v>120</v>
      </c>
      <c r="J15" s="10" t="s">
        <v>53</v>
      </c>
      <c r="K15" s="6">
        <f xml:space="preserve"> 1000 * K10 / ($C$60 * $C$61 * $C$62)</f>
        <v>191.36754812883075</v>
      </c>
      <c r="L15" s="6" t="s">
        <v>7</v>
      </c>
      <c r="N15" s="6" t="s">
        <v>140</v>
      </c>
      <c r="O15" s="6">
        <f>O4/O14</f>
        <v>10.014057783722713</v>
      </c>
      <c r="U15" s="2">
        <v>11</v>
      </c>
      <c r="V15" s="2">
        <f t="shared" si="7"/>
        <v>0.96923828125</v>
      </c>
      <c r="W15" s="2">
        <f t="shared" si="0"/>
        <v>2.5653050096285934E-4</v>
      </c>
      <c r="X15" s="2">
        <f t="shared" si="8"/>
        <v>0.9697265625</v>
      </c>
      <c r="Y15" s="2">
        <f t="shared" si="1"/>
        <v>-2.4083569965749341E-4</v>
      </c>
      <c r="Z15" s="2">
        <f t="shared" si="3"/>
        <v>0.969482421875</v>
      </c>
      <c r="AA15" s="2">
        <f t="shared" si="2"/>
        <v>7.8462692941760892E-6</v>
      </c>
      <c r="AB15" s="2">
        <f t="shared" si="4"/>
        <v>2.012807392724493E-9</v>
      </c>
      <c r="AC15" s="2">
        <f t="shared" si="5"/>
        <v>-1.8896617551640054E-9</v>
      </c>
      <c r="AD15" s="2">
        <f t="shared" si="6"/>
        <v>4.8828125E-4</v>
      </c>
      <c r="AF15" s="2">
        <v>11</v>
      </c>
      <c r="AG15" s="2">
        <f t="shared" si="13"/>
        <v>1464.84375</v>
      </c>
      <c r="AH15" s="2">
        <v>-2.227606986782348</v>
      </c>
      <c r="AI15" s="2">
        <f t="shared" si="14"/>
        <v>1474.12109375</v>
      </c>
      <c r="AJ15" s="2">
        <v>3.5458930452435879</v>
      </c>
      <c r="AK15" s="2">
        <f t="shared" si="9"/>
        <v>1469.482421875</v>
      </c>
      <c r="AL15" s="2">
        <v>0.65964120973671925</v>
      </c>
      <c r="AM15" s="2">
        <f t="shared" si="10"/>
        <v>-1.4694213675790759</v>
      </c>
      <c r="AN15" s="2">
        <f t="shared" si="11"/>
        <v>2.3390171779614999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1437.10753138938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106.42819174429874</v>
      </c>
      <c r="L16" s="6" t="s">
        <v>7</v>
      </c>
      <c r="N16" s="6" t="s">
        <v>111</v>
      </c>
      <c r="O16" s="6">
        <f>(O13*$C$12)/(0.3048^2)/($C$5*2.20462/1000)^(2/3)</f>
        <v>3.1174343776814735</v>
      </c>
      <c r="U16" s="2">
        <v>12</v>
      </c>
      <c r="V16" s="2">
        <f t="shared" si="7"/>
        <v>0.969482421875</v>
      </c>
      <c r="W16" s="2">
        <f t="shared" si="0"/>
        <v>7.8462692941760892E-6</v>
      </c>
      <c r="X16" s="2">
        <f t="shared" si="8"/>
        <v>0.9697265625</v>
      </c>
      <c r="Y16" s="2">
        <f t="shared" si="1"/>
        <v>-2.4083569965749341E-4</v>
      </c>
      <c r="Z16" s="2">
        <f t="shared" si="3"/>
        <v>0.9696044921875</v>
      </c>
      <c r="AA16" s="2">
        <f t="shared" si="2"/>
        <v>-1.164949979159946E-4</v>
      </c>
      <c r="AB16" s="2">
        <f t="shared" si="4"/>
        <v>-9.14051125073376E-10</v>
      </c>
      <c r="AC16" s="2">
        <f t="shared" si="5"/>
        <v>2.8056154329696798E-8</v>
      </c>
      <c r="AD16" s="2">
        <f t="shared" si="6"/>
        <v>2.44140625E-4</v>
      </c>
      <c r="AF16" s="2">
        <v>12</v>
      </c>
      <c r="AG16" s="2">
        <f t="shared" si="13"/>
        <v>1464.84375</v>
      </c>
      <c r="AH16" s="2">
        <v>-2.227606986782348</v>
      </c>
      <c r="AI16" s="2">
        <f t="shared" si="14"/>
        <v>1469.482421875</v>
      </c>
      <c r="AJ16" s="2">
        <v>0.65964120973671925</v>
      </c>
      <c r="AK16" s="2">
        <f t="shared" si="9"/>
        <v>1467.1630859375</v>
      </c>
      <c r="AL16" s="2">
        <v>-0.78385840377700333</v>
      </c>
      <c r="AM16" s="2">
        <f t="shared" si="10"/>
        <v>1.7461284569017115</v>
      </c>
      <c r="AN16" s="2">
        <f t="shared" si="11"/>
        <v>-0.51706530572975617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100.91814063901059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0.969482421875</v>
      </c>
      <c r="W17" s="2">
        <f t="shared" si="0"/>
        <v>7.8462692941760892E-6</v>
      </c>
      <c r="X17" s="2">
        <f t="shared" si="8"/>
        <v>0.9696044921875</v>
      </c>
      <c r="Y17" s="2">
        <f t="shared" si="1"/>
        <v>-1.164949979159946E-4</v>
      </c>
      <c r="Z17" s="2">
        <f t="shared" si="3"/>
        <v>0.96954345703125</v>
      </c>
      <c r="AA17" s="2">
        <f t="shared" si="2"/>
        <v>-5.4324435007635508E-5</v>
      </c>
      <c r="AB17" s="2">
        <f t="shared" si="4"/>
        <v>-4.2624414632387509E-10</v>
      </c>
      <c r="AC17" s="2">
        <f t="shared" si="5"/>
        <v>6.3285249430020825E-9</v>
      </c>
      <c r="AD17" s="2">
        <f t="shared" si="6"/>
        <v>1.220703125E-4</v>
      </c>
      <c r="AF17" s="2">
        <v>13</v>
      </c>
      <c r="AG17" s="2">
        <f t="shared" si="13"/>
        <v>1467.1630859375</v>
      </c>
      <c r="AH17" s="2">
        <v>-0.78385840377700333</v>
      </c>
      <c r="AI17" s="2">
        <f t="shared" si="14"/>
        <v>1469.482421875</v>
      </c>
      <c r="AJ17" s="2">
        <v>0.65964120973671925</v>
      </c>
      <c r="AK17" s="2">
        <f t="shared" si="9"/>
        <v>1468.32275390625</v>
      </c>
      <c r="AL17" s="2">
        <v>-6.2077491376498983E-2</v>
      </c>
      <c r="AM17" s="2">
        <f t="shared" si="10"/>
        <v>4.8659963300863182E-2</v>
      </c>
      <c r="AN17" s="2">
        <f t="shared" si="11"/>
        <v>-4.0948871509014544E-2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1.4530127126230286</v>
      </c>
      <c r="H18" s="6" t="s">
        <v>172</v>
      </c>
      <c r="J18" s="12" t="s">
        <v>54</v>
      </c>
      <c r="K18" s="6">
        <f xml:space="preserve"> $C$78 * (0.2138 * K4 + 0.2138 * K6)</f>
        <v>79.369857222222777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0.969482421875</v>
      </c>
      <c r="W18" s="2">
        <f t="shared" si="0"/>
        <v>7.8462692941760892E-6</v>
      </c>
      <c r="X18" s="2">
        <f t="shared" si="8"/>
        <v>0.96954345703125</v>
      </c>
      <c r="Y18" s="2">
        <f t="shared" si="1"/>
        <v>-5.4324435007635508E-5</v>
      </c>
      <c r="Z18" s="2">
        <f t="shared" si="3"/>
        <v>0.969512939453125</v>
      </c>
      <c r="AA18" s="2">
        <f t="shared" si="2"/>
        <v>-2.3239100532590484E-5</v>
      </c>
      <c r="AB18" s="2">
        <f t="shared" si="4"/>
        <v>-1.8234024093313591E-10</v>
      </c>
      <c r="AC18" s="2">
        <f t="shared" si="5"/>
        <v>1.2624510065186194E-9</v>
      </c>
      <c r="AD18" s="2">
        <f t="shared" si="6"/>
        <v>6.103515625E-5</v>
      </c>
      <c r="AF18" s="2">
        <v>14</v>
      </c>
      <c r="AG18" s="2">
        <f t="shared" si="13"/>
        <v>1468.32275390625</v>
      </c>
      <c r="AH18" s="2">
        <v>-6.2077491376498983E-2</v>
      </c>
      <c r="AI18" s="2">
        <f t="shared" si="14"/>
        <v>1469.482421875</v>
      </c>
      <c r="AJ18" s="2">
        <v>0.65964120973671925</v>
      </c>
      <c r="AK18" s="2">
        <f t="shared" si="9"/>
        <v>1468.902587890625</v>
      </c>
      <c r="AL18" s="2">
        <v>0.29878976916666034</v>
      </c>
      <c r="AM18" s="2">
        <f t="shared" si="10"/>
        <v>-1.8548119318829479E-2</v>
      </c>
      <c r="AN18" s="2">
        <f t="shared" si="11"/>
        <v>0.19709404479005091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4.1604068470953541E-2</v>
      </c>
      <c r="J19" s="12" t="s">
        <v>73</v>
      </c>
      <c r="K19" s="6">
        <f xml:space="preserve"> $C$78 * (0.1149 * K4 + 0.1149 * K6)</f>
        <v>42.654801659651071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0.969482421875</v>
      </c>
      <c r="W19" s="2">
        <f t="shared" si="0"/>
        <v>7.8462692941760892E-6</v>
      </c>
      <c r="X19" s="2">
        <f t="shared" si="8"/>
        <v>0.969512939453125</v>
      </c>
      <c r="Y19" s="2">
        <f t="shared" si="1"/>
        <v>-2.3239100532590484E-5</v>
      </c>
      <c r="Z19" s="2">
        <f t="shared" si="3"/>
        <v>0.9694976806640625</v>
      </c>
      <c r="AA19" s="2">
        <f t="shared" si="2"/>
        <v>-7.6964200383944359E-6</v>
      </c>
      <c r="AB19" s="2">
        <f t="shared" si="4"/>
        <v>-6.0388184222335818E-11</v>
      </c>
      <c r="AC19" s="2">
        <f t="shared" si="5"/>
        <v>1.7885787901329221E-10</v>
      </c>
      <c r="AD19" s="2">
        <f t="shared" si="6"/>
        <v>3.0517578125E-5</v>
      </c>
      <c r="AF19" s="2">
        <v>15</v>
      </c>
      <c r="AG19" s="2">
        <f t="shared" si="13"/>
        <v>1468.32275390625</v>
      </c>
      <c r="AH19" s="2">
        <v>-6.2077491376498983E-2</v>
      </c>
      <c r="AI19" s="2">
        <f t="shared" si="14"/>
        <v>1468.902587890625</v>
      </c>
      <c r="AJ19" s="2">
        <v>0.29878976916666034</v>
      </c>
      <c r="AK19" s="2">
        <f t="shared" si="9"/>
        <v>1468.6126708984375</v>
      </c>
      <c r="AL19" s="2">
        <v>0.11835816910092944</v>
      </c>
      <c r="AM19" s="2">
        <f t="shared" si="10"/>
        <v>-7.3473782217011556E-3</v>
      </c>
      <c r="AN19" s="2">
        <f t="shared" si="11"/>
        <v>3.5364210024655257E-2</v>
      </c>
      <c r="AO19" s="2">
        <f t="shared" si="12"/>
        <v>0.579833984375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100.91814063901059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202.75508281298298</v>
      </c>
      <c r="L20" s="6" t="s">
        <v>7</v>
      </c>
      <c r="N20" s="6" t="s">
        <v>20</v>
      </c>
      <c r="O20" s="6">
        <f xml:space="preserve"> O14 / $C$28</f>
        <v>1437.10753138938</v>
      </c>
      <c r="P20" s="6" t="s">
        <v>21</v>
      </c>
      <c r="U20" s="2">
        <v>16</v>
      </c>
      <c r="V20" s="2">
        <f t="shared" si="7"/>
        <v>0.969482421875</v>
      </c>
      <c r="W20" s="2">
        <f t="shared" si="0"/>
        <v>7.8462692941760892E-6</v>
      </c>
      <c r="X20" s="2">
        <f t="shared" si="8"/>
        <v>0.9694976806640625</v>
      </c>
      <c r="Y20" s="2">
        <f t="shared" si="1"/>
        <v>-7.6964200383944359E-6</v>
      </c>
      <c r="Z20" s="2">
        <f t="shared" si="3"/>
        <v>0.96949005126953125</v>
      </c>
      <c r="AA20" s="2">
        <f t="shared" si="2"/>
        <v>7.49235230523837E-8</v>
      </c>
      <c r="AB20" s="2">
        <f t="shared" si="4"/>
        <v>5.8787013833741261E-13</v>
      </c>
      <c r="AC20" s="2">
        <f t="shared" si="5"/>
        <v>-5.7664290416747336E-13</v>
      </c>
      <c r="AD20" s="2">
        <f t="shared" si="6"/>
        <v>1.52587890625E-5</v>
      </c>
      <c r="AF20" s="2">
        <v>16</v>
      </c>
      <c r="AG20" s="2">
        <f t="shared" si="13"/>
        <v>1468.32275390625</v>
      </c>
      <c r="AH20" s="2">
        <v>-6.2077491376498983E-2</v>
      </c>
      <c r="AI20" s="2">
        <f t="shared" si="14"/>
        <v>1468.6126708984375</v>
      </c>
      <c r="AJ20" s="2">
        <v>0.11835816910092944</v>
      </c>
      <c r="AK20" s="2">
        <f t="shared" si="9"/>
        <v>1468.4677124023438</v>
      </c>
      <c r="AL20" s="2">
        <v>2.8140925715092635E-2</v>
      </c>
      <c r="AM20" s="2">
        <f t="shared" si="10"/>
        <v>-1.7469180734053615E-3</v>
      </c>
      <c r="AN20" s="2">
        <f t="shared" si="11"/>
        <v>3.3307084444436281E-3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38.17878429927822</v>
      </c>
      <c r="L21" s="6" t="s">
        <v>7</v>
      </c>
      <c r="N21" s="6" t="s">
        <v>27</v>
      </c>
      <c r="O21" s="6">
        <f>$C$6*2*PI()/60</f>
        <v>43.537359493446388</v>
      </c>
      <c r="P21" s="6" t="s">
        <v>28</v>
      </c>
      <c r="U21" s="2">
        <v>17</v>
      </c>
      <c r="V21" s="2">
        <f t="shared" si="7"/>
        <v>0.96949005126953125</v>
      </c>
      <c r="W21" s="2">
        <f t="shared" si="0"/>
        <v>7.49235230523837E-8</v>
      </c>
      <c r="X21" s="2">
        <f t="shared" si="8"/>
        <v>0.9694976806640625</v>
      </c>
      <c r="Y21" s="2">
        <f t="shared" si="1"/>
        <v>-7.6964200383944359E-6</v>
      </c>
      <c r="Z21" s="2">
        <f t="shared" si="3"/>
        <v>0.96949386596679688</v>
      </c>
      <c r="AA21" s="2">
        <f t="shared" si="2"/>
        <v>-3.8107485338390035E-6</v>
      </c>
      <c r="AB21" s="2">
        <f t="shared" si="4"/>
        <v>-2.8551470562192394E-13</v>
      </c>
      <c r="AC21" s="2">
        <f t="shared" si="5"/>
        <v>2.9329121377120721E-11</v>
      </c>
      <c r="AD21" s="2">
        <f t="shared" si="6"/>
        <v>7.62939453125E-6</v>
      </c>
      <c r="AF21" s="2">
        <v>17</v>
      </c>
      <c r="AG21" s="2">
        <f t="shared" si="13"/>
        <v>1468.32275390625</v>
      </c>
      <c r="AH21" s="2">
        <v>-6.2077491376498983E-2</v>
      </c>
      <c r="AI21" s="2">
        <f t="shared" si="14"/>
        <v>1468.4677124023438</v>
      </c>
      <c r="AJ21" s="2">
        <v>2.8140925715092635E-2</v>
      </c>
      <c r="AK21" s="2">
        <f t="shared" si="9"/>
        <v>1468.3952331542969</v>
      </c>
      <c r="AL21" s="2">
        <v>-1.6968162562193356E-2</v>
      </c>
      <c r="AM21" s="2">
        <f t="shared" si="10"/>
        <v>1.0533409651295909E-3</v>
      </c>
      <c r="AN21" s="2">
        <f t="shared" si="11"/>
        <v>-4.7749980218429917E-4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 xml:space="preserve"> $C$79 * (0.04674 * ($C$5*2.20462)^0.397 * ($C$12*3.28084^2)^0.36 * $C$46^0.397 * $C$13^1.712 * 0.453592)</f>
        <v>99.952651591578885</v>
      </c>
      <c r="L22" s="6" t="s">
        <v>7</v>
      </c>
      <c r="N22" s="6" t="s">
        <v>29</v>
      </c>
      <c r="O22" s="6">
        <f xml:space="preserve"> $C$7 * COS(O19/180*PI()) / (O21 * $C$10)</f>
        <v>8.322964153140551E-2</v>
      </c>
      <c r="U22" s="2">
        <v>18</v>
      </c>
      <c r="V22" s="2">
        <f t="shared" si="7"/>
        <v>0.96949005126953125</v>
      </c>
      <c r="W22" s="2">
        <f t="shared" si="0"/>
        <v>7.49235230523837E-8</v>
      </c>
      <c r="X22" s="2">
        <f t="shared" si="8"/>
        <v>0.96949386596679688</v>
      </c>
      <c r="Y22" s="2">
        <f t="shared" si="1"/>
        <v>-3.8107485338390035E-6</v>
      </c>
      <c r="Z22" s="2">
        <f t="shared" si="3"/>
        <v>0.96949195861816406</v>
      </c>
      <c r="AA22" s="2">
        <f t="shared" si="2"/>
        <v>-1.8679125743936709E-6</v>
      </c>
      <c r="AB22" s="2">
        <f t="shared" si="4"/>
        <v>-1.3995059082742159E-13</v>
      </c>
      <c r="AC22" s="2">
        <f t="shared" si="5"/>
        <v>7.1181451042101198E-12</v>
      </c>
      <c r="AD22" s="2">
        <f t="shared" si="6"/>
        <v>3.814697265625E-6</v>
      </c>
      <c r="AF22" s="2">
        <v>18</v>
      </c>
      <c r="AG22" s="2">
        <f t="shared" si="13"/>
        <v>1468.3952331542969</v>
      </c>
      <c r="AH22" s="2">
        <v>-1.6968162562193356E-2</v>
      </c>
      <c r="AI22" s="2">
        <f t="shared" si="14"/>
        <v>1468.4677124023438</v>
      </c>
      <c r="AJ22" s="2">
        <v>2.8140925715092635E-2</v>
      </c>
      <c r="AK22" s="2">
        <f t="shared" si="9"/>
        <v>1468.4314727783203</v>
      </c>
      <c r="AL22" s="2">
        <v>5.5863058789782372E-3</v>
      </c>
      <c r="AM22" s="2">
        <f t="shared" si="10"/>
        <v>-9.4789346276639175E-5</v>
      </c>
      <c r="AN22" s="2">
        <f t="shared" si="11"/>
        <v>1.5720381876211184E-4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17.342360052739021</v>
      </c>
      <c r="L23" s="6" t="s">
        <v>7</v>
      </c>
      <c r="N23" s="6" t="s">
        <v>30</v>
      </c>
      <c r="O23" s="6">
        <f xml:space="preserve"> O20 / ( $C$71 * PI() * $C$10^2 * O21^2 * $C$10^2)</f>
        <v>3.5362746316280787E-2</v>
      </c>
      <c r="U23" s="2">
        <v>19</v>
      </c>
      <c r="V23" s="2">
        <f t="shared" si="7"/>
        <v>0.96949005126953125</v>
      </c>
      <c r="W23" s="2">
        <f t="shared" si="0"/>
        <v>7.49235230523837E-8</v>
      </c>
      <c r="X23" s="2">
        <f t="shared" si="8"/>
        <v>0.96949195861816406</v>
      </c>
      <c r="Y23" s="2">
        <f t="shared" si="1"/>
        <v>-1.8679125743936709E-6</v>
      </c>
      <c r="Z23" s="2">
        <f t="shared" si="3"/>
        <v>0.96949100494384766</v>
      </c>
      <c r="AA23" s="2">
        <f t="shared" si="2"/>
        <v>-8.9649454293461162E-7</v>
      </c>
      <c r="AB23" s="2">
        <f t="shared" si="4"/>
        <v>-6.716852955389756E-14</v>
      </c>
      <c r="AC23" s="2">
        <f t="shared" si="5"/>
        <v>1.6745734296228676E-12</v>
      </c>
      <c r="AD23" s="2">
        <f t="shared" si="6"/>
        <v>1.9073486328125E-6</v>
      </c>
      <c r="AF23" s="2">
        <v>19</v>
      </c>
      <c r="AG23" s="2">
        <f t="shared" si="13"/>
        <v>1468.3952331542969</v>
      </c>
      <c r="AH23" s="2">
        <v>-1.6968162562193356E-2</v>
      </c>
      <c r="AI23" s="2">
        <f t="shared" si="14"/>
        <v>1468.4314727783203</v>
      </c>
      <c r="AJ23" s="2">
        <v>5.5863058789782372E-3</v>
      </c>
      <c r="AK23" s="2">
        <f t="shared" si="9"/>
        <v>1468.4133529663086</v>
      </c>
      <c r="AL23" s="2">
        <v>-5.6908150601202578E-3</v>
      </c>
      <c r="AM23" s="2">
        <f t="shared" si="10"/>
        <v>9.6562675051498696E-5</v>
      </c>
      <c r="AN23" s="2">
        <f t="shared" si="11"/>
        <v>-3.179063362652769E-5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6.8890380913493088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0.96949005126953125</v>
      </c>
      <c r="W24" s="2">
        <f t="shared" si="0"/>
        <v>7.49235230523837E-8</v>
      </c>
      <c r="X24" s="2">
        <f t="shared" si="8"/>
        <v>0.96949100494384766</v>
      </c>
      <c r="Y24" s="2">
        <f t="shared" si="1"/>
        <v>-8.9649454293461162E-7</v>
      </c>
      <c r="Z24" s="2">
        <f t="shared" si="3"/>
        <v>0.96949052810668945</v>
      </c>
      <c r="AA24" s="2">
        <f t="shared" si="2"/>
        <v>-4.1078551427098375E-7</v>
      </c>
      <c r="AB24" s="2">
        <f t="shared" si="4"/>
        <v>-3.0777497948067348E-14</v>
      </c>
      <c r="AC24" s="2">
        <f t="shared" si="5"/>
        <v>3.6826697186052497E-13</v>
      </c>
      <c r="AD24" s="2">
        <f t="shared" si="6"/>
        <v>9.5367431640625E-7</v>
      </c>
      <c r="AF24" s="2">
        <v>20</v>
      </c>
      <c r="AG24" s="2">
        <f t="shared" si="13"/>
        <v>1468.4133529663086</v>
      </c>
      <c r="AH24" s="2">
        <v>-5.6908150601202578E-3</v>
      </c>
      <c r="AI24" s="2">
        <f t="shared" si="14"/>
        <v>1468.4314727783203</v>
      </c>
      <c r="AJ24" s="2">
        <v>5.5863058789782372E-3</v>
      </c>
      <c r="AK24" s="2">
        <f t="shared" si="9"/>
        <v>1468.4224128723145</v>
      </c>
      <c r="AL24" s="2">
        <v>-5.2358476295921719E-5</v>
      </c>
      <c r="AM24" s="2">
        <f t="shared" si="10"/>
        <v>2.9796240542978086E-7</v>
      </c>
      <c r="AN24" s="2">
        <f t="shared" si="11"/>
        <v>-2.9249046394625018E-7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14.200639566666204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2785.336964454295</v>
      </c>
      <c r="P25" s="6" t="s">
        <v>19</v>
      </c>
      <c r="U25" s="2">
        <v>21</v>
      </c>
      <c r="V25" s="2">
        <f t="shared" si="7"/>
        <v>0.96949005126953125</v>
      </c>
      <c r="W25" s="2">
        <f t="shared" si="0"/>
        <v>7.49235230523837E-8</v>
      </c>
      <c r="X25" s="2">
        <f t="shared" si="8"/>
        <v>0.96949052810668945</v>
      </c>
      <c r="Y25" s="2">
        <f t="shared" si="1"/>
        <v>-4.1078551427098375E-7</v>
      </c>
      <c r="Z25" s="2">
        <f t="shared" si="3"/>
        <v>0.96949028968811035</v>
      </c>
      <c r="AA25" s="2">
        <f t="shared" si="2"/>
        <v>-1.679309966640119E-7</v>
      </c>
      <c r="AB25" s="2">
        <f t="shared" si="4"/>
        <v>-1.2581981899765866E-14</v>
      </c>
      <c r="AC25" s="2">
        <f t="shared" si="5"/>
        <v>6.898362082666498E-14</v>
      </c>
      <c r="AD25" s="2">
        <f t="shared" si="6"/>
        <v>4.76837158203125E-7</v>
      </c>
      <c r="AF25" s="2">
        <v>21</v>
      </c>
      <c r="AG25" s="2">
        <f t="shared" si="13"/>
        <v>1468.4224128723145</v>
      </c>
      <c r="AH25" s="2">
        <v>-5.2358476295921719E-5</v>
      </c>
      <c r="AI25" s="2">
        <f t="shared" si="14"/>
        <v>1468.4314727783203</v>
      </c>
      <c r="AJ25" s="2">
        <v>5.5863058789782372E-3</v>
      </c>
      <c r="AK25" s="2">
        <f t="shared" si="9"/>
        <v>1468.4269428253174</v>
      </c>
      <c r="AL25" s="2">
        <v>2.7669741707541107E-3</v>
      </c>
      <c r="AM25" s="2">
        <f t="shared" si="10"/>
        <v>-1.4487455153085677E-7</v>
      </c>
      <c r="AN25" s="2">
        <f t="shared" si="11"/>
        <v>1.5457164077064623E-5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1799.0818175286095</v>
      </c>
      <c r="H26" s="6" t="s">
        <v>21</v>
      </c>
      <c r="J26" s="14" t="s">
        <v>65</v>
      </c>
      <c r="K26" s="6">
        <f xml:space="preserve"> $C$80 * (0.0268 * $C$5)</f>
        <v>31.482812899097116</v>
      </c>
      <c r="L26" s="6" t="s">
        <v>7</v>
      </c>
      <c r="N26" s="6" t="s">
        <v>32</v>
      </c>
      <c r="O26" s="17">
        <f>Z34</f>
        <v>0.96949012437835336</v>
      </c>
      <c r="U26" s="2">
        <v>22</v>
      </c>
      <c r="V26" s="2">
        <f t="shared" si="7"/>
        <v>0.96949005126953125</v>
      </c>
      <c r="W26" s="2">
        <f t="shared" si="0"/>
        <v>7.49235230523837E-8</v>
      </c>
      <c r="X26" s="2">
        <f t="shared" si="8"/>
        <v>0.96949028968811035</v>
      </c>
      <c r="Y26" s="2">
        <f t="shared" si="1"/>
        <v>-1.679309966640119E-7</v>
      </c>
      <c r="Z26" s="2">
        <f t="shared" si="3"/>
        <v>0.9694901704788208</v>
      </c>
      <c r="AA26" s="2">
        <f t="shared" si="2"/>
        <v>-4.6503737083369856E-8</v>
      </c>
      <c r="AB26" s="2">
        <f t="shared" si="4"/>
        <v>-3.4842238173878521E-15</v>
      </c>
      <c r="AC26" s="2">
        <f t="shared" si="5"/>
        <v>7.8094189170114691E-15</v>
      </c>
      <c r="AD26" s="2">
        <f t="shared" si="6"/>
        <v>2.384185791015625E-7</v>
      </c>
      <c r="AF26" s="2">
        <v>22</v>
      </c>
      <c r="AG26" s="2">
        <f t="shared" si="13"/>
        <v>1468.4224128723145</v>
      </c>
      <c r="AH26" s="2">
        <v>-5.2358476295921719E-5</v>
      </c>
      <c r="AI26" s="2">
        <f t="shared" si="14"/>
        <v>1468.4269428253174</v>
      </c>
      <c r="AJ26" s="2">
        <v>2.7669741707541107E-3</v>
      </c>
      <c r="AK26" s="2">
        <f t="shared" si="9"/>
        <v>1468.4246778488159</v>
      </c>
      <c r="AL26" s="2">
        <v>1.3573079647812847E-3</v>
      </c>
      <c r="AM26" s="2">
        <f t="shared" si="10"/>
        <v>-7.1066576900266646E-8</v>
      </c>
      <c r="AN26" s="2">
        <f t="shared" si="11"/>
        <v>3.7556360803086449E-6</v>
      </c>
      <c r="AO26" s="2">
        <f t="shared" si="12"/>
        <v>4.5299530029296875E-3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22.806439347819865</v>
      </c>
      <c r="H27" t="s">
        <v>97</v>
      </c>
      <c r="J27" s="14" t="s">
        <v>66</v>
      </c>
      <c r="K27" s="6">
        <f xml:space="preserve"> $C$80 * (11.5 * ($C$5*2.20462/1000)^0.4 * 0.453592)</f>
        <v>6.676151904857865</v>
      </c>
      <c r="L27" s="6" t="s">
        <v>7</v>
      </c>
      <c r="N27" s="6" t="s">
        <v>33</v>
      </c>
      <c r="O27" s="6">
        <f xml:space="preserve"> O21 * $C$10 * O26 - $C$7 * SIN(O19/180*PI())</f>
        <v>1.2759501403708668</v>
      </c>
      <c r="P27" s="6" t="s">
        <v>10</v>
      </c>
      <c r="U27" s="2">
        <v>23</v>
      </c>
      <c r="V27" s="2">
        <f t="shared" si="7"/>
        <v>0.96949005126953125</v>
      </c>
      <c r="W27" s="2">
        <f t="shared" si="0"/>
        <v>7.49235230523837E-8</v>
      </c>
      <c r="X27" s="2">
        <f t="shared" si="8"/>
        <v>0.9694901704788208</v>
      </c>
      <c r="Y27" s="2">
        <f t="shared" si="1"/>
        <v>-4.6503737083369856E-8</v>
      </c>
      <c r="Z27" s="2">
        <f t="shared" si="3"/>
        <v>0.96949011087417603</v>
      </c>
      <c r="AA27" s="2">
        <f t="shared" si="2"/>
        <v>1.4209892928995771E-8</v>
      </c>
      <c r="AB27" s="2">
        <f t="shared" si="4"/>
        <v>1.0646552404375187E-15</v>
      </c>
      <c r="AC27" s="2">
        <f t="shared" si="5"/>
        <v>-6.6081312475285571E-16</v>
      </c>
      <c r="AD27" s="2">
        <f t="shared" si="6"/>
        <v>1.1920928955078125E-7</v>
      </c>
      <c r="AF27" s="2">
        <v>23</v>
      </c>
      <c r="AG27" s="2">
        <f t="shared" si="13"/>
        <v>1468.4224128723145</v>
      </c>
      <c r="AH27" s="2">
        <v>-5.2358476295921719E-5</v>
      </c>
      <c r="AI27" s="2">
        <f t="shared" si="14"/>
        <v>1468.4246778488159</v>
      </c>
      <c r="AJ27" s="2">
        <v>1.3573079647812847E-3</v>
      </c>
      <c r="AK27" s="2">
        <f t="shared" si="9"/>
        <v>1468.4235453605652</v>
      </c>
      <c r="AL27" s="2">
        <v>6.5247477357388561E-4</v>
      </c>
      <c r="AM27" s="2">
        <f t="shared" si="10"/>
        <v>-3.4162584965855178E-8</v>
      </c>
      <c r="AN27" s="2">
        <f t="shared" si="11"/>
        <v>8.856092069907002E-7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8.0482465848063214</v>
      </c>
      <c r="H28" s="6" t="s">
        <v>172</v>
      </c>
      <c r="J28" s="14" t="s">
        <v>67</v>
      </c>
      <c r="K28" s="6">
        <f xml:space="preserve"> $C$80 * (8 * ($C$5/1000))</f>
        <v>9.3978545967454092</v>
      </c>
      <c r="L28" s="6" t="s">
        <v>7</v>
      </c>
      <c r="N28" s="6" t="s">
        <v>34</v>
      </c>
      <c r="O28" s="6">
        <f xml:space="preserve"> 1/$C$31 - O25 * SQRT( (2*$C$71*PI()*$C$10^2) / O20^3 )</f>
        <v>1.1257584250173367</v>
      </c>
      <c r="U28" s="2">
        <v>24</v>
      </c>
      <c r="V28" s="2">
        <f t="shared" si="7"/>
        <v>0.96949011087417603</v>
      </c>
      <c r="W28" s="2">
        <f t="shared" si="0"/>
        <v>1.4209892928995771E-8</v>
      </c>
      <c r="X28" s="2">
        <f t="shared" si="8"/>
        <v>0.9694901704788208</v>
      </c>
      <c r="Y28" s="2">
        <f t="shared" si="1"/>
        <v>-4.6503737083369856E-8</v>
      </c>
      <c r="Z28" s="2">
        <f t="shared" si="3"/>
        <v>0.96949014067649841</v>
      </c>
      <c r="AA28" s="2">
        <f t="shared" si="2"/>
        <v>-1.6146922021675891E-8</v>
      </c>
      <c r="AB28" s="2">
        <f t="shared" si="4"/>
        <v>-2.2944603306085835E-16</v>
      </c>
      <c r="AC28" s="2">
        <f t="shared" si="5"/>
        <v>7.5089221640169051E-16</v>
      </c>
      <c r="AD28" s="2">
        <f t="shared" si="6"/>
        <v>5.9604644775390625E-8</v>
      </c>
      <c r="AF28" s="2">
        <v>24</v>
      </c>
      <c r="AG28" s="2">
        <f t="shared" si="13"/>
        <v>1468.4224128723145</v>
      </c>
      <c r="AH28" s="2">
        <v>-5.2358476295921719E-5</v>
      </c>
      <c r="AI28" s="2">
        <f t="shared" si="14"/>
        <v>1468.4235453605652</v>
      </c>
      <c r="AJ28" s="2">
        <v>6.5247477357388561E-4</v>
      </c>
      <c r="AK28" s="2">
        <f t="shared" si="9"/>
        <v>1468.4229791164398</v>
      </c>
      <c r="AL28" s="2">
        <v>3.0005815597178298E-4</v>
      </c>
      <c r="AM28" s="2">
        <f t="shared" si="10"/>
        <v>-1.5710587846846582E-8</v>
      </c>
      <c r="AN28" s="2">
        <f t="shared" si="11"/>
        <v>1.9578037737668676E-7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182.45151478255892</v>
      </c>
      <c r="H29" s="22" t="s">
        <v>97</v>
      </c>
      <c r="J29" s="14" t="s">
        <v>68</v>
      </c>
      <c r="K29" s="6">
        <f xml:space="preserve"> $C$80 * (13 * ($C$5*2.20462/1000)^1.3 * 0.453592)</f>
        <v>21.723808363891195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0.96949011087417603</v>
      </c>
      <c r="W29" s="2">
        <f t="shared" si="0"/>
        <v>1.4209892928995771E-8</v>
      </c>
      <c r="X29" s="2">
        <f t="shared" si="8"/>
        <v>0.96949014067649841</v>
      </c>
      <c r="Y29" s="2">
        <f t="shared" si="1"/>
        <v>-1.6146922021675891E-8</v>
      </c>
      <c r="Z29" s="2">
        <f t="shared" si="3"/>
        <v>0.96949012577533722</v>
      </c>
      <c r="AA29" s="2">
        <f t="shared" si="2"/>
        <v>-9.6851460185121141E-10</v>
      </c>
      <c r="AB29" s="2">
        <f t="shared" si="4"/>
        <v>-1.3762488792474683E-17</v>
      </c>
      <c r="AC29" s="2">
        <f t="shared" si="5"/>
        <v>1.5638529752945983E-17</v>
      </c>
      <c r="AD29" s="2">
        <f t="shared" si="6"/>
        <v>2.9802322387695312E-8</v>
      </c>
      <c r="AF29" s="2">
        <v>25</v>
      </c>
      <c r="AG29" s="2">
        <f t="shared" si="13"/>
        <v>1468.4224128723145</v>
      </c>
      <c r="AH29" s="2">
        <v>-5.2358476295921719E-5</v>
      </c>
      <c r="AI29" s="2">
        <f t="shared" si="14"/>
        <v>1468.4229791164398</v>
      </c>
      <c r="AJ29" s="2">
        <v>3.0005815597178298E-4</v>
      </c>
      <c r="AK29" s="2">
        <f t="shared" si="9"/>
        <v>1468.4226959943771</v>
      </c>
      <c r="AL29" s="2">
        <v>1.2384984165692003E-4</v>
      </c>
      <c r="AM29" s="2">
        <f t="shared" si="10"/>
        <v>-6.4845889986475063E-9</v>
      </c>
      <c r="AN29" s="2">
        <f t="shared" si="11"/>
        <v>3.7162155104972739E-8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-4.8021927195804892E-3</v>
      </c>
      <c r="L30" s="9" t="s">
        <v>7</v>
      </c>
      <c r="N30" s="6" t="s">
        <v>36</v>
      </c>
      <c r="O30" s="6">
        <f xml:space="preserve"> 1/$C$77 * LN( EXP($C$77 * O28) + EXP($C$77 * O29) )</f>
        <v>1.1631409042148073</v>
      </c>
      <c r="U30" s="2">
        <v>26</v>
      </c>
      <c r="V30" s="2">
        <f>IF(AB29&gt;0, Z29, V29)</f>
        <v>0.96949011087417603</v>
      </c>
      <c r="W30" s="2">
        <f t="shared" si="0"/>
        <v>1.4209892928995771E-8</v>
      </c>
      <c r="X30" s="2">
        <f t="shared" si="8"/>
        <v>0.96949012577533722</v>
      </c>
      <c r="Y30" s="2">
        <f t="shared" si="1"/>
        <v>-9.6851460185121141E-10</v>
      </c>
      <c r="Z30" s="2">
        <f t="shared" si="3"/>
        <v>0.96949011832475662</v>
      </c>
      <c r="AA30" s="2">
        <f t="shared" si="2"/>
        <v>6.620689219083431E-9</v>
      </c>
      <c r="AB30" s="2">
        <f t="shared" si="4"/>
        <v>9.4079284919332179E-17</v>
      </c>
      <c r="AC30" s="2">
        <f t="shared" si="5"/>
        <v>-6.412234183001197E-18</v>
      </c>
      <c r="AD30" s="2">
        <f t="shared" si="6"/>
        <v>1.4901161193847656E-8</v>
      </c>
      <c r="AF30" s="2">
        <v>26</v>
      </c>
      <c r="AG30" s="2">
        <f t="shared" si="13"/>
        <v>1468.4224128723145</v>
      </c>
      <c r="AH30" s="2">
        <v>-5.2358476295921719E-5</v>
      </c>
      <c r="AI30" s="2">
        <f t="shared" si="14"/>
        <v>1468.4226959943771</v>
      </c>
      <c r="AJ30" s="2">
        <v>1.2384984165692003E-4</v>
      </c>
      <c r="AK30" s="2">
        <f t="shared" si="9"/>
        <v>1468.4225544333458</v>
      </c>
      <c r="AL30" s="2">
        <v>3.5851448160428845E-5</v>
      </c>
      <c r="AM30" s="2">
        <f t="shared" si="10"/>
        <v>-1.8771271986822798E-9</v>
      </c>
      <c r="AN30" s="2">
        <f t="shared" si="11"/>
        <v>4.4401961778403898E-9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0.96949011832475662</v>
      </c>
      <c r="W31" s="2">
        <f t="shared" si="0"/>
        <v>6.620689219083431E-9</v>
      </c>
      <c r="X31" s="2">
        <f t="shared" si="8"/>
        <v>0.96949012577533722</v>
      </c>
      <c r="Y31" s="2">
        <f t="shared" si="1"/>
        <v>-9.6851460185121141E-10</v>
      </c>
      <c r="Z31" s="2">
        <f t="shared" si="3"/>
        <v>0.96949012205004692</v>
      </c>
      <c r="AA31" s="2">
        <f t="shared" si="2"/>
        <v>2.826087364127261E-9</v>
      </c>
      <c r="AB31" s="2">
        <f t="shared" si="4"/>
        <v>1.8710646143865268E-17</v>
      </c>
      <c r="AC31" s="2">
        <f t="shared" si="5"/>
        <v>-2.7371068782644537E-18</v>
      </c>
      <c r="AD31" s="2">
        <f t="shared" si="6"/>
        <v>7.4505805969238281E-9</v>
      </c>
      <c r="AF31" s="2">
        <v>27</v>
      </c>
      <c r="AG31" s="2">
        <f t="shared" si="13"/>
        <v>1468.4224128723145</v>
      </c>
      <c r="AH31" s="2">
        <v>-5.2358476295921719E-5</v>
      </c>
      <c r="AI31" s="2">
        <f t="shared" si="14"/>
        <v>1468.4225544333458</v>
      </c>
      <c r="AJ31" s="2">
        <v>3.5851448160428845E-5</v>
      </c>
      <c r="AK31" s="2">
        <f t="shared" si="9"/>
        <v>1468.4224836528301</v>
      </c>
      <c r="AL31" s="2">
        <v>-8.2535140109030181E-6</v>
      </c>
      <c r="AM31" s="2">
        <f t="shared" si="10"/>
        <v>4.3214141769792346E-10</v>
      </c>
      <c r="AN31" s="2">
        <f t="shared" si="11"/>
        <v>-2.9590042970326269E-10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0.96949012205004692</v>
      </c>
      <c r="W32" s="2">
        <f t="shared" si="0"/>
        <v>2.826087364127261E-9</v>
      </c>
      <c r="X32" s="2">
        <f t="shared" si="8"/>
        <v>0.96949012577533722</v>
      </c>
      <c r="Y32" s="2">
        <f t="shared" si="1"/>
        <v>-9.6851460185121141E-10</v>
      </c>
      <c r="Z32" s="2">
        <f t="shared" si="3"/>
        <v>0.96949012391269207</v>
      </c>
      <c r="AA32" s="2">
        <f t="shared" si="2"/>
        <v>9.2878638113802481E-10</v>
      </c>
      <c r="AB32" s="2">
        <f t="shared" si="4"/>
        <v>2.6248314557076582E-18</v>
      </c>
      <c r="AC32" s="2">
        <f t="shared" si="5"/>
        <v>-8.9954317213272159E-19</v>
      </c>
      <c r="AD32" s="2">
        <f t="shared" si="6"/>
        <v>3.7252902984619141E-9</v>
      </c>
      <c r="AF32" s="2">
        <v>28</v>
      </c>
      <c r="AG32" s="2">
        <f t="shared" si="13"/>
        <v>1468.4224836528301</v>
      </c>
      <c r="AH32" s="2">
        <v>-8.2535140109030181E-6</v>
      </c>
      <c r="AI32" s="2">
        <f t="shared" si="14"/>
        <v>1468.4225544333458</v>
      </c>
      <c r="AJ32" s="2">
        <v>3.5851448160428845E-5</v>
      </c>
      <c r="AK32" s="2">
        <f t="shared" si="9"/>
        <v>1468.422519043088</v>
      </c>
      <c r="AL32" s="2">
        <v>1.3798966961076076E-5</v>
      </c>
      <c r="AM32" s="2">
        <f t="shared" si="10"/>
        <v>-1.1388996714922923E-10</v>
      </c>
      <c r="AN32" s="2">
        <f t="shared" si="11"/>
        <v>4.9471294867248932E-10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100.91814063901059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0.96949012391269207</v>
      </c>
      <c r="W33" s="2">
        <f t="shared" si="0"/>
        <v>9.2878638113802481E-10</v>
      </c>
      <c r="X33" s="2">
        <f t="shared" si="8"/>
        <v>0.96949012577533722</v>
      </c>
      <c r="Y33" s="2">
        <f t="shared" si="1"/>
        <v>-9.6851460185121141E-10</v>
      </c>
      <c r="Z33" s="2">
        <f t="shared" si="3"/>
        <v>0.96949012484401464</v>
      </c>
      <c r="AA33" s="2">
        <f t="shared" si="2"/>
        <v>-1.9864110356593301E-11</v>
      </c>
      <c r="AB33" s="2">
        <f t="shared" si="4"/>
        <v>-1.8449515172626651E-20</v>
      </c>
      <c r="AC33" s="2">
        <f t="shared" si="5"/>
        <v>1.9238680933144486E-20</v>
      </c>
      <c r="AD33" s="2">
        <f t="shared" si="6"/>
        <v>1.862645149230957E-9</v>
      </c>
      <c r="AF33" s="2">
        <v>29</v>
      </c>
      <c r="AG33" s="2">
        <f t="shared" si="13"/>
        <v>1468.4224836528301</v>
      </c>
      <c r="AH33" s="2">
        <v>-8.2535140109030181E-6</v>
      </c>
      <c r="AI33" s="2">
        <f t="shared" si="14"/>
        <v>1468.422519043088</v>
      </c>
      <c r="AJ33" s="2">
        <v>1.3798966961076076E-5</v>
      </c>
      <c r="AK33" s="2">
        <f t="shared" si="9"/>
        <v>1468.422501347959</v>
      </c>
      <c r="AL33" s="2">
        <v>2.7727265887733665E-6</v>
      </c>
      <c r="AM33" s="2">
        <f t="shared" si="10"/>
        <v>-2.2884737748844312E-11</v>
      </c>
      <c r="AN33" s="2">
        <f t="shared" si="11"/>
        <v>3.8260762590580855E-11</v>
      </c>
      <c r="AO33" s="2">
        <f t="shared" si="12"/>
        <v>3.5390257835388184E-5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40.86</v>
      </c>
      <c r="L34" s="6" t="s">
        <v>59</v>
      </c>
      <c r="U34" s="2">
        <v>30</v>
      </c>
      <c r="V34" s="2">
        <f t="shared" si="7"/>
        <v>0.96949012391269207</v>
      </c>
      <c r="W34" s="2">
        <f t="shared" si="0"/>
        <v>9.2878638113802481E-10</v>
      </c>
      <c r="X34" s="2">
        <f t="shared" si="8"/>
        <v>0.96949012484401464</v>
      </c>
      <c r="Y34" s="2">
        <f t="shared" si="1"/>
        <v>-1.9864110356593301E-11</v>
      </c>
      <c r="Z34" s="2">
        <f t="shared" si="3"/>
        <v>0.96949012437835336</v>
      </c>
      <c r="AA34" s="2">
        <f t="shared" si="2"/>
        <v>4.5446113539071575E-10</v>
      </c>
      <c r="AB34" s="2">
        <f t="shared" si="4"/>
        <v>4.2209731330742082E-19</v>
      </c>
      <c r="AC34" s="2">
        <f t="shared" si="5"/>
        <v>-9.0274661461838671E-21</v>
      </c>
      <c r="AD34" s="2">
        <f t="shared" si="6"/>
        <v>9.3132257461547852E-10</v>
      </c>
      <c r="AF34" s="2">
        <v>30</v>
      </c>
      <c r="AG34" s="2">
        <f t="shared" si="13"/>
        <v>1468.4224836528301</v>
      </c>
      <c r="AH34" s="2">
        <v>-8.2535140109030181E-6</v>
      </c>
      <c r="AI34" s="2">
        <f t="shared" si="14"/>
        <v>1468.422501347959</v>
      </c>
      <c r="AJ34" s="2">
        <v>2.7727265887733665E-6</v>
      </c>
      <c r="AK34" s="2">
        <f t="shared" si="9"/>
        <v>1468.4224925003946</v>
      </c>
      <c r="AL34" s="2">
        <v>-2.740393597377988E-6</v>
      </c>
      <c r="AM34" s="2">
        <f t="shared" si="10"/>
        <v>2.2617876951348149E-11</v>
      </c>
      <c r="AN34" s="2">
        <f t="shared" si="11"/>
        <v>-7.5983621911542432E-12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13.03</v>
      </c>
      <c r="L35" s="6" t="s">
        <v>59</v>
      </c>
      <c r="AF35" s="2">
        <v>31</v>
      </c>
      <c r="AG35" s="2">
        <f t="shared" si="13"/>
        <v>1468.4224925003946</v>
      </c>
      <c r="AH35" s="2">
        <v>-2.740393597377988E-6</v>
      </c>
      <c r="AI35" s="2">
        <f t="shared" si="14"/>
        <v>1468.422501347959</v>
      </c>
      <c r="AJ35" s="2">
        <v>2.7727265887733665E-6</v>
      </c>
      <c r="AK35" s="2">
        <f t="shared" si="9"/>
        <v>1468.4224969241768</v>
      </c>
      <c r="AL35" s="2">
        <v>1.6166495697689243E-8</v>
      </c>
      <c r="AM35" s="2">
        <f t="shared" si="10"/>
        <v>-4.430256130198639E-14</v>
      </c>
      <c r="AN35" s="2">
        <f t="shared" si="11"/>
        <v>4.48252724682732E-14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15.56</v>
      </c>
      <c r="L36" s="6" t="s">
        <v>59</v>
      </c>
      <c r="AF36" s="2">
        <v>32</v>
      </c>
      <c r="AG36" s="2">
        <f t="shared" si="13"/>
        <v>1468.4224925003946</v>
      </c>
      <c r="AH36" s="2">
        <v>-2.740393597377988E-6</v>
      </c>
      <c r="AI36" s="2">
        <f t="shared" si="14"/>
        <v>1468.4224969241768</v>
      </c>
      <c r="AJ36" s="2">
        <v>1.6166495697689243E-8</v>
      </c>
      <c r="AK36" s="2">
        <f t="shared" si="9"/>
        <v>1468.4224947122857</v>
      </c>
      <c r="AL36" s="2">
        <v>-1.362113721370406E-6</v>
      </c>
      <c r="AM36" s="2">
        <f t="shared" si="10"/>
        <v>3.7327277209441653E-12</v>
      </c>
      <c r="AN36" s="2">
        <f t="shared" si="11"/>
        <v>-2.2020605616298152E-14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25.83</v>
      </c>
      <c r="L37" s="6" t="s">
        <v>59</v>
      </c>
      <c r="AF37" s="2">
        <v>33</v>
      </c>
      <c r="AG37" s="2">
        <f t="shared" si="13"/>
        <v>1468.4224947122857</v>
      </c>
      <c r="AH37" s="2">
        <v>-1.362113721370406E-6</v>
      </c>
      <c r="AI37" s="2">
        <f t="shared" si="14"/>
        <v>1468.4224969241768</v>
      </c>
      <c r="AJ37" s="2">
        <v>1.6166495697689243E-8</v>
      </c>
      <c r="AK37" s="2">
        <f t="shared" si="9"/>
        <v>1468.4224958182313</v>
      </c>
      <c r="AL37" s="2">
        <v>-6.7297378336661495E-7</v>
      </c>
      <c r="AM37" s="2">
        <f t="shared" si="10"/>
        <v>9.1666682444622132E-13</v>
      </c>
      <c r="AN37" s="2">
        <f t="shared" si="11"/>
        <v>-1.0879627773454033E-14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4.72</v>
      </c>
      <c r="L38" s="6" t="s">
        <v>59</v>
      </c>
      <c r="AF38" s="2">
        <v>34</v>
      </c>
      <c r="AG38" s="2">
        <f t="shared" si="13"/>
        <v>1468.4224958182313</v>
      </c>
      <c r="AH38" s="2">
        <v>-6.7297378336661495E-7</v>
      </c>
      <c r="AI38" s="2">
        <f t="shared" si="14"/>
        <v>1468.4224969241768</v>
      </c>
      <c r="AJ38" s="2">
        <v>1.6166495697689243E-8</v>
      </c>
      <c r="AK38" s="2">
        <f t="shared" si="9"/>
        <v>1468.422496371204</v>
      </c>
      <c r="AL38" s="2">
        <v>-3.2840353014762513E-7</v>
      </c>
      <c r="AM38" s="2">
        <f t="shared" si="10"/>
        <v>2.2100696615439948E-13</v>
      </c>
      <c r="AN38" s="2">
        <f t="shared" si="11"/>
        <v>-5.3091342572375412E-15</v>
      </c>
      <c r="AO38" s="2">
        <f t="shared" si="12"/>
        <v>1.1059455573558807E-6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1468.422496371204</v>
      </c>
      <c r="AH39" s="2">
        <v>-3.2840353014762513E-7</v>
      </c>
      <c r="AI39" s="2">
        <f t="shared" si="14"/>
        <v>1468.4224969241768</v>
      </c>
      <c r="AJ39" s="2">
        <v>1.6166495697689243E-8</v>
      </c>
      <c r="AK39" s="2">
        <f t="shared" si="9"/>
        <v>1468.4224966476904</v>
      </c>
      <c r="AL39" s="2">
        <v>-1.5611851722496795E-7</v>
      </c>
      <c r="AM39" s="2">
        <f t="shared" si="10"/>
        <v>5.1269872178092294E-14</v>
      </c>
      <c r="AN39" s="2">
        <f t="shared" si="11"/>
        <v>-2.5238893370470682E-15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1468.4224966476904</v>
      </c>
      <c r="AH40" s="2">
        <v>-1.5611851722496795E-7</v>
      </c>
      <c r="AI40" s="2">
        <f t="shared" si="14"/>
        <v>1468.4224969241768</v>
      </c>
      <c r="AJ40" s="2">
        <v>1.6166495697689243E-8</v>
      </c>
      <c r="AK40" s="2">
        <f t="shared" si="9"/>
        <v>1468.4224967859336</v>
      </c>
      <c r="AL40" s="2">
        <v>-6.9976067607058212E-8</v>
      </c>
      <c r="AM40" s="2">
        <f t="shared" si="10"/>
        <v>1.0924559916048039E-14</v>
      </c>
      <c r="AN40" s="2">
        <f t="shared" si="11"/>
        <v>-1.1312677959107182E-15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1468.4224967859336</v>
      </c>
      <c r="AH41" s="2">
        <v>-6.9976067607058212E-8</v>
      </c>
      <c r="AI41" s="2">
        <f t="shared" si="14"/>
        <v>1468.4224969241768</v>
      </c>
      <c r="AJ41" s="2">
        <v>1.6166495697689243E-8</v>
      </c>
      <c r="AK41" s="2">
        <f t="shared" si="9"/>
        <v>1468.4224968550552</v>
      </c>
      <c r="AL41" s="2">
        <v>-2.6904785954684485E-8</v>
      </c>
      <c r="AM41" s="2">
        <f t="shared" si="10"/>
        <v>1.8826911209184317E-15</v>
      </c>
      <c r="AN41" s="2">
        <f t="shared" si="11"/>
        <v>-4.3495610638365669E-16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1468.4224968550552</v>
      </c>
      <c r="AH42" s="2">
        <v>-2.6904785954684485E-8</v>
      </c>
      <c r="AI42" s="2">
        <f t="shared" si="14"/>
        <v>1468.4224969241768</v>
      </c>
      <c r="AJ42" s="2">
        <v>1.6166495697689243E-8</v>
      </c>
      <c r="AK42" s="2">
        <f t="shared" si="9"/>
        <v>1468.422496889616</v>
      </c>
      <c r="AL42" s="2">
        <v>-5.3692019719164819E-9</v>
      </c>
      <c r="AM42" s="2">
        <f t="shared" si="10"/>
        <v>1.444572298018828E-16</v>
      </c>
      <c r="AN42" s="2">
        <f t="shared" si="11"/>
        <v>-8.6801180579012402E-17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191.37</v>
      </c>
      <c r="L43" s="6" t="s">
        <v>7</v>
      </c>
      <c r="AF43" s="2">
        <v>39</v>
      </c>
      <c r="AG43" s="2">
        <f t="shared" si="13"/>
        <v>1468.422496889616</v>
      </c>
      <c r="AH43" s="2">
        <v>-5.3692019719164819E-9</v>
      </c>
      <c r="AI43" s="2">
        <f t="shared" si="14"/>
        <v>1468.4224969241768</v>
      </c>
      <c r="AJ43" s="2">
        <v>1.6166495697689243E-8</v>
      </c>
      <c r="AK43" s="2">
        <f t="shared" si="9"/>
        <v>1468.4224969068964</v>
      </c>
      <c r="AL43" s="2">
        <v>5.3988742365618236E-9</v>
      </c>
      <c r="AM43" s="2">
        <f t="shared" si="10"/>
        <v>-2.8987646197076834E-17</v>
      </c>
      <c r="AN43" s="2">
        <f t="shared" si="11"/>
        <v>8.7280877117742016E-17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228.45</v>
      </c>
      <c r="L44" s="6" t="s">
        <v>7</v>
      </c>
      <c r="AF44" s="2">
        <v>40</v>
      </c>
      <c r="AG44" s="2">
        <f t="shared" si="13"/>
        <v>1468.422496889616</v>
      </c>
      <c r="AH44" s="2">
        <v>-5.3692019719164819E-9</v>
      </c>
      <c r="AI44" s="2">
        <f t="shared" si="14"/>
        <v>1468.4224969068964</v>
      </c>
      <c r="AJ44" s="2">
        <v>5.3988742365618236E-9</v>
      </c>
      <c r="AK44" s="5">
        <f t="shared" si="9"/>
        <v>1468.4224968982562</v>
      </c>
      <c r="AL44" s="2">
        <v>1.4779288903810084E-11</v>
      </c>
      <c r="AM44" s="2">
        <f t="shared" si="10"/>
        <v>-7.9352987125860482E-20</v>
      </c>
      <c r="AN44" s="2">
        <f t="shared" si="11"/>
        <v>7.9791522097484298E-20</v>
      </c>
      <c r="AO44" s="2">
        <f t="shared" si="12"/>
        <v>1.7280399333685637E-8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379.32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69.28</v>
      </c>
      <c r="L46" s="6" t="s">
        <v>7</v>
      </c>
    </row>
    <row r="47" spans="2:41" x14ac:dyDescent="0.2">
      <c r="J47" s="9" t="s">
        <v>60</v>
      </c>
      <c r="K47" s="9">
        <f>SUM(K42:K46)</f>
        <v>1468.4199999999998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700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N18:P18"/>
    <mergeCell ref="B20:D20"/>
    <mergeCell ref="F22:H22"/>
    <mergeCell ref="B27:D27"/>
    <mergeCell ref="F31:H31"/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</mergeCells>
  <conditionalFormatting sqref="K31">
    <cfRule type="containsText" dxfId="29" priority="1" operator="containsText" text="FALSE">
      <formula>NOT(ISERROR(SEARCH("FALSE",K31)))</formula>
    </cfRule>
    <cfRule type="containsText" dxfId="28" priority="2" operator="containsText" text="TRUE">
      <formula>NOT(ISERROR(SEARCH("TRUE",K31)))</formula>
    </cfRule>
    <cfRule type="cellIs" dxfId="27" priority="3" operator="equal">
      <formula>1</formula>
    </cfRule>
    <cfRule type="cellIs" dxfId="26" priority="4" operator="equal">
      <formula>TRUE</formula>
    </cfRule>
    <cfRule type="containsText" dxfId="25" priority="5" operator="containsText" text="YES">
      <formula>NOT(ISERROR(SEARCH("YES",K31)))</formula>
    </cfRule>
    <cfRule type="cellIs" dxfId="24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8DE5-F646-D64D-A5A6-5B909971DE1C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599.36488845134249</v>
      </c>
      <c r="L4" s="6" t="s">
        <v>97</v>
      </c>
      <c r="N4" s="6" t="s">
        <v>131</v>
      </c>
      <c r="O4" s="6">
        <f xml:space="preserve"> $C$5 * $C$74</f>
        <v>21902.541791508156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1.2113583231777423</v>
      </c>
      <c r="X4" s="3">
        <v>1</v>
      </c>
      <c r="Y4" s="2">
        <f t="shared" ref="Y4:Y34" si="1" xml:space="preserve"> $O$22 * TAN($O$19/180*PI()) + $O$23 / (2 * SQRT($O$22^2 + X4^2)) - X4</f>
        <v>-2.7134323119717418E-2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0.49399710089792725</v>
      </c>
      <c r="AB4" s="2">
        <f>W4*AA4</f>
        <v>0.59840749979837915</v>
      </c>
      <c r="AC4" s="2">
        <f>Y4*AA4</f>
        <v>-1.3404276955968006E-2</v>
      </c>
      <c r="AD4" s="2">
        <f>X4-V4</f>
        <v>1</v>
      </c>
      <c r="AF4" s="2">
        <v>0</v>
      </c>
      <c r="AH4" s="2">
        <f>K30</f>
        <v>-4.026794249057275E-3</v>
      </c>
      <c r="AJ4" s="2">
        <f>K30</f>
        <v>-4.026794249057275E-3</v>
      </c>
      <c r="AL4" s="2">
        <f>K30</f>
        <v>-4.026794249057275E-3</v>
      </c>
    </row>
    <row r="5" spans="2:41" x14ac:dyDescent="0.2">
      <c r="B5" s="9" t="s">
        <v>38</v>
      </c>
      <c r="C5" s="9">
        <v>2234.8269843473099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74.920611056417812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0.49399710089792725</v>
      </c>
      <c r="X5" s="2">
        <f>IF(AC4&gt;0, Z4, X4)</f>
        <v>1</v>
      </c>
      <c r="Y5" s="2">
        <f t="shared" si="1"/>
        <v>-2.7134323119717418E-2</v>
      </c>
      <c r="Z5" s="2">
        <f t="shared" ref="Z5:Z34" si="3" xml:space="preserve"> (V5 + X5)/2</f>
        <v>0.75</v>
      </c>
      <c r="AA5" s="2">
        <f t="shared" si="2"/>
        <v>0.22997897784137089</v>
      </c>
      <c r="AB5" s="2">
        <f t="shared" ref="AB5:AB34" si="4">W5*AA5</f>
        <v>0.11360894832110587</v>
      </c>
      <c r="AC5" s="2">
        <f t="shared" ref="AC5:AC34" si="5">Y5*AA5</f>
        <v>-6.2403238954900899E-3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-872.34397432230048</v>
      </c>
      <c r="AI5" s="3">
        <v>10000</v>
      </c>
      <c r="AJ5" s="2">
        <f t="dataTable" ref="AJ5:AJ44" dt2D="0" dtr="0" r1="C5" ca="1"/>
        <v>2430.7804298532856</v>
      </c>
      <c r="AK5" s="2">
        <f>(AG5+AI5)/2</f>
        <v>5250</v>
      </c>
      <c r="AL5" s="2">
        <f t="dataTable" ref="AL5:AL44" dt2D="0" dtr="0" r1="C5" ca="1"/>
        <v>1550.0759795897297</v>
      </c>
      <c r="AM5" s="2">
        <f>AH5*AL5</f>
        <v>-1352199.440536838</v>
      </c>
      <c r="AN5" s="2">
        <f>AJ5*AL5</f>
        <v>3767894.3559723762</v>
      </c>
      <c r="AO5" s="2">
        <f>AI5-AG5</f>
        <v>9500</v>
      </c>
    </row>
    <row r="6" spans="2:41" x14ac:dyDescent="0.2">
      <c r="B6" s="6" t="s">
        <v>168</v>
      </c>
      <c r="C6" s="16">
        <v>419.57494698678801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181.99927035292149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0.22381499832448409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0.22997897784137089</v>
      </c>
      <c r="X6" s="2">
        <f t="shared" ref="X6:X34" si="8">IF(AC5&gt;0, Z5, X5)</f>
        <v>1</v>
      </c>
      <c r="Y6" s="2">
        <f t="shared" si="1"/>
        <v>-2.7134323119717418E-2</v>
      </c>
      <c r="Z6" s="2">
        <f t="shared" si="3"/>
        <v>0.875</v>
      </c>
      <c r="AA6" s="2">
        <f t="shared" si="2"/>
        <v>0.10092116139702412</v>
      </c>
      <c r="AB6" s="2">
        <f t="shared" si="4"/>
        <v>2.3209745540651625E-2</v>
      </c>
      <c r="AC6" s="2">
        <f t="shared" si="5"/>
        <v>-2.7384274029640045E-3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-872.34397432230048</v>
      </c>
      <c r="AI6" s="2">
        <f>IF(AN5&gt;0,AK5,AI5)</f>
        <v>5250</v>
      </c>
      <c r="AJ6" s="2">
        <v>1550.0759795897297</v>
      </c>
      <c r="AK6" s="2">
        <f t="shared" ref="AK6:AK44" si="9">(AG6+AI6)/2</f>
        <v>2875</v>
      </c>
      <c r="AL6" s="2">
        <v>237.03670063656364</v>
      </c>
      <c r="AM6" s="2">
        <f t="shared" ref="AM6:AM44" si="10">AH6*AL6</f>
        <v>-206777.5374935453</v>
      </c>
      <c r="AN6" s="2">
        <f t="shared" ref="AN6:AN44" si="11">AJ6*AL6</f>
        <v>367424.89593793888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2738.0796254525139</v>
      </c>
      <c r="H7" s="6" t="s">
        <v>21</v>
      </c>
      <c r="J7" s="6" t="s">
        <v>133</v>
      </c>
      <c r="K7" s="6">
        <f>K6/$C$28</f>
        <v>181.99927035292149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0.10092116139702412</v>
      </c>
      <c r="X7" s="2">
        <f t="shared" si="8"/>
        <v>1</v>
      </c>
      <c r="Y7" s="2">
        <f t="shared" si="1"/>
        <v>-2.7134323119717418E-2</v>
      </c>
      <c r="Z7" s="2">
        <f t="shared" si="3"/>
        <v>0.9375</v>
      </c>
      <c r="AA7" s="2">
        <f t="shared" si="2"/>
        <v>3.6792767793684789E-2</v>
      </c>
      <c r="AB7" s="2">
        <f t="shared" si="4"/>
        <v>3.7131688567496935E-3</v>
      </c>
      <c r="AC7" s="2">
        <f t="shared" si="5"/>
        <v>-9.9834684978257569E-4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-872.34397432230048</v>
      </c>
      <c r="AI7" s="2">
        <f t="shared" ref="AI7:AI44" si="14">IF(AN6&gt;0,AK6,AI6)</f>
        <v>2875</v>
      </c>
      <c r="AJ7" s="2">
        <v>237.03670063656364</v>
      </c>
      <c r="AK7" s="2">
        <f t="shared" si="9"/>
        <v>1687.5</v>
      </c>
      <c r="AL7" s="2">
        <v>-239.45273918695352</v>
      </c>
      <c r="AM7" s="2">
        <f t="shared" si="10"/>
        <v>208885.15416470831</v>
      </c>
      <c r="AN7" s="2">
        <f t="shared" si="11"/>
        <v>-56759.087255263054</v>
      </c>
      <c r="AO7" s="2">
        <f t="shared" si="12"/>
        <v>2375</v>
      </c>
    </row>
    <row r="8" spans="2:41" x14ac:dyDescent="0.2">
      <c r="B8" s="6" t="s">
        <v>91</v>
      </c>
      <c r="C8" s="16">
        <v>1.65820448767796</v>
      </c>
      <c r="D8" s="6" t="s">
        <v>8</v>
      </c>
      <c r="F8" t="s">
        <v>93</v>
      </c>
      <c r="G8" s="6">
        <f>G10/$C$21</f>
        <v>49.94707403761187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3.6792767793684789E-2</v>
      </c>
      <c r="X8" s="2">
        <f t="shared" si="8"/>
        <v>1</v>
      </c>
      <c r="Y8" s="2">
        <f t="shared" si="1"/>
        <v>-2.7134323119717418E-2</v>
      </c>
      <c r="Z8" s="2">
        <f t="shared" si="3"/>
        <v>0.96875</v>
      </c>
      <c r="AA8" s="2">
        <f t="shared" si="2"/>
        <v>4.8064578850897099E-3</v>
      </c>
      <c r="AB8" s="2">
        <f t="shared" si="4"/>
        <v>1.7684288887623097E-4</v>
      </c>
      <c r="AC8" s="2">
        <f t="shared" si="5"/>
        <v>-1.304199813153378E-4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-239.45273918695352</v>
      </c>
      <c r="AI8" s="2">
        <f t="shared" si="14"/>
        <v>2875</v>
      </c>
      <c r="AJ8" s="2">
        <v>237.03670063656364</v>
      </c>
      <c r="AK8" s="2">
        <f t="shared" si="9"/>
        <v>2281.25</v>
      </c>
      <c r="AL8" s="2">
        <v>18.741948437454766</v>
      </c>
      <c r="AM8" s="2">
        <f t="shared" si="10"/>
        <v>-4487.8108910491874</v>
      </c>
      <c r="AN8" s="2">
        <f t="shared" si="11"/>
        <v>4442.529621114877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5.5929877460499693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4.8064578850897099E-3</v>
      </c>
      <c r="X9" s="2">
        <f t="shared" si="8"/>
        <v>1</v>
      </c>
      <c r="Y9" s="2">
        <f t="shared" si="1"/>
        <v>-2.7134323119717418E-2</v>
      </c>
      <c r="Z9" s="2">
        <f t="shared" si="3"/>
        <v>0.984375</v>
      </c>
      <c r="AA9" s="2">
        <f t="shared" si="2"/>
        <v>-1.1169356627682814E-2</v>
      </c>
      <c r="AB9" s="2">
        <f t="shared" si="4"/>
        <v>-5.3685042234505069E-5</v>
      </c>
      <c r="AC9" s="2">
        <f t="shared" si="5"/>
        <v>3.0307293177490277E-4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-239.45273918695352</v>
      </c>
      <c r="AI9" s="2">
        <f t="shared" si="14"/>
        <v>2281.25</v>
      </c>
      <c r="AJ9" s="2">
        <v>18.741948437454766</v>
      </c>
      <c r="AK9" s="2">
        <f t="shared" si="9"/>
        <v>1984.375</v>
      </c>
      <c r="AL9" s="2">
        <v>-105.35279686246167</v>
      </c>
      <c r="AM9" s="2">
        <f t="shared" si="10"/>
        <v>25227.015789723129</v>
      </c>
      <c r="AN9" s="2">
        <f t="shared" si="11"/>
        <v>-1974.5166865379031</v>
      </c>
      <c r="AO9" s="2">
        <f t="shared" si="12"/>
        <v>593.75</v>
      </c>
    </row>
    <row r="10" spans="2:41" x14ac:dyDescent="0.2">
      <c r="B10" s="6" t="s">
        <v>134</v>
      </c>
      <c r="C10" s="16">
        <v>1.5981888185648001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399.57659230089496</v>
      </c>
      <c r="H10" s="22" t="s">
        <v>97</v>
      </c>
      <c r="J10" s="6" t="s">
        <v>92</v>
      </c>
      <c r="K10" s="6">
        <f xml:space="preserve"> $C$18 * (G10*G6 + G20*G13 + G29*G25 + G33*G32)/3600</f>
        <v>122.32897434981757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4.8064578850897099E-3</v>
      </c>
      <c r="X10" s="2">
        <f t="shared" si="8"/>
        <v>0.984375</v>
      </c>
      <c r="Y10" s="2">
        <f t="shared" si="1"/>
        <v>-1.1169356627682814E-2</v>
      </c>
      <c r="Z10" s="2">
        <f t="shared" si="3"/>
        <v>0.9765625</v>
      </c>
      <c r="AA10" s="2">
        <f t="shared" si="2"/>
        <v>-3.1828374504997425E-3</v>
      </c>
      <c r="AB10" s="2">
        <f t="shared" si="4"/>
        <v>-1.5298174160913316E-5</v>
      </c>
      <c r="AC10" s="2">
        <f t="shared" si="5"/>
        <v>3.5550246572576366E-5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-105.35279686246167</v>
      </c>
      <c r="AI10" s="2">
        <f t="shared" si="14"/>
        <v>2281.25</v>
      </c>
      <c r="AJ10" s="2">
        <v>18.741948437454766</v>
      </c>
      <c r="AK10" s="2">
        <f t="shared" si="9"/>
        <v>2132.8125</v>
      </c>
      <c r="AL10" s="2">
        <v>-42.056093498866176</v>
      </c>
      <c r="AM10" s="2">
        <f t="shared" si="10"/>
        <v>4430.7270752147433</v>
      </c>
      <c r="AN10" s="2">
        <f t="shared" si="11"/>
        <v>-788.21313583652648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0.89560985040758323</v>
      </c>
      <c r="U11" s="2">
        <v>7</v>
      </c>
      <c r="V11" s="2">
        <f t="shared" si="7"/>
        <v>0.96875</v>
      </c>
      <c r="W11" s="2">
        <f t="shared" si="0"/>
        <v>4.8064578850897099E-3</v>
      </c>
      <c r="X11" s="2">
        <f t="shared" si="8"/>
        <v>0.9765625</v>
      </c>
      <c r="Y11" s="2">
        <f t="shared" si="1"/>
        <v>-3.1828374504997425E-3</v>
      </c>
      <c r="Z11" s="2">
        <f t="shared" si="3"/>
        <v>0.97265625</v>
      </c>
      <c r="AA11" s="2">
        <f t="shared" si="2"/>
        <v>8.1145907724200494E-4</v>
      </c>
      <c r="AB11" s="2">
        <f t="shared" si="4"/>
        <v>3.900243880237455E-6</v>
      </c>
      <c r="AC11" s="2">
        <f t="shared" si="5"/>
        <v>-2.5827423405938168E-6</v>
      </c>
      <c r="AD11" s="2">
        <f t="shared" si="6"/>
        <v>7.8125E-3</v>
      </c>
      <c r="AF11" s="2">
        <v>7</v>
      </c>
      <c r="AG11" s="2">
        <f t="shared" si="13"/>
        <v>2132.8125</v>
      </c>
      <c r="AH11" s="2">
        <v>-42.056093498866176</v>
      </c>
      <c r="AI11" s="2">
        <f t="shared" si="14"/>
        <v>2281.25</v>
      </c>
      <c r="AJ11" s="2">
        <v>18.741948437454766</v>
      </c>
      <c r="AK11" s="2">
        <f t="shared" si="9"/>
        <v>2207.03125</v>
      </c>
      <c r="AL11" s="2">
        <v>-11.344991334306314</v>
      </c>
      <c r="AM11" s="2">
        <f t="shared" si="10"/>
        <v>477.12601629941287</v>
      </c>
      <c r="AN11" s="2">
        <f t="shared" si="11"/>
        <v>-212.6272426109401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0.32198297102783496</v>
      </c>
      <c r="U12" s="2">
        <v>8</v>
      </c>
      <c r="V12" s="2">
        <f t="shared" si="7"/>
        <v>0.97265625</v>
      </c>
      <c r="W12" s="2">
        <f t="shared" si="0"/>
        <v>8.1145907724200494E-4</v>
      </c>
      <c r="X12" s="2">
        <f t="shared" si="8"/>
        <v>0.9765625</v>
      </c>
      <c r="Y12" s="2">
        <f t="shared" si="1"/>
        <v>-3.1828374504997425E-3</v>
      </c>
      <c r="Z12" s="2">
        <f t="shared" si="3"/>
        <v>0.974609375</v>
      </c>
      <c r="AA12" s="2">
        <f t="shared" si="2"/>
        <v>-1.1857764515438296E-3</v>
      </c>
      <c r="AB12" s="2">
        <f t="shared" si="4"/>
        <v>-9.6220906518505492E-7</v>
      </c>
      <c r="AC12" s="2">
        <f t="shared" si="5"/>
        <v>3.7741336978943941E-6</v>
      </c>
      <c r="AD12" s="2">
        <f t="shared" si="6"/>
        <v>3.90625E-3</v>
      </c>
      <c r="AF12" s="2">
        <v>8</v>
      </c>
      <c r="AG12" s="2">
        <f t="shared" si="13"/>
        <v>2207.03125</v>
      </c>
      <c r="AH12" s="2">
        <v>-11.344991334306314</v>
      </c>
      <c r="AI12" s="2">
        <f t="shared" si="14"/>
        <v>2281.25</v>
      </c>
      <c r="AJ12" s="2">
        <v>18.741948437454766</v>
      </c>
      <c r="AK12" s="2">
        <f t="shared" si="9"/>
        <v>2244.140625</v>
      </c>
      <c r="AL12" s="2">
        <v>3.7764645160038981</v>
      </c>
      <c r="AM12" s="2">
        <f t="shared" si="10"/>
        <v>-42.843957208379514</v>
      </c>
      <c r="AN12" s="2">
        <f t="shared" si="11"/>
        <v>70.77830323482263</v>
      </c>
      <c r="AO12" s="2">
        <f t="shared" si="12"/>
        <v>74.21875</v>
      </c>
    </row>
    <row r="13" spans="2:41" x14ac:dyDescent="0.2">
      <c r="B13" s="6" t="s">
        <v>136</v>
      </c>
      <c r="C13" s="16">
        <v>5.1573690247195501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2.5394931426857045E-2</v>
      </c>
      <c r="U13" s="2">
        <v>9</v>
      </c>
      <c r="V13" s="2">
        <f t="shared" si="7"/>
        <v>0.97265625</v>
      </c>
      <c r="W13" s="2">
        <f t="shared" si="0"/>
        <v>8.1145907724200494E-4</v>
      </c>
      <c r="X13" s="2">
        <f t="shared" si="8"/>
        <v>0.974609375</v>
      </c>
      <c r="Y13" s="2">
        <f t="shared" si="1"/>
        <v>-1.1857764515438296E-3</v>
      </c>
      <c r="Z13" s="2">
        <f t="shared" si="3"/>
        <v>0.9736328125</v>
      </c>
      <c r="AA13" s="2">
        <f t="shared" si="2"/>
        <v>-1.8718056807176531E-4</v>
      </c>
      <c r="AB13" s="2">
        <f t="shared" si="4"/>
        <v>-1.5188937104514896E-7</v>
      </c>
      <c r="AC13" s="2">
        <f t="shared" si="5"/>
        <v>2.2195430980609612E-7</v>
      </c>
      <c r="AD13" s="2">
        <f t="shared" si="6"/>
        <v>1.953125E-3</v>
      </c>
      <c r="AF13" s="2">
        <v>9</v>
      </c>
      <c r="AG13" s="2">
        <f t="shared" si="13"/>
        <v>2207.03125</v>
      </c>
      <c r="AH13" s="2">
        <v>-11.344991334306314</v>
      </c>
      <c r="AI13" s="2">
        <f t="shared" si="14"/>
        <v>2244.140625</v>
      </c>
      <c r="AJ13" s="2">
        <v>3.7764645160038981</v>
      </c>
      <c r="AK13" s="2">
        <f t="shared" si="9"/>
        <v>2225.5859375</v>
      </c>
      <c r="AL13" s="2">
        <v>-3.7647620553630077</v>
      </c>
      <c r="AM13" s="2">
        <f t="shared" si="10"/>
        <v>42.711192893818549</v>
      </c>
      <c r="AN13" s="2">
        <f t="shared" si="11"/>
        <v>-14.217490313276301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70.220877822712367</v>
      </c>
      <c r="H14" s="6" t="s">
        <v>10</v>
      </c>
      <c r="J14" s="9" t="s">
        <v>75</v>
      </c>
      <c r="K14" s="17">
        <f>C5</f>
        <v>2234.8269843473099</v>
      </c>
      <c r="L14" s="6" t="s">
        <v>7</v>
      </c>
      <c r="N14" s="6" t="s">
        <v>40</v>
      </c>
      <c r="O14" s="6">
        <f xml:space="preserve"> O5 * O13 * $C$12</f>
        <v>1727.4626204413039</v>
      </c>
      <c r="P14" s="6" t="s">
        <v>21</v>
      </c>
      <c r="U14" s="2">
        <v>10</v>
      </c>
      <c r="V14" s="2">
        <f t="shared" si="7"/>
        <v>0.97265625</v>
      </c>
      <c r="W14" s="2">
        <f t="shared" si="0"/>
        <v>8.1145907724200494E-4</v>
      </c>
      <c r="X14" s="2">
        <f t="shared" si="8"/>
        <v>0.9736328125</v>
      </c>
      <c r="Y14" s="2">
        <f t="shared" si="1"/>
        <v>-1.8718056807176531E-4</v>
      </c>
      <c r="Z14" s="2">
        <f t="shared" si="3"/>
        <v>0.97314453125</v>
      </c>
      <c r="AA14" s="2">
        <f t="shared" si="2"/>
        <v>3.1213377624050853E-4</v>
      </c>
      <c r="AB14" s="2">
        <f t="shared" si="4"/>
        <v>2.532837860441855E-7</v>
      </c>
      <c r="AC14" s="2">
        <f t="shared" si="5"/>
        <v>-5.8425377551083665E-8</v>
      </c>
      <c r="AD14" s="2">
        <f t="shared" si="6"/>
        <v>9.765625E-4</v>
      </c>
      <c r="AF14" s="2">
        <v>10</v>
      </c>
      <c r="AG14" s="2">
        <f t="shared" si="13"/>
        <v>2225.5859375</v>
      </c>
      <c r="AH14" s="2">
        <v>-3.7647620553630077</v>
      </c>
      <c r="AI14" s="2">
        <f t="shared" si="14"/>
        <v>2244.140625</v>
      </c>
      <c r="AJ14" s="2">
        <v>3.7764645160038981</v>
      </c>
      <c r="AK14" s="2">
        <f t="shared" si="9"/>
        <v>2234.86328125</v>
      </c>
      <c r="AL14" s="2">
        <v>1.0725887689432057E-2</v>
      </c>
      <c r="AM14" s="2">
        <f t="shared" si="10"/>
        <v>-4.0380414983259012E-2</v>
      </c>
      <c r="AN14" s="2">
        <f t="shared" si="11"/>
        <v>4.05059342617832E-2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0.21104985583105898</v>
      </c>
      <c r="H15" s="6" t="s">
        <v>120</v>
      </c>
      <c r="J15" s="10" t="s">
        <v>53</v>
      </c>
      <c r="K15" s="6">
        <f xml:space="preserve"> 1000 * K10 / ($C$60 * $C$61 * $C$62)</f>
        <v>719.58220205775035</v>
      </c>
      <c r="L15" s="6" t="s">
        <v>7</v>
      </c>
      <c r="N15" s="6" t="s">
        <v>140</v>
      </c>
      <c r="O15" s="6">
        <f>O4/O14</f>
        <v>12.679025023368004</v>
      </c>
      <c r="U15" s="2">
        <v>11</v>
      </c>
      <c r="V15" s="2">
        <f t="shared" si="7"/>
        <v>0.97314453125</v>
      </c>
      <c r="W15" s="2">
        <f t="shared" si="0"/>
        <v>3.1213377624050853E-4</v>
      </c>
      <c r="X15" s="2">
        <f t="shared" si="8"/>
        <v>0.9736328125</v>
      </c>
      <c r="Y15" s="2">
        <f t="shared" si="1"/>
        <v>-1.8718056807176531E-4</v>
      </c>
      <c r="Z15" s="2">
        <f t="shared" si="3"/>
        <v>0.973388671875</v>
      </c>
      <c r="AA15" s="2">
        <f t="shared" si="2"/>
        <v>6.2475235513725913E-5</v>
      </c>
      <c r="AB15" s="2">
        <f t="shared" si="4"/>
        <v>1.9500631182414397E-8</v>
      </c>
      <c r="AC15" s="2">
        <f t="shared" si="5"/>
        <v>-1.1694150073876543E-8</v>
      </c>
      <c r="AD15" s="2">
        <f t="shared" si="6"/>
        <v>4.8828125E-4</v>
      </c>
      <c r="AF15" s="2">
        <v>11</v>
      </c>
      <c r="AG15" s="2">
        <f t="shared" si="13"/>
        <v>2225.5859375</v>
      </c>
      <c r="AH15" s="2">
        <v>-3.7647620553630077</v>
      </c>
      <c r="AI15" s="2">
        <f t="shared" si="14"/>
        <v>2234.86328125</v>
      </c>
      <c r="AJ15" s="2">
        <v>1.0725887689432057E-2</v>
      </c>
      <c r="AK15" s="2">
        <f t="shared" si="9"/>
        <v>2230.224609375</v>
      </c>
      <c r="AL15" s="2">
        <v>-1.8757996701131106</v>
      </c>
      <c r="AM15" s="2">
        <f t="shared" si="10"/>
        <v>7.0619394215042854</v>
      </c>
      <c r="AN15" s="2">
        <f t="shared" si="11"/>
        <v>-2.0119616589506926E-2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1727.4626204413039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165.72595714286675</v>
      </c>
      <c r="L16" s="6" t="s">
        <v>7</v>
      </c>
      <c r="N16" s="6" t="s">
        <v>111</v>
      </c>
      <c r="O16" s="6">
        <f>(O13*$C$12)/(0.3048^2)/($C$5*2.20462/1000)^(2/3)</f>
        <v>2.8321740603961474</v>
      </c>
      <c r="U16" s="2">
        <v>12</v>
      </c>
      <c r="V16" s="2">
        <f t="shared" si="7"/>
        <v>0.973388671875</v>
      </c>
      <c r="W16" s="2">
        <f t="shared" si="0"/>
        <v>6.2475235513725913E-5</v>
      </c>
      <c r="X16" s="2">
        <f t="shared" si="8"/>
        <v>0.9736328125</v>
      </c>
      <c r="Y16" s="2">
        <f t="shared" si="1"/>
        <v>-1.8718056807176531E-4</v>
      </c>
      <c r="Z16" s="2">
        <f t="shared" si="3"/>
        <v>0.9735107421875</v>
      </c>
      <c r="AA16" s="2">
        <f t="shared" si="2"/>
        <v>-6.2353008294824264E-5</v>
      </c>
      <c r="AB16" s="2">
        <f t="shared" si="4"/>
        <v>-3.8955188782084515E-9</v>
      </c>
      <c r="AC16" s="2">
        <f t="shared" si="5"/>
        <v>1.1671271513608701E-8</v>
      </c>
      <c r="AD16" s="2">
        <f t="shared" si="6"/>
        <v>2.44140625E-4</v>
      </c>
      <c r="AF16" s="2">
        <v>12</v>
      </c>
      <c r="AG16" s="2">
        <f t="shared" si="13"/>
        <v>2230.224609375</v>
      </c>
      <c r="AH16" s="2">
        <v>-1.8757996701131106</v>
      </c>
      <c r="AI16" s="2">
        <f t="shared" si="14"/>
        <v>2234.86328125</v>
      </c>
      <c r="AJ16" s="2">
        <v>1.0725887689432057E-2</v>
      </c>
      <c r="AK16" s="2">
        <f t="shared" si="9"/>
        <v>2232.5439453125</v>
      </c>
      <c r="AL16" s="2">
        <v>-0.93223213782175662</v>
      </c>
      <c r="AM16" s="2">
        <f t="shared" si="10"/>
        <v>1.7486807365948909</v>
      </c>
      <c r="AN16" s="2">
        <f t="shared" si="11"/>
        <v>-9.999017210755308E-3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121.33284690194766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0.973388671875</v>
      </c>
      <c r="W17" s="2">
        <f t="shared" si="0"/>
        <v>6.2475235513725913E-5</v>
      </c>
      <c r="X17" s="2">
        <f t="shared" si="8"/>
        <v>0.9735107421875</v>
      </c>
      <c r="Y17" s="2">
        <f t="shared" si="1"/>
        <v>-6.2353008294824264E-5</v>
      </c>
      <c r="Z17" s="2">
        <f t="shared" si="3"/>
        <v>0.97344970703125</v>
      </c>
      <c r="AA17" s="2">
        <f t="shared" si="2"/>
        <v>6.1028089581860456E-8</v>
      </c>
      <c r="AB17" s="2">
        <f t="shared" si="4"/>
        <v>3.8127442695794945E-12</v>
      </c>
      <c r="AC17" s="2">
        <f t="shared" si="5"/>
        <v>-3.8052849759150231E-12</v>
      </c>
      <c r="AD17" s="2">
        <f t="shared" si="6"/>
        <v>1.220703125E-4</v>
      </c>
      <c r="AF17" s="2">
        <v>13</v>
      </c>
      <c r="AG17" s="2">
        <f t="shared" si="13"/>
        <v>2232.5439453125</v>
      </c>
      <c r="AH17" s="2">
        <v>-0.93223213782175662</v>
      </c>
      <c r="AI17" s="2">
        <f t="shared" si="14"/>
        <v>2234.86328125</v>
      </c>
      <c r="AJ17" s="2">
        <v>1.0725887689432057E-2</v>
      </c>
      <c r="AK17" s="2">
        <f t="shared" si="9"/>
        <v>2233.70361328125</v>
      </c>
      <c r="AL17" s="2">
        <v>-0.46067709610406382</v>
      </c>
      <c r="AM17" s="2">
        <f t="shared" si="10"/>
        <v>0.42945799414661023</v>
      </c>
      <c r="AN17" s="2">
        <f t="shared" si="11"/>
        <v>-4.9411707939058863E-3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1.4527124542936842</v>
      </c>
      <c r="H18" s="6" t="s">
        <v>172</v>
      </c>
      <c r="J18" s="12" t="s">
        <v>54</v>
      </c>
      <c r="K18" s="6">
        <f xml:space="preserve"> $C$78 * (0.2138 * K4 + 0.2138 * K6)</f>
        <v>133.64452572188131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0.97344970703125</v>
      </c>
      <c r="W18" s="2">
        <f t="shared" si="0"/>
        <v>6.1028089581860456E-8</v>
      </c>
      <c r="X18" s="2">
        <f t="shared" si="8"/>
        <v>0.9735107421875</v>
      </c>
      <c r="Y18" s="2">
        <f t="shared" si="1"/>
        <v>-6.2353008294824264E-5</v>
      </c>
      <c r="Z18" s="2">
        <f t="shared" si="3"/>
        <v>0.973480224609375</v>
      </c>
      <c r="AA18" s="2">
        <f t="shared" si="2"/>
        <v>-3.1146011480576163E-5</v>
      </c>
      <c r="AB18" s="2">
        <f t="shared" si="4"/>
        <v>-1.9007815787542562E-12</v>
      </c>
      <c r="AC18" s="2">
        <f t="shared" si="5"/>
        <v>1.9420475121990574E-9</v>
      </c>
      <c r="AD18" s="2">
        <f t="shared" si="6"/>
        <v>6.103515625E-5</v>
      </c>
      <c r="AF18" s="2">
        <v>14</v>
      </c>
      <c r="AG18" s="2">
        <f t="shared" si="13"/>
        <v>2233.70361328125</v>
      </c>
      <c r="AH18" s="2">
        <v>-0.46067709610406382</v>
      </c>
      <c r="AI18" s="2">
        <f t="shared" si="14"/>
        <v>2234.86328125</v>
      </c>
      <c r="AJ18" s="2">
        <v>1.0725887689432057E-2</v>
      </c>
      <c r="AK18" s="2">
        <f t="shared" si="9"/>
        <v>2234.283447265625</v>
      </c>
      <c r="AL18" s="2">
        <v>-0.22495683471834127</v>
      </c>
      <c r="AM18" s="2">
        <f t="shared" si="10"/>
        <v>0.1036324613668073</v>
      </c>
      <c r="AN18" s="2">
        <f t="shared" si="11"/>
        <v>-2.4128617441590587E-3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5.0928965020277668E-2</v>
      </c>
      <c r="J19" s="12" t="s">
        <v>73</v>
      </c>
      <c r="K19" s="6">
        <f xml:space="preserve"> $C$78 * (0.1149 * K4 + 0.1149 * K6)</f>
        <v>71.822993477287952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0.97344970703125</v>
      </c>
      <c r="W19" s="2">
        <f t="shared" si="0"/>
        <v>6.1028089581860456E-8</v>
      </c>
      <c r="X19" s="2">
        <f t="shared" si="8"/>
        <v>0.973480224609375</v>
      </c>
      <c r="Y19" s="2">
        <f t="shared" si="1"/>
        <v>-3.1146011480576163E-5</v>
      </c>
      <c r="Z19" s="2">
        <f t="shared" si="3"/>
        <v>0.9734649658203125</v>
      </c>
      <c r="AA19" s="2">
        <f t="shared" si="2"/>
        <v>-1.5542497040277325E-5</v>
      </c>
      <c r="AB19" s="2">
        <f t="shared" si="4"/>
        <v>-9.4852890169984563E-13</v>
      </c>
      <c r="AC19" s="2">
        <f t="shared" si="5"/>
        <v>4.8408679125329857E-10</v>
      </c>
      <c r="AD19" s="2">
        <f t="shared" si="6"/>
        <v>3.0517578125E-5</v>
      </c>
      <c r="AF19" s="2">
        <v>15</v>
      </c>
      <c r="AG19" s="2">
        <f t="shared" si="13"/>
        <v>2234.283447265625</v>
      </c>
      <c r="AH19" s="2">
        <v>-0.22495683471834127</v>
      </c>
      <c r="AI19" s="2">
        <f t="shared" si="14"/>
        <v>2234.86328125</v>
      </c>
      <c r="AJ19" s="2">
        <v>1.0725887689432057E-2</v>
      </c>
      <c r="AK19" s="2">
        <f t="shared" si="9"/>
        <v>2234.5733642578125</v>
      </c>
      <c r="AL19" s="2">
        <v>-0.10711046434198579</v>
      </c>
      <c r="AM19" s="2">
        <f t="shared" si="10"/>
        <v>2.4095231023584882E-2</v>
      </c>
      <c r="AN19" s="2">
        <f t="shared" si="11"/>
        <v>-1.1488548108950565E-3</v>
      </c>
      <c r="AO19" s="2">
        <f t="shared" si="12"/>
        <v>0.579833984375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121.33284690194766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215.39551353891579</v>
      </c>
      <c r="L20" s="6" t="s">
        <v>7</v>
      </c>
      <c r="N20" s="6" t="s">
        <v>20</v>
      </c>
      <c r="O20" s="6">
        <f xml:space="preserve"> O14 / $C$28</f>
        <v>1727.4626204413039</v>
      </c>
      <c r="P20" s="6" t="s">
        <v>21</v>
      </c>
      <c r="U20" s="2">
        <v>16</v>
      </c>
      <c r="V20" s="2">
        <f t="shared" si="7"/>
        <v>0.97344970703125</v>
      </c>
      <c r="W20" s="2">
        <f t="shared" si="0"/>
        <v>6.1028089581860456E-8</v>
      </c>
      <c r="X20" s="2">
        <f t="shared" si="8"/>
        <v>0.9734649658203125</v>
      </c>
      <c r="Y20" s="2">
        <f t="shared" si="1"/>
        <v>-1.5542497040277325E-5</v>
      </c>
      <c r="Z20" s="2">
        <f t="shared" si="3"/>
        <v>0.97345733642578125</v>
      </c>
      <c r="AA20" s="2">
        <f t="shared" si="2"/>
        <v>-7.7407358115566538E-6</v>
      </c>
      <c r="AB20" s="2">
        <f t="shared" si="4"/>
        <v>-4.7240231853719477E-13</v>
      </c>
      <c r="AC20" s="2">
        <f t="shared" si="5"/>
        <v>1.20310363440688E-10</v>
      </c>
      <c r="AD20" s="2">
        <f t="shared" si="6"/>
        <v>1.52587890625E-5</v>
      </c>
      <c r="AF20" s="2">
        <v>16</v>
      </c>
      <c r="AG20" s="2">
        <f t="shared" si="13"/>
        <v>2234.5733642578125</v>
      </c>
      <c r="AH20" s="2">
        <v>-0.10711046434198579</v>
      </c>
      <c r="AI20" s="2">
        <f t="shared" si="14"/>
        <v>2234.86328125</v>
      </c>
      <c r="AJ20" s="2">
        <v>1.0725887689432057E-2</v>
      </c>
      <c r="AK20" s="2">
        <f t="shared" si="9"/>
        <v>2234.7183227539062</v>
      </c>
      <c r="AL20" s="2">
        <v>-4.8191115239205828E-2</v>
      </c>
      <c r="AM20" s="2">
        <f t="shared" si="10"/>
        <v>5.1617727304294836E-3</v>
      </c>
      <c r="AN20" s="2">
        <f t="shared" si="11"/>
        <v>-5.1689248968419936E-4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58.105501593030063</v>
      </c>
      <c r="L21" s="6" t="s">
        <v>7</v>
      </c>
      <c r="N21" s="6" t="s">
        <v>27</v>
      </c>
      <c r="O21" s="6">
        <f>$C$6*2*PI()/60</f>
        <v>43.937785702800667</v>
      </c>
      <c r="P21" s="6" t="s">
        <v>28</v>
      </c>
      <c r="U21" s="2">
        <v>17</v>
      </c>
      <c r="V21" s="2">
        <f t="shared" si="7"/>
        <v>0.97344970703125</v>
      </c>
      <c r="W21" s="2">
        <f t="shared" si="0"/>
        <v>6.1028089581860456E-8</v>
      </c>
      <c r="X21" s="2">
        <f t="shared" si="8"/>
        <v>0.97345733642578125</v>
      </c>
      <c r="Y21" s="2">
        <f t="shared" si="1"/>
        <v>-7.7407358115566538E-6</v>
      </c>
      <c r="Z21" s="2">
        <f t="shared" si="3"/>
        <v>0.97345352172851562</v>
      </c>
      <c r="AA21" s="2">
        <f t="shared" si="2"/>
        <v>-3.8398541950535048E-6</v>
      </c>
      <c r="AB21" s="2">
        <f t="shared" si="4"/>
        <v>-2.3433896579700798E-13</v>
      </c>
      <c r="AC21" s="2">
        <f t="shared" si="5"/>
        <v>2.972329687880671E-11</v>
      </c>
      <c r="AD21" s="2">
        <f t="shared" si="6"/>
        <v>7.62939453125E-6</v>
      </c>
      <c r="AF21" s="2">
        <v>17</v>
      </c>
      <c r="AG21" s="2">
        <f t="shared" si="13"/>
        <v>2234.7183227539062</v>
      </c>
      <c r="AH21" s="2">
        <v>-4.8191115239205828E-2</v>
      </c>
      <c r="AI21" s="2">
        <f t="shared" si="14"/>
        <v>2234.86328125</v>
      </c>
      <c r="AJ21" s="2">
        <v>1.0725887689432057E-2</v>
      </c>
      <c r="AK21" s="2">
        <f t="shared" si="9"/>
        <v>2234.7908020019531</v>
      </c>
      <c r="AL21" s="2">
        <v>-1.8732637357061321E-2</v>
      </c>
      <c r="AM21" s="2">
        <f t="shared" si="10"/>
        <v>9.0274668560839423E-4</v>
      </c>
      <c r="AN21" s="2">
        <f t="shared" si="11"/>
        <v>-2.0092416441869909E-4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 xml:space="preserve"> $C$79 * (0.04674 * ($C$5*2.20462)^0.397 * ($C$12*3.28084^2)^0.36 * $C$46^0.397 * $C$13^1.712 * 0.453592)</f>
        <v>101.80392591910733</v>
      </c>
      <c r="L22" s="6" t="s">
        <v>7</v>
      </c>
      <c r="N22" s="6" t="s">
        <v>29</v>
      </c>
      <c r="O22" s="6">
        <f xml:space="preserve"> $C$7 * COS(O19/180*PI()) / (O21 * $C$10)</f>
        <v>8.3227605049914125E-2</v>
      </c>
      <c r="U22" s="2">
        <v>18</v>
      </c>
      <c r="V22" s="2">
        <f t="shared" si="7"/>
        <v>0.97344970703125</v>
      </c>
      <c r="W22" s="2">
        <f t="shared" si="0"/>
        <v>6.1028089581860456E-8</v>
      </c>
      <c r="X22" s="2">
        <f t="shared" si="8"/>
        <v>0.97345352172851562</v>
      </c>
      <c r="Y22" s="2">
        <f t="shared" si="1"/>
        <v>-3.8398541950535048E-6</v>
      </c>
      <c r="Z22" s="2">
        <f t="shared" si="3"/>
        <v>0.97345161437988281</v>
      </c>
      <c r="AA22" s="2">
        <f t="shared" si="2"/>
        <v>-1.8894131361690825E-6</v>
      </c>
      <c r="AB22" s="2">
        <f t="shared" si="4"/>
        <v>-1.1530727413127068E-13</v>
      </c>
      <c r="AC22" s="2">
        <f t="shared" si="5"/>
        <v>7.2550709571080501E-12</v>
      </c>
      <c r="AD22" s="2">
        <f t="shared" si="6"/>
        <v>3.814697265625E-6</v>
      </c>
      <c r="AF22" s="2">
        <v>18</v>
      </c>
      <c r="AG22" s="2">
        <f t="shared" si="13"/>
        <v>2234.7908020019531</v>
      </c>
      <c r="AH22" s="2">
        <v>-1.8732637357061321E-2</v>
      </c>
      <c r="AI22" s="2">
        <f t="shared" si="14"/>
        <v>2234.86328125</v>
      </c>
      <c r="AJ22" s="2">
        <v>1.0725887689432057E-2</v>
      </c>
      <c r="AK22" s="2">
        <f t="shared" si="9"/>
        <v>2234.8270416259766</v>
      </c>
      <c r="AL22" s="2">
        <v>-4.003301518423541E-3</v>
      </c>
      <c r="AM22" s="2">
        <f t="shared" si="10"/>
        <v>7.4992395575601141E-5</v>
      </c>
      <c r="AN22" s="2">
        <f t="shared" si="11"/>
        <v>-4.2938962473543716E-5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25.170549965942012</v>
      </c>
      <c r="L23" s="6" t="s">
        <v>7</v>
      </c>
      <c r="N23" s="6" t="s">
        <v>30</v>
      </c>
      <c r="O23" s="6">
        <f xml:space="preserve"> O20 / ( $C$71 * PI() * $C$10^2 * O21^2 * $C$10^2)</f>
        <v>4.3288748825615508E-2</v>
      </c>
      <c r="U23" s="2">
        <v>19</v>
      </c>
      <c r="V23" s="2">
        <f t="shared" si="7"/>
        <v>0.97344970703125</v>
      </c>
      <c r="W23" s="2">
        <f t="shared" si="0"/>
        <v>6.1028089581860456E-8</v>
      </c>
      <c r="X23" s="2">
        <f t="shared" si="8"/>
        <v>0.97345161437988281</v>
      </c>
      <c r="Y23" s="2">
        <f t="shared" si="1"/>
        <v>-1.8894131361690825E-6</v>
      </c>
      <c r="Z23" s="2">
        <f t="shared" si="3"/>
        <v>0.97345066070556641</v>
      </c>
      <c r="AA23" s="2">
        <f t="shared" si="2"/>
        <v>-9.1419254422131502E-7</v>
      </c>
      <c r="AB23" s="2">
        <f t="shared" si="4"/>
        <v>-5.5791424483807337E-14</v>
      </c>
      <c r="AC23" s="2">
        <f t="shared" si="5"/>
        <v>1.7272874020395874E-12</v>
      </c>
      <c r="AD23" s="2">
        <f t="shared" si="6"/>
        <v>1.9073486328125E-6</v>
      </c>
      <c r="AF23" s="2">
        <v>19</v>
      </c>
      <c r="AG23" s="2">
        <f t="shared" si="13"/>
        <v>2234.8270416259766</v>
      </c>
      <c r="AH23" s="2">
        <v>-4.003301518423541E-3</v>
      </c>
      <c r="AI23" s="2">
        <f t="shared" si="14"/>
        <v>2234.86328125</v>
      </c>
      <c r="AJ23" s="2">
        <v>1.0725887689432057E-2</v>
      </c>
      <c r="AK23" s="2">
        <f t="shared" si="9"/>
        <v>2234.8451614379883</v>
      </c>
      <c r="AL23" s="2">
        <v>3.3613114142099221E-3</v>
      </c>
      <c r="AM23" s="2">
        <f t="shared" si="10"/>
        <v>-1.3456343088400961E-5</v>
      </c>
      <c r="AN23" s="2">
        <f t="shared" si="11"/>
        <v>3.6053048718021657E-5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8.7413123978787368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0.97344970703125</v>
      </c>
      <c r="W24" s="2">
        <f t="shared" si="0"/>
        <v>6.1028089581860456E-8</v>
      </c>
      <c r="X24" s="2">
        <f t="shared" si="8"/>
        <v>0.97345066070556641</v>
      </c>
      <c r="Y24" s="2">
        <f t="shared" si="1"/>
        <v>-9.1419254422131502E-7</v>
      </c>
      <c r="Z24" s="2">
        <f t="shared" si="3"/>
        <v>0.9734501838684082</v>
      </c>
      <c r="AA24" s="2">
        <f t="shared" si="2"/>
        <v>-4.265822325377755E-7</v>
      </c>
      <c r="AB24" s="2">
        <f t="shared" si="4"/>
        <v>-2.6033498701345391E-14</v>
      </c>
      <c r="AC24" s="2">
        <f t="shared" si="5"/>
        <v>3.8997829648331761E-13</v>
      </c>
      <c r="AD24" s="2">
        <f t="shared" si="6"/>
        <v>9.5367431640625E-7</v>
      </c>
      <c r="AF24" s="2">
        <v>20</v>
      </c>
      <c r="AG24" s="2">
        <f t="shared" si="13"/>
        <v>2234.8270416259766</v>
      </c>
      <c r="AH24" s="2">
        <v>-4.003301518423541E-3</v>
      </c>
      <c r="AI24" s="2">
        <f t="shared" si="14"/>
        <v>2234.8451614379883</v>
      </c>
      <c r="AJ24" s="2">
        <v>3.3613114142099221E-3</v>
      </c>
      <c r="AK24" s="2">
        <f t="shared" si="9"/>
        <v>2234.8361015319824</v>
      </c>
      <c r="AL24" s="2">
        <v>-3.2099046984512825E-4</v>
      </c>
      <c r="AM24" s="2">
        <f t="shared" si="10"/>
        <v>1.2850216353304877E-6</v>
      </c>
      <c r="AN24" s="2">
        <f t="shared" si="11"/>
        <v>-1.0789489301430353E-6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27.221954557267164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2735.1304930439933</v>
      </c>
      <c r="P25" s="6" t="s">
        <v>19</v>
      </c>
      <c r="U25" s="2">
        <v>21</v>
      </c>
      <c r="V25" s="2">
        <f t="shared" si="7"/>
        <v>0.97344970703125</v>
      </c>
      <c r="W25" s="2">
        <f t="shared" si="0"/>
        <v>6.1028089581860456E-8</v>
      </c>
      <c r="X25" s="2">
        <f t="shared" si="8"/>
        <v>0.9734501838684082</v>
      </c>
      <c r="Y25" s="2">
        <f t="shared" si="1"/>
        <v>-4.265822325377755E-7</v>
      </c>
      <c r="Z25" s="2">
        <f t="shared" si="3"/>
        <v>0.9734499454498291</v>
      </c>
      <c r="AA25" s="2">
        <f t="shared" si="2"/>
        <v>-1.8277707269920285E-7</v>
      </c>
      <c r="AB25" s="2">
        <f t="shared" si="4"/>
        <v>-1.1154535566197172E-14</v>
      </c>
      <c r="AC25" s="2">
        <f t="shared" si="5"/>
        <v>7.7969451728745248E-14</v>
      </c>
      <c r="AD25" s="2">
        <f t="shared" si="6"/>
        <v>4.76837158203125E-7</v>
      </c>
      <c r="AF25" s="2">
        <v>21</v>
      </c>
      <c r="AG25" s="2">
        <f t="shared" si="13"/>
        <v>2234.8361015319824</v>
      </c>
      <c r="AH25" s="2">
        <v>-3.2099046984512825E-4</v>
      </c>
      <c r="AI25" s="2">
        <f t="shared" si="14"/>
        <v>2234.8451614379883</v>
      </c>
      <c r="AJ25" s="2">
        <v>3.3613114142099221E-3</v>
      </c>
      <c r="AK25" s="2">
        <f t="shared" si="9"/>
        <v>2234.8406314849854</v>
      </c>
      <c r="AL25" s="2">
        <v>1.5198447604234389E-3</v>
      </c>
      <c r="AM25" s="2">
        <f t="shared" si="10"/>
        <v>-4.8785568373997602E-7</v>
      </c>
      <c r="AN25" s="2">
        <f t="shared" si="11"/>
        <v>5.1086715410384493E-6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2738.0796254525139</v>
      </c>
      <c r="H26" s="6" t="s">
        <v>21</v>
      </c>
      <c r="J26" s="14" t="s">
        <v>65</v>
      </c>
      <c r="K26" s="6">
        <f xml:space="preserve"> $C$80 * (0.0268 * $C$5)</f>
        <v>47.914690544406326</v>
      </c>
      <c r="L26" s="6" t="s">
        <v>7</v>
      </c>
      <c r="N26" s="6" t="s">
        <v>32</v>
      </c>
      <c r="O26" s="17">
        <f>Z34</f>
        <v>0.97344976710155606</v>
      </c>
      <c r="U26" s="2">
        <v>22</v>
      </c>
      <c r="V26" s="2">
        <f t="shared" si="7"/>
        <v>0.97344970703125</v>
      </c>
      <c r="W26" s="2">
        <f t="shared" si="0"/>
        <v>6.1028089581860456E-8</v>
      </c>
      <c r="X26" s="2">
        <f t="shared" si="8"/>
        <v>0.9734499454498291</v>
      </c>
      <c r="Y26" s="2">
        <f t="shared" si="1"/>
        <v>-1.8277707269920285E-7</v>
      </c>
      <c r="Z26" s="2">
        <f t="shared" si="3"/>
        <v>0.97344982624053955</v>
      </c>
      <c r="AA26" s="2">
        <f t="shared" si="2"/>
        <v>-6.0874491891738103E-8</v>
      </c>
      <c r="AB26" s="2">
        <f t="shared" si="4"/>
        <v>-3.7150539444192307E-15</v>
      </c>
      <c r="AC26" s="2">
        <f t="shared" si="5"/>
        <v>1.112646143002325E-14</v>
      </c>
      <c r="AD26" s="2">
        <f t="shared" si="6"/>
        <v>2.384185791015625E-7</v>
      </c>
      <c r="AF26" s="2">
        <v>22</v>
      </c>
      <c r="AG26" s="2">
        <f t="shared" si="13"/>
        <v>2234.8361015319824</v>
      </c>
      <c r="AH26" s="2">
        <v>-3.2099046984512825E-4</v>
      </c>
      <c r="AI26" s="2">
        <f t="shared" si="14"/>
        <v>2234.8406314849854</v>
      </c>
      <c r="AJ26" s="2">
        <v>1.5198447604234389E-3</v>
      </c>
      <c r="AK26" s="2">
        <f t="shared" si="9"/>
        <v>2234.8383665084839</v>
      </c>
      <c r="AL26" s="2">
        <v>5.9974428927489498E-4</v>
      </c>
      <c r="AM26" s="2">
        <f t="shared" si="10"/>
        <v>-1.9251220120128106E-7</v>
      </c>
      <c r="AN26" s="2">
        <f t="shared" si="11"/>
        <v>9.1151821564832842E-7</v>
      </c>
      <c r="AO26" s="2">
        <f t="shared" si="12"/>
        <v>4.5299530029296875E-3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45.072750476308755</v>
      </c>
      <c r="H27" t="s">
        <v>97</v>
      </c>
      <c r="J27" s="14" t="s">
        <v>66</v>
      </c>
      <c r="K27" s="6">
        <f xml:space="preserve"> $C$80 * (11.5 * ($C$5*2.20462/1000)^0.4 * 0.453592)</f>
        <v>7.8974025106127348</v>
      </c>
      <c r="L27" s="6" t="s">
        <v>7</v>
      </c>
      <c r="N27" s="6" t="s">
        <v>33</v>
      </c>
      <c r="O27" s="6">
        <f xml:space="preserve"> O21 * $C$10 * O26 - $C$7 * SIN(O19/180*PI())</f>
        <v>1.5556654869460829</v>
      </c>
      <c r="P27" s="6" t="s">
        <v>10</v>
      </c>
      <c r="U27" s="2">
        <v>23</v>
      </c>
      <c r="V27" s="2">
        <f t="shared" si="7"/>
        <v>0.97344970703125</v>
      </c>
      <c r="W27" s="2">
        <f t="shared" si="0"/>
        <v>6.1028089581860456E-8</v>
      </c>
      <c r="X27" s="2">
        <f t="shared" si="8"/>
        <v>0.97344982624053955</v>
      </c>
      <c r="Y27" s="2">
        <f t="shared" si="1"/>
        <v>-6.0874491891738103E-8</v>
      </c>
      <c r="Z27" s="2">
        <f t="shared" si="3"/>
        <v>0.97344976663589478</v>
      </c>
      <c r="AA27" s="2">
        <f t="shared" si="2"/>
        <v>7.6798789550025504E-11</v>
      </c>
      <c r="AB27" s="2">
        <f t="shared" si="4"/>
        <v>4.6868834084374051E-18</v>
      </c>
      <c r="AC27" s="2">
        <f t="shared" si="5"/>
        <v>-4.6750872917583285E-18</v>
      </c>
      <c r="AD27" s="2">
        <f t="shared" si="6"/>
        <v>1.1920928955078125E-7</v>
      </c>
      <c r="AF27" s="2">
        <v>23</v>
      </c>
      <c r="AG27" s="2">
        <f t="shared" si="13"/>
        <v>2234.8361015319824</v>
      </c>
      <c r="AH27" s="2">
        <v>-3.2099046984512825E-4</v>
      </c>
      <c r="AI27" s="2">
        <f t="shared" si="14"/>
        <v>2234.8383665084839</v>
      </c>
      <c r="AJ27" s="2">
        <v>5.9974428927489498E-4</v>
      </c>
      <c r="AK27" s="2">
        <f t="shared" si="9"/>
        <v>2234.8372340202332</v>
      </c>
      <c r="AL27" s="2">
        <v>1.3906012395636935E-4</v>
      </c>
      <c r="AM27" s="2">
        <f t="shared" si="10"/>
        <v>-4.4636974525476771E-8</v>
      </c>
      <c r="AN27" s="2">
        <f t="shared" si="11"/>
        <v>8.3400515208691535E-8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6.1978328389399735</v>
      </c>
      <c r="H28" s="6" t="s">
        <v>172</v>
      </c>
      <c r="J28" s="14" t="s">
        <v>67</v>
      </c>
      <c r="K28" s="6">
        <f xml:space="preserve"> $C$80 * (8 * ($C$5/1000))</f>
        <v>14.302892699822785</v>
      </c>
      <c r="L28" s="6" t="s">
        <v>7</v>
      </c>
      <c r="N28" s="6" t="s">
        <v>34</v>
      </c>
      <c r="O28" s="6">
        <f xml:space="preserve"> 1/$C$31 - O25 * SQRT( (2*$C$71*PI()*$C$10^2) / O20^3 )</f>
        <v>1.180072698743865</v>
      </c>
      <c r="U28" s="2">
        <v>24</v>
      </c>
      <c r="V28" s="2">
        <f t="shared" si="7"/>
        <v>0.97344976663589478</v>
      </c>
      <c r="W28" s="2">
        <f t="shared" si="0"/>
        <v>7.6798789550025504E-11</v>
      </c>
      <c r="X28" s="2">
        <f t="shared" si="8"/>
        <v>0.97344982624053955</v>
      </c>
      <c r="Y28" s="2">
        <f t="shared" si="1"/>
        <v>-6.0874491891738103E-8</v>
      </c>
      <c r="Z28" s="2">
        <f t="shared" si="3"/>
        <v>0.97344979643821716</v>
      </c>
      <c r="AA28" s="2">
        <f t="shared" si="2"/>
        <v>-3.0398846551094039E-8</v>
      </c>
      <c r="AB28" s="2">
        <f t="shared" si="4"/>
        <v>-2.3345946188409897E-18</v>
      </c>
      <c r="AC28" s="2">
        <f t="shared" si="5"/>
        <v>1.8505143378927649E-15</v>
      </c>
      <c r="AD28" s="2">
        <f t="shared" si="6"/>
        <v>5.9604644775390625E-8</v>
      </c>
      <c r="AF28" s="2">
        <v>24</v>
      </c>
      <c r="AG28" s="2">
        <f t="shared" si="13"/>
        <v>2234.8361015319824</v>
      </c>
      <c r="AH28" s="2">
        <v>-3.2099046984512825E-4</v>
      </c>
      <c r="AI28" s="2">
        <f t="shared" si="14"/>
        <v>2234.8372340202332</v>
      </c>
      <c r="AJ28" s="2">
        <v>1.3906012395636935E-4</v>
      </c>
      <c r="AK28" s="2">
        <f t="shared" si="9"/>
        <v>2234.8366677761078</v>
      </c>
      <c r="AL28" s="2">
        <v>-9.0648297145889956E-5</v>
      </c>
      <c r="AM28" s="2">
        <f t="shared" si="10"/>
        <v>2.9097239491520013E-8</v>
      </c>
      <c r="AN28" s="2">
        <f t="shared" si="11"/>
        <v>-1.260556343754126E-8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360.58200381047004</v>
      </c>
      <c r="H29" s="22" t="s">
        <v>97</v>
      </c>
      <c r="J29" s="14" t="s">
        <v>68</v>
      </c>
      <c r="K29" s="6">
        <f xml:space="preserve"> $C$80 * (13 * ($C$5*2.20462/1000)^1.3 * 0.453592)</f>
        <v>37.501589014789936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0.97344976663589478</v>
      </c>
      <c r="W29" s="2">
        <f t="shared" si="0"/>
        <v>7.6798789550025504E-11</v>
      </c>
      <c r="X29" s="2">
        <f t="shared" si="8"/>
        <v>0.97344979643821716</v>
      </c>
      <c r="Y29" s="2">
        <f t="shared" si="1"/>
        <v>-3.0398846551094039E-8</v>
      </c>
      <c r="Z29" s="2">
        <f t="shared" si="3"/>
        <v>0.97344978153705597</v>
      </c>
      <c r="AA29" s="2">
        <f t="shared" si="2"/>
        <v>-1.5161023880772007E-8</v>
      </c>
      <c r="AB29" s="2">
        <f t="shared" si="4"/>
        <v>-1.1643482823823203E-18</v>
      </c>
      <c r="AC29" s="2">
        <f t="shared" si="5"/>
        <v>4.6087763850906052E-16</v>
      </c>
      <c r="AD29" s="2">
        <f t="shared" si="6"/>
        <v>2.9802322387695312E-8</v>
      </c>
      <c r="AF29" s="2">
        <v>25</v>
      </c>
      <c r="AG29" s="2">
        <f t="shared" si="13"/>
        <v>2234.8366677761078</v>
      </c>
      <c r="AH29" s="2">
        <v>-9.0648297145889956E-5</v>
      </c>
      <c r="AI29" s="2">
        <f t="shared" si="14"/>
        <v>2234.8372340202332</v>
      </c>
      <c r="AJ29" s="2">
        <v>1.3906012395636935E-4</v>
      </c>
      <c r="AK29" s="2">
        <f t="shared" si="9"/>
        <v>2234.8369508981705</v>
      </c>
      <c r="AL29" s="2">
        <v>2.4205917497965856E-5</v>
      </c>
      <c r="AM29" s="2">
        <f t="shared" si="10"/>
        <v>-2.1942252020445062E-9</v>
      </c>
      <c r="AN29" s="2">
        <f t="shared" si="11"/>
        <v>3.3660778877447817E-9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-4.026794249057275E-3</v>
      </c>
      <c r="L30" s="9" t="s">
        <v>7</v>
      </c>
      <c r="N30" s="6" t="s">
        <v>36</v>
      </c>
      <c r="O30" s="6">
        <f xml:space="preserve"> 1/$C$77 * LN( EXP($C$77 * O28) + EXP($C$77 * O29) )</f>
        <v>1.1914234972465647</v>
      </c>
      <c r="U30" s="2">
        <v>26</v>
      </c>
      <c r="V30" s="2">
        <f>IF(AB29&gt;0, Z29, V29)</f>
        <v>0.97344976663589478</v>
      </c>
      <c r="W30" s="2">
        <f t="shared" si="0"/>
        <v>7.6798789550025504E-11</v>
      </c>
      <c r="X30" s="2">
        <f t="shared" si="8"/>
        <v>0.97344978153705597</v>
      </c>
      <c r="Y30" s="2">
        <f t="shared" si="1"/>
        <v>-1.5161023880772007E-8</v>
      </c>
      <c r="Z30" s="2">
        <f t="shared" si="3"/>
        <v>0.97344977408647537</v>
      </c>
      <c r="AA30" s="2">
        <f t="shared" si="2"/>
        <v>-7.5421126011221418E-9</v>
      </c>
      <c r="AB30" s="2">
        <f t="shared" si="4"/>
        <v>-5.7922511841617481E-19</v>
      </c>
      <c r="AC30" s="2">
        <f t="shared" si="5"/>
        <v>1.1434614925708425E-16</v>
      </c>
      <c r="AD30" s="2">
        <f t="shared" si="6"/>
        <v>1.4901161193847656E-8</v>
      </c>
      <c r="AF30" s="2">
        <v>26</v>
      </c>
      <c r="AG30" s="2">
        <f t="shared" si="13"/>
        <v>2234.8366677761078</v>
      </c>
      <c r="AH30" s="2">
        <v>-9.0648297145889956E-5</v>
      </c>
      <c r="AI30" s="2">
        <f t="shared" si="14"/>
        <v>2234.8369508981705</v>
      </c>
      <c r="AJ30" s="2">
        <v>2.4205917497965856E-5</v>
      </c>
      <c r="AK30" s="2">
        <f t="shared" si="9"/>
        <v>2234.8368093371391</v>
      </c>
      <c r="AL30" s="2">
        <v>-3.3221188687093672E-5</v>
      </c>
      <c r="AM30" s="2">
        <f t="shared" si="10"/>
        <v>3.0114441836473451E-9</v>
      </c>
      <c r="AN30" s="2">
        <f t="shared" si="11"/>
        <v>-8.0414935254414613E-10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0.97344976663589478</v>
      </c>
      <c r="W31" s="2">
        <f t="shared" si="0"/>
        <v>7.6798789550025504E-11</v>
      </c>
      <c r="X31" s="2">
        <f t="shared" si="8"/>
        <v>0.97344977408647537</v>
      </c>
      <c r="Y31" s="2">
        <f t="shared" si="1"/>
        <v>-7.5421126011221418E-9</v>
      </c>
      <c r="Z31" s="2">
        <f t="shared" si="3"/>
        <v>0.97344977036118507</v>
      </c>
      <c r="AA31" s="2">
        <f t="shared" si="2"/>
        <v>-3.7326568502749069E-9</v>
      </c>
      <c r="AB31" s="2">
        <f t="shared" si="4"/>
        <v>-2.8666352790672363E-19</v>
      </c>
      <c r="AC31" s="2">
        <f t="shared" si="5"/>
        <v>2.8152118266123259E-17</v>
      </c>
      <c r="AD31" s="2">
        <f t="shared" si="6"/>
        <v>7.4505805969238281E-9</v>
      </c>
      <c r="AF31" s="2">
        <v>27</v>
      </c>
      <c r="AG31" s="2">
        <f t="shared" si="13"/>
        <v>2234.8368093371391</v>
      </c>
      <c r="AH31" s="2">
        <v>-3.3221188687093672E-5</v>
      </c>
      <c r="AI31" s="2">
        <f t="shared" si="14"/>
        <v>2234.8369508981705</v>
      </c>
      <c r="AJ31" s="2">
        <v>2.4205917497965856E-5</v>
      </c>
      <c r="AK31" s="2">
        <f t="shared" si="9"/>
        <v>2234.8368801176548</v>
      </c>
      <c r="AL31" s="2">
        <v>-4.8244928620988503E-6</v>
      </c>
      <c r="AM31" s="2">
        <f t="shared" si="10"/>
        <v>1.602753876913225E-10</v>
      </c>
      <c r="AN31" s="2">
        <f t="shared" si="11"/>
        <v>-1.1678127618948994E-10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0.97344976663589478</v>
      </c>
      <c r="W32" s="2">
        <f t="shared" si="0"/>
        <v>7.6798789550025504E-11</v>
      </c>
      <c r="X32" s="2">
        <f t="shared" si="8"/>
        <v>0.97344977036118507</v>
      </c>
      <c r="Y32" s="2">
        <f t="shared" si="1"/>
        <v>-3.7326568502749069E-9</v>
      </c>
      <c r="Z32" s="2">
        <f t="shared" si="3"/>
        <v>0.97344976849853992</v>
      </c>
      <c r="AA32" s="2">
        <f t="shared" si="2"/>
        <v>-1.8279290303624407E-9</v>
      </c>
      <c r="AB32" s="2">
        <f t="shared" si="4"/>
        <v>-1.4038273691518726E-19</v>
      </c>
      <c r="AC32" s="2">
        <f t="shared" si="5"/>
        <v>6.8230318169987326E-18</v>
      </c>
      <c r="AD32" s="2">
        <f t="shared" si="6"/>
        <v>3.7252902984619141E-9</v>
      </c>
      <c r="AF32" s="2">
        <v>28</v>
      </c>
      <c r="AG32" s="2">
        <f t="shared" si="13"/>
        <v>2234.8368801176548</v>
      </c>
      <c r="AH32" s="2">
        <v>-4.8244928620988503E-6</v>
      </c>
      <c r="AI32" s="2">
        <f t="shared" si="14"/>
        <v>2234.8369508981705</v>
      </c>
      <c r="AJ32" s="2">
        <v>2.4205917497965856E-5</v>
      </c>
      <c r="AK32" s="2">
        <f t="shared" si="9"/>
        <v>2234.8369155079126</v>
      </c>
      <c r="AL32" s="2">
        <v>9.6907126589940162E-6</v>
      </c>
      <c r="AM32" s="2">
        <f t="shared" si="10"/>
        <v>-4.6752774051967601E-11</v>
      </c>
      <c r="AN32" s="2">
        <f t="shared" si="11"/>
        <v>2.3457259112010249E-10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121.33284690194766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0.97344976663589478</v>
      </c>
      <c r="W33" s="2">
        <f t="shared" si="0"/>
        <v>7.6798789550025504E-11</v>
      </c>
      <c r="X33" s="2">
        <f t="shared" si="8"/>
        <v>0.97344976849853992</v>
      </c>
      <c r="Y33" s="2">
        <f t="shared" si="1"/>
        <v>-1.8279290303624407E-9</v>
      </c>
      <c r="Z33" s="2">
        <f t="shared" si="3"/>
        <v>0.97344976756721735</v>
      </c>
      <c r="AA33" s="2">
        <f t="shared" si="2"/>
        <v>-8.7556517591735883E-10</v>
      </c>
      <c r="AB33" s="2">
        <f t="shared" si="4"/>
        <v>-6.7242345682608299E-20</v>
      </c>
      <c r="AC33" s="2">
        <f t="shared" si="5"/>
        <v>1.6004710030337375E-18</v>
      </c>
      <c r="AD33" s="2">
        <f t="shared" si="6"/>
        <v>1.862645149230957E-9</v>
      </c>
      <c r="AF33" s="2">
        <v>29</v>
      </c>
      <c r="AG33" s="2">
        <f t="shared" si="13"/>
        <v>2234.8368801176548</v>
      </c>
      <c r="AH33" s="2">
        <v>-4.8244928620988503E-6</v>
      </c>
      <c r="AI33" s="2">
        <f t="shared" si="14"/>
        <v>2234.8369155079126</v>
      </c>
      <c r="AJ33" s="2">
        <v>2.4205917497965856E-5</v>
      </c>
      <c r="AK33" s="2">
        <f t="shared" si="9"/>
        <v>2234.8368978127837</v>
      </c>
      <c r="AL33" s="2">
        <v>1.6948315305853612E-5</v>
      </c>
      <c r="AM33" s="2">
        <f t="shared" si="10"/>
        <v>-8.1767026217691443E-11</v>
      </c>
      <c r="AN33" s="2">
        <f t="shared" si="11"/>
        <v>4.1024952202300449E-10</v>
      </c>
      <c r="AO33" s="2">
        <f t="shared" si="12"/>
        <v>3.5390257835388184E-5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26.85</v>
      </c>
      <c r="L34" s="6" t="s">
        <v>59</v>
      </c>
      <c r="U34" s="2">
        <v>30</v>
      </c>
      <c r="V34" s="2">
        <f t="shared" si="7"/>
        <v>0.97344976663589478</v>
      </c>
      <c r="W34" s="2">
        <f t="shared" si="0"/>
        <v>7.6798789550025504E-11</v>
      </c>
      <c r="X34" s="2">
        <f t="shared" si="8"/>
        <v>0.97344976756721735</v>
      </c>
      <c r="Y34" s="2">
        <f t="shared" si="1"/>
        <v>-8.7556517591735883E-10</v>
      </c>
      <c r="Z34" s="2">
        <f t="shared" si="3"/>
        <v>0.97344976710155606</v>
      </c>
      <c r="AA34" s="2">
        <f t="shared" si="2"/>
        <v>-3.9938319318366666E-10</v>
      </c>
      <c r="AB34" s="2">
        <f t="shared" si="4"/>
        <v>-3.0672145803129596E-20</v>
      </c>
      <c r="AC34" s="2">
        <f t="shared" si="5"/>
        <v>3.4968601579829361E-19</v>
      </c>
      <c r="AD34" s="2">
        <f t="shared" si="6"/>
        <v>9.3132257461547852E-10</v>
      </c>
      <c r="AF34" s="2">
        <v>30</v>
      </c>
      <c r="AG34" s="2">
        <f t="shared" si="13"/>
        <v>2234.8368801176548</v>
      </c>
      <c r="AH34" s="2">
        <v>-4.8244928620988503E-6</v>
      </c>
      <c r="AI34" s="2">
        <f t="shared" si="14"/>
        <v>2234.8368978127837</v>
      </c>
      <c r="AJ34" s="2">
        <v>2.4205917497965856E-5</v>
      </c>
      <c r="AK34" s="2">
        <f t="shared" si="9"/>
        <v>2234.8368889652193</v>
      </c>
      <c r="AL34" s="2">
        <v>2.057711662928341E-5</v>
      </c>
      <c r="AM34" s="2">
        <f t="shared" si="10"/>
        <v>-9.9274152300553364E-11</v>
      </c>
      <c r="AN34" s="2">
        <f t="shared" si="11"/>
        <v>4.9808798747445549E-10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32.200000000000003</v>
      </c>
      <c r="L35" s="6" t="s">
        <v>59</v>
      </c>
      <c r="AF35" s="2">
        <v>31</v>
      </c>
      <c r="AG35" s="2">
        <f t="shared" si="13"/>
        <v>2234.8368801176548</v>
      </c>
      <c r="AH35" s="2">
        <v>-4.8244928620988503E-6</v>
      </c>
      <c r="AI35" s="2">
        <f t="shared" si="14"/>
        <v>2234.8368889652193</v>
      </c>
      <c r="AJ35" s="2">
        <v>2.4205917497965856E-5</v>
      </c>
      <c r="AK35" s="2">
        <f t="shared" si="9"/>
        <v>2234.836884541437</v>
      </c>
      <c r="AL35" s="2">
        <v>2.2391517177311471E-5</v>
      </c>
      <c r="AM35" s="2">
        <f t="shared" si="10"/>
        <v>-1.0802771479350299E-10</v>
      </c>
      <c r="AN35" s="2">
        <f t="shared" si="11"/>
        <v>5.4200721744828677E-10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16.61</v>
      </c>
      <c r="L36" s="6" t="s">
        <v>59</v>
      </c>
      <c r="AF36" s="2">
        <v>32</v>
      </c>
      <c r="AG36" s="2">
        <f t="shared" si="13"/>
        <v>2234.8368801176548</v>
      </c>
      <c r="AH36" s="2">
        <v>-4.8244928620988503E-6</v>
      </c>
      <c r="AI36" s="2">
        <f t="shared" si="14"/>
        <v>2234.836884541437</v>
      </c>
      <c r="AJ36" s="2">
        <v>2.4205917497965856E-5</v>
      </c>
      <c r="AK36" s="2">
        <f t="shared" si="9"/>
        <v>2234.8368823295459</v>
      </c>
      <c r="AL36" s="2">
        <v>2.3298717678699177E-5</v>
      </c>
      <c r="AM36" s="2">
        <f t="shared" si="10"/>
        <v>-1.1240449713694047E-10</v>
      </c>
      <c r="AN36" s="2">
        <f t="shared" si="11"/>
        <v>5.6396683793899084E-10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19.53</v>
      </c>
      <c r="L37" s="6" t="s">
        <v>59</v>
      </c>
      <c r="AF37" s="2">
        <v>33</v>
      </c>
      <c r="AG37" s="2">
        <f t="shared" si="13"/>
        <v>2234.8368801176548</v>
      </c>
      <c r="AH37" s="2">
        <v>-4.8244928620988503E-6</v>
      </c>
      <c r="AI37" s="2">
        <f t="shared" si="14"/>
        <v>2234.8368823295459</v>
      </c>
      <c r="AJ37" s="2">
        <v>2.4205917497965856E-5</v>
      </c>
      <c r="AK37" s="2">
        <f t="shared" si="9"/>
        <v>2234.8368812236004</v>
      </c>
      <c r="AL37" s="2">
        <v>2.3752317474645679E-5</v>
      </c>
      <c r="AM37" s="2">
        <f t="shared" si="10"/>
        <v>-1.1459288611473387E-10</v>
      </c>
      <c r="AN37" s="2">
        <f t="shared" si="11"/>
        <v>5.7494663717676607E-10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4.82</v>
      </c>
      <c r="L38" s="6" t="s">
        <v>59</v>
      </c>
      <c r="AF38" s="2">
        <v>34</v>
      </c>
      <c r="AG38" s="2">
        <f t="shared" si="13"/>
        <v>2234.8368801176548</v>
      </c>
      <c r="AH38" s="2">
        <v>-4.8244928620988503E-6</v>
      </c>
      <c r="AI38" s="2">
        <f t="shared" si="14"/>
        <v>2234.8368812236004</v>
      </c>
      <c r="AJ38" s="2">
        <v>2.4205917497965856E-5</v>
      </c>
      <c r="AK38" s="2">
        <f t="shared" si="9"/>
        <v>2234.8368806706276</v>
      </c>
      <c r="AL38" s="2">
        <v>2.3979117486305768E-5</v>
      </c>
      <c r="AM38" s="2">
        <f t="shared" si="10"/>
        <v>-1.156870811521119E-10</v>
      </c>
      <c r="AN38" s="2">
        <f t="shared" si="11"/>
        <v>5.8043653954754782E-10</v>
      </c>
      <c r="AO38" s="2">
        <f t="shared" si="12"/>
        <v>1.1059455573558807E-6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100.00999999999999</v>
      </c>
      <c r="L39" s="9" t="s">
        <v>59</v>
      </c>
      <c r="AF39" s="2">
        <v>35</v>
      </c>
      <c r="AG39" s="2">
        <f t="shared" si="13"/>
        <v>2234.8368801176548</v>
      </c>
      <c r="AH39" s="2">
        <v>-4.8244928620988503E-6</v>
      </c>
      <c r="AI39" s="2">
        <f t="shared" si="14"/>
        <v>2234.8368806706276</v>
      </c>
      <c r="AJ39" s="2">
        <v>2.4205917497965856E-5</v>
      </c>
      <c r="AK39" s="2">
        <f t="shared" si="9"/>
        <v>2234.8368803941412</v>
      </c>
      <c r="AL39" s="2">
        <v>2.4092518060570001E-5</v>
      </c>
      <c r="AM39" s="2">
        <f t="shared" si="10"/>
        <v>-1.162341814132076E-10</v>
      </c>
      <c r="AN39" s="2">
        <f t="shared" si="11"/>
        <v>5.8318150449240975E-10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2234.8368801176548</v>
      </c>
      <c r="AH40" s="2">
        <v>-4.8244928620988503E-6</v>
      </c>
      <c r="AI40" s="2">
        <f t="shared" si="14"/>
        <v>2234.8368803941412</v>
      </c>
      <c r="AJ40" s="2">
        <v>2.4205917497965856E-5</v>
      </c>
      <c r="AK40" s="2">
        <f t="shared" si="9"/>
        <v>2234.836880255898</v>
      </c>
      <c r="AL40" s="2">
        <v>2.4149218006641604E-5</v>
      </c>
      <c r="AM40" s="2">
        <f t="shared" si="10"/>
        <v>-1.1650772989831144E-10</v>
      </c>
      <c r="AN40" s="2">
        <f t="shared" si="11"/>
        <v>5.8455397870915814E-10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2234.8368801176548</v>
      </c>
      <c r="AH41" s="2">
        <v>-4.8244928620988503E-6</v>
      </c>
      <c r="AI41" s="2">
        <f t="shared" si="14"/>
        <v>2234.836880255898</v>
      </c>
      <c r="AJ41" s="2">
        <v>2.4205917497965856E-5</v>
      </c>
      <c r="AK41" s="2">
        <f t="shared" si="9"/>
        <v>2234.8368801867764</v>
      </c>
      <c r="AL41" s="2">
        <v>2.4177567865990568E-5</v>
      </c>
      <c r="AM41" s="2">
        <f t="shared" si="10"/>
        <v>-1.1664450359238203E-10</v>
      </c>
      <c r="AN41" s="2">
        <f t="shared" si="11"/>
        <v>5.852402130656381E-10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2234.8368801176548</v>
      </c>
      <c r="AH42" s="2">
        <v>-4.8244928620988503E-6</v>
      </c>
      <c r="AI42" s="2">
        <f t="shared" si="14"/>
        <v>2234.8368801867764</v>
      </c>
      <c r="AJ42" s="2">
        <v>2.4205917497965856E-5</v>
      </c>
      <c r="AK42" s="2">
        <f t="shared" si="9"/>
        <v>2234.8368801522156</v>
      </c>
      <c r="AL42" s="2">
        <v>2.4191742568291374E-5</v>
      </c>
      <c r="AM42" s="2">
        <f t="shared" si="10"/>
        <v>-1.1671288934245464E-10</v>
      </c>
      <c r="AN42" s="2">
        <f t="shared" si="11"/>
        <v>5.855833247400897E-10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719.58</v>
      </c>
      <c r="L43" s="6" t="s">
        <v>7</v>
      </c>
      <c r="AF43" s="2">
        <v>39</v>
      </c>
      <c r="AG43" s="2">
        <f t="shared" si="13"/>
        <v>2234.8368801176548</v>
      </c>
      <c r="AH43" s="2">
        <v>-4.8244928620988503E-6</v>
      </c>
      <c r="AI43" s="2">
        <f t="shared" si="14"/>
        <v>2234.8368801522156</v>
      </c>
      <c r="AJ43" s="2">
        <v>2.4205917497965856E-5</v>
      </c>
      <c r="AK43" s="2">
        <f t="shared" si="9"/>
        <v>2234.8368801349352</v>
      </c>
      <c r="AL43" s="2">
        <v>2.4198830260502291E-5</v>
      </c>
      <c r="AM43" s="2">
        <f t="shared" si="10"/>
        <v>-1.1674708386293496E-10</v>
      </c>
      <c r="AN43" s="2">
        <f t="shared" si="11"/>
        <v>5.8575488883299812E-10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371.19</v>
      </c>
      <c r="L44" s="6" t="s">
        <v>7</v>
      </c>
      <c r="AF44" s="2">
        <v>40</v>
      </c>
      <c r="AG44" s="2">
        <f t="shared" si="13"/>
        <v>2234.8368801176548</v>
      </c>
      <c r="AH44" s="2">
        <v>-4.8244928620988503E-6</v>
      </c>
      <c r="AI44" s="2">
        <f t="shared" si="14"/>
        <v>2234.8368801349352</v>
      </c>
      <c r="AJ44" s="2">
        <v>2.4205917497965856E-5</v>
      </c>
      <c r="AK44" s="5">
        <f t="shared" si="9"/>
        <v>2234.836880126295</v>
      </c>
      <c r="AL44" s="2">
        <v>2.4202374106607749E-5</v>
      </c>
      <c r="AM44" s="2">
        <f t="shared" si="10"/>
        <v>-1.1676418112317512E-10</v>
      </c>
      <c r="AN44" s="2">
        <f t="shared" si="11"/>
        <v>5.8584067087945223E-10</v>
      </c>
      <c r="AO44" s="2">
        <f t="shared" si="12"/>
        <v>1.7280399333685637E-8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436.44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107.62</v>
      </c>
      <c r="L46" s="6" t="s">
        <v>7</v>
      </c>
    </row>
    <row r="47" spans="2:41" x14ac:dyDescent="0.2">
      <c r="J47" s="9" t="s">
        <v>60</v>
      </c>
      <c r="K47" s="9">
        <f>SUM(K42:K46)</f>
        <v>2234.83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B1:D1"/>
    <mergeCell ref="B3:D3"/>
    <mergeCell ref="F3:H3"/>
    <mergeCell ref="J3:L3"/>
    <mergeCell ref="N3:P3"/>
  </mergeCells>
  <conditionalFormatting sqref="K31">
    <cfRule type="containsText" dxfId="23" priority="1" operator="containsText" text="FALSE">
      <formula>NOT(ISERROR(SEARCH("FALSE",K31)))</formula>
    </cfRule>
    <cfRule type="containsText" dxfId="22" priority="2" operator="containsText" text="TRUE">
      <formula>NOT(ISERROR(SEARCH("TRUE",K31)))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NOT(ISERROR(SEARCH("YES",K31)))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EE12-39D0-AD44-9469-F28D414ECCB8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410.91710501937769</v>
      </c>
      <c r="L4" s="6" t="s">
        <v>97</v>
      </c>
      <c r="N4" s="6" t="s">
        <v>131</v>
      </c>
      <c r="O4" s="6">
        <f xml:space="preserve"> $C$5 * $C$74</f>
        <v>16868.391758174253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1.181590790526988</v>
      </c>
      <c r="X4" s="3">
        <v>1</v>
      </c>
      <c r="Y4" s="2">
        <f t="shared" ref="Y4:Y34" si="1" xml:space="preserve"> $O$22 * TAN($O$19/180*PI()) + $O$23 / (2 * SQRT($O$22^2 + X4^2)) - X4</f>
        <v>-2.96032673435358E-2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0.48910939007443233</v>
      </c>
      <c r="AB4" s="2">
        <f>W4*AA4</f>
        <v>0.57792715087222146</v>
      </c>
      <c r="AC4" s="2">
        <f>Y4*AA4</f>
        <v>-1.4479236034607155E-2</v>
      </c>
      <c r="AD4" s="2">
        <f>X4-V4</f>
        <v>1</v>
      </c>
      <c r="AF4" s="2">
        <v>0</v>
      </c>
      <c r="AH4" s="2">
        <f>K30</f>
        <v>3.3557573237885663E-3</v>
      </c>
      <c r="AJ4" s="2">
        <f>K30</f>
        <v>3.3557573237885663E-3</v>
      </c>
      <c r="AL4" s="2">
        <f>K30</f>
        <v>3.3557573237885663E-3</v>
      </c>
    </row>
    <row r="5" spans="2:41" x14ac:dyDescent="0.2">
      <c r="B5" s="9" t="s">
        <v>38</v>
      </c>
      <c r="C5" s="9">
        <v>1721.1672253640199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51.364638127422211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0.48910939007443233</v>
      </c>
      <c r="X5" s="2">
        <f>IF(AC4&gt;0, Z4, X4)</f>
        <v>1</v>
      </c>
      <c r="Y5" s="2">
        <f t="shared" si="1"/>
        <v>-2.96032673435358E-2</v>
      </c>
      <c r="Z5" s="2">
        <f t="shared" ref="Z5:Z34" si="3" xml:space="preserve"> (V5 + X5)/2</f>
        <v>0.75</v>
      </c>
      <c r="AA5" s="2">
        <f t="shared" si="2"/>
        <v>0.22669582371083907</v>
      </c>
      <c r="AB5" s="2">
        <f t="shared" ref="AB5:AB34" si="4">W5*AA5</f>
        <v>0.11087905606762953</v>
      </c>
      <c r="AC5" s="2">
        <f t="shared" ref="AC5:AC34" si="5">Y5*AA5</f>
        <v>-6.7109370749750307E-3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-720.26763888648134</v>
      </c>
      <c r="AI5" s="3">
        <v>10000</v>
      </c>
      <c r="AJ5" s="2">
        <f t="dataTable" ref="AJ5:AJ44" dt2D="0" dtr="0" r1="C5"/>
        <v>3557.8927193810359</v>
      </c>
      <c r="AK5" s="2">
        <f>(AG5+AI5)/2</f>
        <v>5250</v>
      </c>
      <c r="AL5" s="2">
        <f t="dataTable" ref="AL5:AL44" dt2D="0" dtr="0" r1="C5" ca="1"/>
        <v>1980.3886981799965</v>
      </c>
      <c r="AM5" s="2">
        <f>AH5*AL5</f>
        <v>-1426409.8917155785</v>
      </c>
      <c r="AN5" s="2">
        <f>AJ5*AL5</f>
        <v>7046010.5307990974</v>
      </c>
      <c r="AO5" s="2">
        <f>AI5-AG5</f>
        <v>9500</v>
      </c>
    </row>
    <row r="6" spans="2:41" x14ac:dyDescent="0.2">
      <c r="B6" s="6" t="s">
        <v>168</v>
      </c>
      <c r="C6" s="16">
        <v>419.57494698678801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161.10048642752736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0.18805084684848331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0.22669582371083907</v>
      </c>
      <c r="X6" s="2">
        <f t="shared" ref="X6:X34" si="8">IF(AC5&gt;0, Z5, X5)</f>
        <v>1</v>
      </c>
      <c r="Y6" s="2">
        <f t="shared" si="1"/>
        <v>-2.96032673435358E-2</v>
      </c>
      <c r="Z6" s="2">
        <f t="shared" si="3"/>
        <v>0.875</v>
      </c>
      <c r="AA6" s="2">
        <f t="shared" si="2"/>
        <v>9.8102477189343174E-2</v>
      </c>
      <c r="AB6" s="2">
        <f t="shared" si="4"/>
        <v>2.2239421874511951E-2</v>
      </c>
      <c r="AC6" s="2">
        <f t="shared" si="5"/>
        <v>-2.9041538592992485E-3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-720.26763888648134</v>
      </c>
      <c r="AI6" s="2">
        <f>IF(AN5&gt;0,AK5,AI5)</f>
        <v>5250</v>
      </c>
      <c r="AJ6" s="2">
        <v>1980.3886981799965</v>
      </c>
      <c r="AK6" s="2">
        <f t="shared" ref="AK6:AK44" si="9">(AG6+AI6)/2</f>
        <v>2875</v>
      </c>
      <c r="AL6" s="2">
        <v>576.75950821433253</v>
      </c>
      <c r="AM6" s="2">
        <f t="shared" ref="AM6:AM44" si="10">AH6*AL6</f>
        <v>-415421.20918686542</v>
      </c>
      <c r="AN6" s="2">
        <f t="shared" ref="AN6:AN44" si="11">AJ6*AL6</f>
        <v>1142208.011635517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2108.7506750068255</v>
      </c>
      <c r="H7" s="6" t="s">
        <v>21</v>
      </c>
      <c r="J7" s="6" t="s">
        <v>133</v>
      </c>
      <c r="K7" s="6">
        <f>K6/$C$28</f>
        <v>161.10048642752736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9.8102477189343174E-2</v>
      </c>
      <c r="X7" s="2">
        <f t="shared" si="8"/>
        <v>1</v>
      </c>
      <c r="Y7" s="2">
        <f t="shared" si="1"/>
        <v>-2.96032673435358E-2</v>
      </c>
      <c r="Z7" s="2">
        <f t="shared" si="3"/>
        <v>0.9375</v>
      </c>
      <c r="AA7" s="2">
        <f t="shared" si="2"/>
        <v>3.4160474434798305E-2</v>
      </c>
      <c r="AB7" s="2">
        <f t="shared" si="4"/>
        <v>3.3512271640169411E-3</v>
      </c>
      <c r="AC7" s="2">
        <f t="shared" si="5"/>
        <v>-1.0112616572753542E-3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-720.26763888648134</v>
      </c>
      <c r="AI7" s="2">
        <f t="shared" ref="AI7:AI44" si="14">IF(AN6&gt;0,AK6,AI6)</f>
        <v>2875</v>
      </c>
      <c r="AJ7" s="2">
        <v>576.75950821433253</v>
      </c>
      <c r="AK7" s="2">
        <f t="shared" si="9"/>
        <v>1687.5</v>
      </c>
      <c r="AL7" s="2">
        <v>-18.412842432671596</v>
      </c>
      <c r="AM7" s="2">
        <f t="shared" si="10"/>
        <v>13262.174544169186</v>
      </c>
      <c r="AN7" s="2">
        <f t="shared" si="11"/>
        <v>-10619.781946295663</v>
      </c>
      <c r="AO7" s="2">
        <f t="shared" si="12"/>
        <v>2375</v>
      </c>
    </row>
    <row r="8" spans="2:41" x14ac:dyDescent="0.2">
      <c r="B8" s="6" t="s">
        <v>91</v>
      </c>
      <c r="C8" s="16">
        <v>1.65820448767796</v>
      </c>
      <c r="D8" s="6" t="s">
        <v>8</v>
      </c>
      <c r="F8" t="s">
        <v>93</v>
      </c>
      <c r="G8" s="6">
        <f>G10/$C$21</f>
        <v>34.243092084948138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3.4160474434798305E-2</v>
      </c>
      <c r="X8" s="2">
        <f t="shared" si="8"/>
        <v>1</v>
      </c>
      <c r="Y8" s="2">
        <f t="shared" si="1"/>
        <v>-2.96032673435358E-2</v>
      </c>
      <c r="Z8" s="2">
        <f t="shared" si="3"/>
        <v>0.96875</v>
      </c>
      <c r="AA8" s="2">
        <f t="shared" si="2"/>
        <v>2.2584447816386133E-3</v>
      </c>
      <c r="AB8" s="2">
        <f t="shared" si="4"/>
        <v>7.7149545225569489E-5</v>
      </c>
      <c r="AC8" s="2">
        <f t="shared" si="5"/>
        <v>-6.6857344651461207E-5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-18.412842432671596</v>
      </c>
      <c r="AI8" s="2">
        <f t="shared" si="14"/>
        <v>2875</v>
      </c>
      <c r="AJ8" s="2">
        <v>576.75950821433253</v>
      </c>
      <c r="AK8" s="2">
        <f t="shared" si="9"/>
        <v>2281.25</v>
      </c>
      <c r="AL8" s="2">
        <v>293.19248126277216</v>
      </c>
      <c r="AM8" s="2">
        <f t="shared" si="10"/>
        <v>-5398.5069599354429</v>
      </c>
      <c r="AN8" s="2">
        <f t="shared" si="11"/>
        <v>169101.55130525638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6.2828994133117959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2.2584447816386133E-3</v>
      </c>
      <c r="X9" s="2">
        <f t="shared" si="8"/>
        <v>1</v>
      </c>
      <c r="Y9" s="2">
        <f t="shared" si="1"/>
        <v>-2.96032673435358E-2</v>
      </c>
      <c r="Z9" s="2">
        <f t="shared" si="3"/>
        <v>0.984375</v>
      </c>
      <c r="AA9" s="2">
        <f t="shared" si="2"/>
        <v>-1.3677214442712859E-2</v>
      </c>
      <c r="AB9" s="2">
        <f t="shared" si="4"/>
        <v>-3.0889233585497131E-5</v>
      </c>
      <c r="AC9" s="2">
        <f t="shared" si="5"/>
        <v>4.048902356624978E-4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-18.412842432671596</v>
      </c>
      <c r="AI9" s="2">
        <f t="shared" si="14"/>
        <v>2281.25</v>
      </c>
      <c r="AJ9" s="2">
        <v>293.19248126277216</v>
      </c>
      <c r="AK9" s="2">
        <f t="shared" si="9"/>
        <v>1984.375</v>
      </c>
      <c r="AL9" s="2">
        <v>140.88988336973966</v>
      </c>
      <c r="AM9" s="2">
        <f t="shared" si="10"/>
        <v>-2594.1832228444946</v>
      </c>
      <c r="AN9" s="2">
        <f t="shared" si="11"/>
        <v>41307.854489996549</v>
      </c>
      <c r="AO9" s="2">
        <f t="shared" si="12"/>
        <v>593.75</v>
      </c>
    </row>
    <row r="10" spans="2:41" x14ac:dyDescent="0.2">
      <c r="B10" s="6" t="s">
        <v>134</v>
      </c>
      <c r="C10" s="16">
        <v>1.5981888185648001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273.94473667958511</v>
      </c>
      <c r="H10" s="22" t="s">
        <v>97</v>
      </c>
      <c r="J10" s="6" t="s">
        <v>92</v>
      </c>
      <c r="K10" s="6">
        <f xml:space="preserve"> $C$18 * (G10*G6 + G20*G13 + G29*G25 + G33*G32)/3600</f>
        <v>101.43115600779667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2.2584447816386133E-3</v>
      </c>
      <c r="X10" s="2">
        <f t="shared" si="8"/>
        <v>0.984375</v>
      </c>
      <c r="Y10" s="2">
        <f t="shared" si="1"/>
        <v>-1.3677214442712859E-2</v>
      </c>
      <c r="Z10" s="2">
        <f t="shared" si="3"/>
        <v>0.9765625</v>
      </c>
      <c r="AA10" s="2">
        <f t="shared" si="2"/>
        <v>-5.7106140260033689E-3</v>
      </c>
      <c r="AB10" s="2">
        <f t="shared" si="4"/>
        <v>-1.2897106446979581E-5</v>
      </c>
      <c r="AC10" s="2">
        <f t="shared" si="5"/>
        <v>7.8105292633211905E-5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-18.412842432671596</v>
      </c>
      <c r="AI10" s="2">
        <f t="shared" si="14"/>
        <v>1984.375</v>
      </c>
      <c r="AJ10" s="2">
        <v>140.88988336973966</v>
      </c>
      <c r="AK10" s="2">
        <f t="shared" si="9"/>
        <v>1835.9375</v>
      </c>
      <c r="AL10" s="2">
        <v>62.110967119780753</v>
      </c>
      <c r="AM10" s="2">
        <f t="shared" si="10"/>
        <v>-1143.6394509173692</v>
      </c>
      <c r="AN10" s="2">
        <f t="shared" si="11"/>
        <v>8750.8069134876459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0.89560985040758323</v>
      </c>
      <c r="U11" s="2">
        <v>7</v>
      </c>
      <c r="V11" s="2">
        <f t="shared" si="7"/>
        <v>0.96875</v>
      </c>
      <c r="W11" s="2">
        <f t="shared" si="0"/>
        <v>2.2584447816386133E-3</v>
      </c>
      <c r="X11" s="2">
        <f t="shared" si="8"/>
        <v>0.9765625</v>
      </c>
      <c r="Y11" s="2">
        <f t="shared" si="1"/>
        <v>-5.7106140260033689E-3</v>
      </c>
      <c r="Z11" s="2">
        <f t="shared" si="3"/>
        <v>0.97265625</v>
      </c>
      <c r="AA11" s="2">
        <f t="shared" si="2"/>
        <v>-1.726395569684569E-3</v>
      </c>
      <c r="AB11" s="2">
        <f t="shared" si="4"/>
        <v>-3.8989690653981362E-6</v>
      </c>
      <c r="AC11" s="2">
        <f t="shared" si="5"/>
        <v>9.8587787546707766E-6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-18.412842432671596</v>
      </c>
      <c r="AI11" s="2">
        <f t="shared" si="14"/>
        <v>1835.9375</v>
      </c>
      <c r="AJ11" s="2">
        <v>62.110967119780753</v>
      </c>
      <c r="AK11" s="2">
        <f t="shared" si="9"/>
        <v>1761.71875</v>
      </c>
      <c r="AL11" s="2">
        <v>22.066631975057817</v>
      </c>
      <c r="AM11" s="2">
        <f t="shared" si="10"/>
        <v>-406.30941757649236</v>
      </c>
      <c r="AN11" s="2">
        <f t="shared" si="11"/>
        <v>1370.5798530471186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0.24797737844582843</v>
      </c>
      <c r="U12" s="2">
        <v>8</v>
      </c>
      <c r="V12" s="2">
        <f t="shared" si="7"/>
        <v>0.96875</v>
      </c>
      <c r="W12" s="2">
        <f t="shared" si="0"/>
        <v>2.2584447816386133E-3</v>
      </c>
      <c r="X12" s="2">
        <f t="shared" si="8"/>
        <v>0.97265625</v>
      </c>
      <c r="Y12" s="2">
        <f t="shared" si="1"/>
        <v>-1.726395569684569E-3</v>
      </c>
      <c r="Z12" s="2">
        <f t="shared" si="3"/>
        <v>0.970703125</v>
      </c>
      <c r="AA12" s="2">
        <f t="shared" si="2"/>
        <v>2.6594640671573355E-4</v>
      </c>
      <c r="AB12" s="2">
        <f t="shared" si="4"/>
        <v>6.0062527444268865E-7</v>
      </c>
      <c r="AC12" s="2">
        <f t="shared" si="5"/>
        <v>-4.5912869832757289E-7</v>
      </c>
      <c r="AD12" s="2">
        <f t="shared" si="6"/>
        <v>3.90625E-3</v>
      </c>
      <c r="AF12" s="2">
        <v>8</v>
      </c>
      <c r="AG12" s="2">
        <f t="shared" si="13"/>
        <v>1687.5</v>
      </c>
      <c r="AH12" s="2">
        <v>-18.412842432671596</v>
      </c>
      <c r="AI12" s="2">
        <f t="shared" si="14"/>
        <v>1761.71875</v>
      </c>
      <c r="AJ12" s="2">
        <v>22.066631975057817</v>
      </c>
      <c r="AK12" s="2">
        <f t="shared" si="9"/>
        <v>1724.609375</v>
      </c>
      <c r="AL12" s="2">
        <v>1.8812006587304495</v>
      </c>
      <c r="AM12" s="2">
        <f t="shared" si="10"/>
        <v>-34.638251313441778</v>
      </c>
      <c r="AN12" s="2">
        <f t="shared" si="11"/>
        <v>41.511762607441163</v>
      </c>
      <c r="AO12" s="2">
        <f t="shared" si="12"/>
        <v>74.21875</v>
      </c>
    </row>
    <row r="13" spans="2:41" x14ac:dyDescent="0.2">
      <c r="B13" s="6" t="s">
        <v>136</v>
      </c>
      <c r="C13" s="16">
        <v>5.1573690247195501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2.2488150895404596E-2</v>
      </c>
      <c r="U13" s="2">
        <v>9</v>
      </c>
      <c r="V13" s="2">
        <f t="shared" si="7"/>
        <v>0.970703125</v>
      </c>
      <c r="W13" s="2">
        <f t="shared" si="0"/>
        <v>2.6594640671573355E-4</v>
      </c>
      <c r="X13" s="2">
        <f t="shared" si="8"/>
        <v>0.97265625</v>
      </c>
      <c r="Y13" s="2">
        <f t="shared" si="1"/>
        <v>-1.726395569684569E-3</v>
      </c>
      <c r="Z13" s="2">
        <f t="shared" si="3"/>
        <v>0.9716796875</v>
      </c>
      <c r="AA13" s="2">
        <f t="shared" si="2"/>
        <v>-7.3024407321642393E-4</v>
      </c>
      <c r="AB13" s="2">
        <f t="shared" si="4"/>
        <v>-1.9420578729736898E-7</v>
      </c>
      <c r="AC13" s="2">
        <f t="shared" si="5"/>
        <v>1.2606901327892482E-6</v>
      </c>
      <c r="AD13" s="2">
        <f t="shared" si="6"/>
        <v>1.953125E-3</v>
      </c>
      <c r="AF13" s="2">
        <v>9</v>
      </c>
      <c r="AG13" s="2">
        <f t="shared" si="13"/>
        <v>1687.5</v>
      </c>
      <c r="AH13" s="2">
        <v>-18.412842432671596</v>
      </c>
      <c r="AI13" s="2">
        <f t="shared" si="14"/>
        <v>1724.609375</v>
      </c>
      <c r="AJ13" s="2">
        <v>1.8812006587304495</v>
      </c>
      <c r="AK13" s="2">
        <f t="shared" si="9"/>
        <v>1706.0546875</v>
      </c>
      <c r="AL13" s="2">
        <v>-8.2522565020972252</v>
      </c>
      <c r="AM13" s="2">
        <f t="shared" si="10"/>
        <v>151.94749868710588</v>
      </c>
      <c r="AN13" s="2">
        <f t="shared" si="11"/>
        <v>-15.524150367757935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70.220877822712367</v>
      </c>
      <c r="H14" s="6" t="s">
        <v>10</v>
      </c>
      <c r="J14" s="9" t="s">
        <v>75</v>
      </c>
      <c r="K14" s="17">
        <f>C5</f>
        <v>1721.1672253640199</v>
      </c>
      <c r="L14" s="6" t="s">
        <v>7</v>
      </c>
      <c r="N14" s="6" t="s">
        <v>40</v>
      </c>
      <c r="O14" s="6">
        <f xml:space="preserve"> O5 * O13 * $C$12</f>
        <v>1529.7320328091535</v>
      </c>
      <c r="P14" s="6" t="s">
        <v>21</v>
      </c>
      <c r="U14" s="2">
        <v>10</v>
      </c>
      <c r="V14" s="2">
        <f t="shared" si="7"/>
        <v>0.970703125</v>
      </c>
      <c r="W14" s="2">
        <f t="shared" si="0"/>
        <v>2.6594640671573355E-4</v>
      </c>
      <c r="X14" s="2">
        <f t="shared" si="8"/>
        <v>0.9716796875</v>
      </c>
      <c r="Y14" s="2">
        <f t="shared" si="1"/>
        <v>-7.3024407321642393E-4</v>
      </c>
      <c r="Z14" s="2">
        <f t="shared" si="3"/>
        <v>0.97119140625</v>
      </c>
      <c r="AA14" s="2">
        <f t="shared" si="2"/>
        <v>-2.3215371342588664E-4</v>
      </c>
      <c r="AB14" s="2">
        <f t="shared" si="4"/>
        <v>-6.1740445891328703E-8</v>
      </c>
      <c r="AC14" s="2">
        <f t="shared" si="5"/>
        <v>1.6952887330443785E-7</v>
      </c>
      <c r="AD14" s="2">
        <f t="shared" si="6"/>
        <v>9.765625E-4</v>
      </c>
      <c r="AF14" s="2">
        <v>10</v>
      </c>
      <c r="AG14" s="2">
        <f t="shared" si="13"/>
        <v>1706.0546875</v>
      </c>
      <c r="AH14" s="2">
        <v>-8.2522565020972252</v>
      </c>
      <c r="AI14" s="2">
        <f t="shared" si="14"/>
        <v>1724.609375</v>
      </c>
      <c r="AJ14" s="2">
        <v>1.8812006587304495</v>
      </c>
      <c r="AK14" s="2">
        <f t="shared" si="9"/>
        <v>1715.33203125</v>
      </c>
      <c r="AL14" s="2">
        <v>-3.1821353234890921</v>
      </c>
      <c r="AM14" s="2">
        <f t="shared" si="10"/>
        <v>26.259796913816118</v>
      </c>
      <c r="AN14" s="2">
        <f t="shared" si="11"/>
        <v>-5.9862350667171125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0.21104985583105898</v>
      </c>
      <c r="H15" s="6" t="s">
        <v>120</v>
      </c>
      <c r="J15" s="10" t="s">
        <v>53</v>
      </c>
      <c r="K15" s="6">
        <f xml:space="preserve"> 1000 * K10 / ($C$60 * $C$61 * $C$62)</f>
        <v>372.90866179337013</v>
      </c>
      <c r="L15" s="6" t="s">
        <v>7</v>
      </c>
      <c r="N15" s="6" t="s">
        <v>140</v>
      </c>
      <c r="O15" s="6">
        <f>O4/O14</f>
        <v>11.027023946931184</v>
      </c>
      <c r="U15" s="2">
        <v>11</v>
      </c>
      <c r="V15" s="2">
        <f t="shared" si="7"/>
        <v>0.970703125</v>
      </c>
      <c r="W15" s="2">
        <f t="shared" si="0"/>
        <v>2.6594640671573355E-4</v>
      </c>
      <c r="X15" s="2">
        <f t="shared" si="8"/>
        <v>0.97119140625</v>
      </c>
      <c r="Y15" s="2">
        <f t="shared" si="1"/>
        <v>-2.3215371342588664E-4</v>
      </c>
      <c r="Z15" s="2">
        <f t="shared" si="3"/>
        <v>0.970947265625</v>
      </c>
      <c r="AA15" s="2">
        <f t="shared" si="2"/>
        <v>1.6895125694138535E-5</v>
      </c>
      <c r="AB15" s="2">
        <f t="shared" si="4"/>
        <v>4.4931979693668073E-9</v>
      </c>
      <c r="AC15" s="2">
        <f t="shared" si="5"/>
        <v>-3.9222661686913718E-9</v>
      </c>
      <c r="AD15" s="2">
        <f t="shared" si="6"/>
        <v>4.8828125E-4</v>
      </c>
      <c r="AF15" s="2">
        <v>11</v>
      </c>
      <c r="AG15" s="2">
        <f t="shared" si="13"/>
        <v>1715.33203125</v>
      </c>
      <c r="AH15" s="2">
        <v>-3.1821353234890921</v>
      </c>
      <c r="AI15" s="2">
        <f t="shared" si="14"/>
        <v>1724.609375</v>
      </c>
      <c r="AJ15" s="2">
        <v>1.8812006587304495</v>
      </c>
      <c r="AK15" s="2">
        <f t="shared" si="9"/>
        <v>1719.970703125</v>
      </c>
      <c r="AL15" s="2">
        <v>-0.64961894430689426</v>
      </c>
      <c r="AM15" s="2">
        <f t="shared" si="10"/>
        <v>2.0671753894866614</v>
      </c>
      <c r="AN15" s="2">
        <f t="shared" si="11"/>
        <v>-1.2220635859539086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1529.7320328091535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125.96000448976457</v>
      </c>
      <c r="L16" s="6" t="s">
        <v>7</v>
      </c>
      <c r="N16" s="6" t="s">
        <v>111</v>
      </c>
      <c r="O16" s="6">
        <f>(O13*$C$12)/(0.3048^2)/($C$5*2.20462/1000)^(2/3)</f>
        <v>2.9849738837222417</v>
      </c>
      <c r="U16" s="2">
        <v>12</v>
      </c>
      <c r="V16" s="2">
        <f t="shared" si="7"/>
        <v>0.970947265625</v>
      </c>
      <c r="W16" s="2">
        <f t="shared" si="0"/>
        <v>1.6895125694138535E-5</v>
      </c>
      <c r="X16" s="2">
        <f t="shared" si="8"/>
        <v>0.97119140625</v>
      </c>
      <c r="Y16" s="2">
        <f t="shared" si="1"/>
        <v>-2.3215371342588664E-4</v>
      </c>
      <c r="Z16" s="2">
        <f t="shared" si="3"/>
        <v>0.9710693359375</v>
      </c>
      <c r="AA16" s="2">
        <f t="shared" si="2"/>
        <v>-1.0762959899013325E-4</v>
      </c>
      <c r="AB16" s="2">
        <f t="shared" si="4"/>
        <v>-1.8184156033480272E-9</v>
      </c>
      <c r="AC16" s="2">
        <f t="shared" si="5"/>
        <v>2.4986611080098492E-8</v>
      </c>
      <c r="AD16" s="2">
        <f t="shared" si="6"/>
        <v>2.44140625E-4</v>
      </c>
      <c r="AF16" s="2">
        <v>12</v>
      </c>
      <c r="AG16" s="2">
        <f t="shared" si="13"/>
        <v>1719.970703125</v>
      </c>
      <c r="AH16" s="2">
        <v>-0.64961894430689426</v>
      </c>
      <c r="AI16" s="2">
        <f t="shared" si="14"/>
        <v>1724.609375</v>
      </c>
      <c r="AJ16" s="2">
        <v>1.8812006587304495</v>
      </c>
      <c r="AK16" s="2">
        <f t="shared" si="9"/>
        <v>1722.2900390625</v>
      </c>
      <c r="AL16" s="2">
        <v>0.61600315940245309</v>
      </c>
      <c r="AM16" s="2">
        <f t="shared" si="10"/>
        <v>-0.40016732210073308</v>
      </c>
      <c r="AN16" s="2">
        <f t="shared" si="11"/>
        <v>1.1588255492479329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107.40032428501824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0.970947265625</v>
      </c>
      <c r="W17" s="2">
        <f t="shared" si="0"/>
        <v>1.6895125694138535E-5</v>
      </c>
      <c r="X17" s="2">
        <f t="shared" si="8"/>
        <v>0.9710693359375</v>
      </c>
      <c r="Y17" s="2">
        <f t="shared" si="1"/>
        <v>-1.0762959899013325E-4</v>
      </c>
      <c r="Z17" s="2">
        <f t="shared" si="3"/>
        <v>0.97100830078125</v>
      </c>
      <c r="AA17" s="2">
        <f t="shared" si="2"/>
        <v>-4.5367312943245253E-5</v>
      </c>
      <c r="AB17" s="2">
        <f t="shared" si="4"/>
        <v>-7.6648645458144665E-10</v>
      </c>
      <c r="AC17" s="2">
        <f t="shared" si="5"/>
        <v>4.8828656993413682E-9</v>
      </c>
      <c r="AD17" s="2">
        <f t="shared" si="6"/>
        <v>1.220703125E-4</v>
      </c>
      <c r="AF17" s="2">
        <v>13</v>
      </c>
      <c r="AG17" s="2">
        <f t="shared" si="13"/>
        <v>1719.970703125</v>
      </c>
      <c r="AH17" s="2">
        <v>-0.64961894430689426</v>
      </c>
      <c r="AI17" s="2">
        <f t="shared" si="14"/>
        <v>1722.2900390625</v>
      </c>
      <c r="AJ17" s="2">
        <v>0.61600315940245309</v>
      </c>
      <c r="AK17" s="2">
        <f t="shared" si="9"/>
        <v>1721.13037109375</v>
      </c>
      <c r="AL17" s="2">
        <v>-1.6754955883243383E-2</v>
      </c>
      <c r="AM17" s="2">
        <f t="shared" si="10"/>
        <v>1.0884336752781153E-2</v>
      </c>
      <c r="AN17" s="2">
        <f t="shared" si="11"/>
        <v>-1.0321105759726643E-2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1.4533129961583482</v>
      </c>
      <c r="H18" s="6" t="s">
        <v>172</v>
      </c>
      <c r="J18" s="12" t="s">
        <v>54</v>
      </c>
      <c r="K18" s="6">
        <f xml:space="preserve"> $C$78 * (0.2138 * K4 + 0.2138 * K6)</f>
        <v>97.837888841078637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0.970947265625</v>
      </c>
      <c r="W18" s="2">
        <f t="shared" si="0"/>
        <v>1.6895125694138535E-5</v>
      </c>
      <c r="X18" s="2">
        <f t="shared" si="8"/>
        <v>0.97100830078125</v>
      </c>
      <c r="Y18" s="2">
        <f t="shared" si="1"/>
        <v>-4.5367312943245253E-5</v>
      </c>
      <c r="Z18" s="2">
        <f t="shared" si="3"/>
        <v>0.970977783203125</v>
      </c>
      <c r="AA18" s="2">
        <f t="shared" si="2"/>
        <v>-1.4236112700127812E-5</v>
      </c>
      <c r="AB18" s="2">
        <f t="shared" si="4"/>
        <v>-2.405209134645813E-10</v>
      </c>
      <c r="AC18" s="2">
        <f t="shared" si="5"/>
        <v>6.4585417996200657E-10</v>
      </c>
      <c r="AD18" s="2">
        <f t="shared" si="6"/>
        <v>6.103515625E-5</v>
      </c>
      <c r="AF18" s="2">
        <v>14</v>
      </c>
      <c r="AG18" s="2">
        <f t="shared" si="13"/>
        <v>1721.13037109375</v>
      </c>
      <c r="AH18" s="2">
        <v>-1.6754955883243383E-2</v>
      </c>
      <c r="AI18" s="2">
        <f t="shared" si="14"/>
        <v>1722.2900390625</v>
      </c>
      <c r="AJ18" s="2">
        <v>0.61600315940245309</v>
      </c>
      <c r="AK18" s="2">
        <f t="shared" si="9"/>
        <v>1721.710205078125</v>
      </c>
      <c r="AL18" s="2">
        <v>0.29963720026580631</v>
      </c>
      <c r="AM18" s="2">
        <f t="shared" si="10"/>
        <v>-5.0204080714321472E-3</v>
      </c>
      <c r="AN18" s="2">
        <f t="shared" si="11"/>
        <v>0.18457746203824224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4.5099481903367059E-2</v>
      </c>
      <c r="J19" s="12" t="s">
        <v>73</v>
      </c>
      <c r="K19" s="6">
        <f xml:space="preserve"> $C$78 * (0.1149 * K4 + 0.1149 * K6)</f>
        <v>52.579857005799525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0.970947265625</v>
      </c>
      <c r="W19" s="2">
        <f t="shared" si="0"/>
        <v>1.6895125694138535E-5</v>
      </c>
      <c r="X19" s="2">
        <f t="shared" si="8"/>
        <v>0.970977783203125</v>
      </c>
      <c r="Y19" s="2">
        <f t="shared" si="1"/>
        <v>-1.4236112700127812E-5</v>
      </c>
      <c r="Z19" s="2">
        <f t="shared" si="3"/>
        <v>0.9709625244140625</v>
      </c>
      <c r="AA19" s="2">
        <f t="shared" si="2"/>
        <v>1.329501727931337E-6</v>
      </c>
      <c r="AB19" s="2">
        <f t="shared" si="4"/>
        <v>2.2462098803974311E-11</v>
      </c>
      <c r="AC19" s="2">
        <f t="shared" si="5"/>
        <v>-1.8926936433845179E-11</v>
      </c>
      <c r="AD19" s="2">
        <f t="shared" si="6"/>
        <v>3.0517578125E-5</v>
      </c>
      <c r="AF19" s="2">
        <v>15</v>
      </c>
      <c r="AG19" s="2">
        <f t="shared" si="13"/>
        <v>1721.13037109375</v>
      </c>
      <c r="AH19" s="2">
        <v>-1.6754955883243383E-2</v>
      </c>
      <c r="AI19" s="2">
        <f t="shared" si="14"/>
        <v>1721.710205078125</v>
      </c>
      <c r="AJ19" s="2">
        <v>0.29963720026580631</v>
      </c>
      <c r="AK19" s="2">
        <f t="shared" si="9"/>
        <v>1721.4202880859375</v>
      </c>
      <c r="AL19" s="2">
        <v>0.14144457809720734</v>
      </c>
      <c r="AM19" s="2">
        <f t="shared" si="10"/>
        <v>-2.3698976659426822E-3</v>
      </c>
      <c r="AN19" s="2">
        <f t="shared" si="11"/>
        <v>4.2382057373825395E-2</v>
      </c>
      <c r="AO19" s="2">
        <f t="shared" si="12"/>
        <v>0.579833984375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107.40032428501824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207.44551623514917</v>
      </c>
      <c r="L20" s="6" t="s">
        <v>7</v>
      </c>
      <c r="N20" s="6" t="s">
        <v>20</v>
      </c>
      <c r="O20" s="6">
        <f xml:space="preserve"> O14 / $C$28</f>
        <v>1529.7320328091535</v>
      </c>
      <c r="P20" s="6" t="s">
        <v>21</v>
      </c>
      <c r="U20" s="2">
        <v>16</v>
      </c>
      <c r="V20" s="2">
        <f t="shared" si="7"/>
        <v>0.9709625244140625</v>
      </c>
      <c r="W20" s="2">
        <f t="shared" si="0"/>
        <v>1.329501727931337E-6</v>
      </c>
      <c r="X20" s="2">
        <f t="shared" si="8"/>
        <v>0.970977783203125</v>
      </c>
      <c r="Y20" s="2">
        <f t="shared" si="1"/>
        <v>-1.4236112700127812E-5</v>
      </c>
      <c r="Z20" s="2">
        <f t="shared" si="3"/>
        <v>0.97097015380859375</v>
      </c>
      <c r="AA20" s="2">
        <f t="shared" si="2"/>
        <v>-6.4533066783667437E-6</v>
      </c>
      <c r="AB20" s="2">
        <f t="shared" si="4"/>
        <v>-8.5796823797594222E-12</v>
      </c>
      <c r="AC20" s="2">
        <f t="shared" si="5"/>
        <v>9.1870001161716429E-11</v>
      </c>
      <c r="AD20" s="2">
        <f t="shared" si="6"/>
        <v>1.52587890625E-5</v>
      </c>
      <c r="AF20" s="2">
        <v>16</v>
      </c>
      <c r="AG20" s="2">
        <f t="shared" si="13"/>
        <v>1721.13037109375</v>
      </c>
      <c r="AH20" s="2">
        <v>-1.6754955883243383E-2</v>
      </c>
      <c r="AI20" s="2">
        <f t="shared" si="14"/>
        <v>1721.4202880859375</v>
      </c>
      <c r="AJ20" s="2">
        <v>0.14144457809720734</v>
      </c>
      <c r="AK20" s="2">
        <f t="shared" si="9"/>
        <v>1721.2753295898438</v>
      </c>
      <c r="AL20" s="2">
        <v>6.2345629746232589E-2</v>
      </c>
      <c r="AM20" s="2">
        <f t="shared" si="10"/>
        <v>-1.0445982759111534E-3</v>
      </c>
      <c r="AN20" s="2">
        <f t="shared" si="11"/>
        <v>8.8184512956605687E-3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44.750347859464526</v>
      </c>
      <c r="L21" s="6" t="s">
        <v>7</v>
      </c>
      <c r="N21" s="6" t="s">
        <v>27</v>
      </c>
      <c r="O21" s="6">
        <f>$C$6*2*PI()/60</f>
        <v>43.937785702800667</v>
      </c>
      <c r="P21" s="6" t="s">
        <v>28</v>
      </c>
      <c r="U21" s="2">
        <v>17</v>
      </c>
      <c r="V21" s="2">
        <f t="shared" si="7"/>
        <v>0.9709625244140625</v>
      </c>
      <c r="W21" s="2">
        <f t="shared" si="0"/>
        <v>1.329501727931337E-6</v>
      </c>
      <c r="X21" s="2">
        <f t="shared" si="8"/>
        <v>0.97097015380859375</v>
      </c>
      <c r="Y21" s="2">
        <f t="shared" si="1"/>
        <v>-6.4533066783667437E-6</v>
      </c>
      <c r="Z21" s="2">
        <f t="shared" si="3"/>
        <v>0.97096633911132812</v>
      </c>
      <c r="AA21" s="2">
        <f t="shared" si="2"/>
        <v>-2.5619027732570743E-6</v>
      </c>
      <c r="AB21" s="2">
        <f t="shared" si="4"/>
        <v>-3.4060541638373644E-12</v>
      </c>
      <c r="AC21" s="2">
        <f t="shared" si="5"/>
        <v>1.6532744275986159E-11</v>
      </c>
      <c r="AD21" s="2">
        <f t="shared" si="6"/>
        <v>7.62939453125E-6</v>
      </c>
      <c r="AF21" s="2">
        <v>17</v>
      </c>
      <c r="AG21" s="2">
        <f t="shared" si="13"/>
        <v>1721.13037109375</v>
      </c>
      <c r="AH21" s="2">
        <v>-1.6754955883243383E-2</v>
      </c>
      <c r="AI21" s="2">
        <f t="shared" si="14"/>
        <v>1721.2753295898438</v>
      </c>
      <c r="AJ21" s="2">
        <v>6.2345629746232589E-2</v>
      </c>
      <c r="AK21" s="2">
        <f t="shared" si="9"/>
        <v>1721.2028503417969</v>
      </c>
      <c r="AL21" s="2">
        <v>2.2795722898763415E-2</v>
      </c>
      <c r="AM21" s="2">
        <f t="shared" si="10"/>
        <v>-3.8194133149542199E-4</v>
      </c>
      <c r="AN21" s="2">
        <f t="shared" si="11"/>
        <v>1.4212136996440197E-3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 xml:space="preserve"> $C$79 * (0.04674 * ($C$5*2.20462)^0.397 * ($C$12*3.28084^2)^0.36 * $C$46^0.397 * $C$13^1.712 * 0.453592)</f>
        <v>91.777548551722703</v>
      </c>
      <c r="L22" s="6" t="s">
        <v>7</v>
      </c>
      <c r="N22" s="6" t="s">
        <v>29</v>
      </c>
      <c r="O22" s="6">
        <f xml:space="preserve"> $C$7 * COS(O19/180*PI()) / (O21 * $C$10)</f>
        <v>8.3227605049914125E-2</v>
      </c>
      <c r="U22" s="2">
        <v>18</v>
      </c>
      <c r="V22" s="2">
        <f t="shared" si="7"/>
        <v>0.9709625244140625</v>
      </c>
      <c r="W22" s="2">
        <f t="shared" si="0"/>
        <v>1.329501727931337E-6</v>
      </c>
      <c r="X22" s="2">
        <f t="shared" si="8"/>
        <v>0.97096633911132812</v>
      </c>
      <c r="Y22" s="2">
        <f t="shared" si="1"/>
        <v>-2.5619027732570743E-6</v>
      </c>
      <c r="Z22" s="2">
        <f t="shared" si="3"/>
        <v>0.97096443176269531</v>
      </c>
      <c r="AA22" s="2">
        <f t="shared" si="2"/>
        <v>-6.1620059721434473E-7</v>
      </c>
      <c r="AB22" s="2">
        <f t="shared" si="4"/>
        <v>-8.1923975874879309E-13</v>
      </c>
      <c r="AC22" s="2">
        <f t="shared" si="5"/>
        <v>1.5786460188860951E-12</v>
      </c>
      <c r="AD22" s="2">
        <f t="shared" si="6"/>
        <v>3.814697265625E-6</v>
      </c>
      <c r="AF22" s="2">
        <v>18</v>
      </c>
      <c r="AG22" s="2">
        <f t="shared" si="13"/>
        <v>1721.13037109375</v>
      </c>
      <c r="AH22" s="2">
        <v>-1.6754955883243383E-2</v>
      </c>
      <c r="AI22" s="2">
        <f t="shared" si="14"/>
        <v>1721.2028503417969</v>
      </c>
      <c r="AJ22" s="2">
        <v>2.2795722898763415E-2</v>
      </c>
      <c r="AK22" s="2">
        <f t="shared" si="9"/>
        <v>1721.1666107177734</v>
      </c>
      <c r="AL22" s="2">
        <v>3.0204346717255248E-3</v>
      </c>
      <c r="AM22" s="2">
        <f t="shared" si="10"/>
        <v>-5.060724967297988E-5</v>
      </c>
      <c r="AN22" s="2">
        <f t="shared" si="11"/>
        <v>6.8852991810472506E-5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19.965878347743864</v>
      </c>
      <c r="L23" s="6" t="s">
        <v>7</v>
      </c>
      <c r="N23" s="6" t="s">
        <v>30</v>
      </c>
      <c r="O23" s="6">
        <f xml:space="preserve"> O20 / ( $C$71 * PI() * $C$10^2 * O21^2 * $C$10^2)</f>
        <v>3.8333787924080702E-2</v>
      </c>
      <c r="U23" s="2">
        <v>19</v>
      </c>
      <c r="V23" s="2">
        <f t="shared" si="7"/>
        <v>0.9709625244140625</v>
      </c>
      <c r="W23" s="2">
        <f t="shared" si="0"/>
        <v>1.329501727931337E-6</v>
      </c>
      <c r="X23" s="2">
        <f t="shared" si="8"/>
        <v>0.97096443176269531</v>
      </c>
      <c r="Y23" s="2">
        <f t="shared" si="1"/>
        <v>-6.1620059721434473E-7</v>
      </c>
      <c r="Z23" s="2">
        <f t="shared" si="3"/>
        <v>0.97096347808837891</v>
      </c>
      <c r="AA23" s="2">
        <f t="shared" si="2"/>
        <v>3.5665054676226049E-7</v>
      </c>
      <c r="AB23" s="2">
        <f t="shared" si="4"/>
        <v>4.741675181880814E-13</v>
      </c>
      <c r="AC23" s="2">
        <f t="shared" si="5"/>
        <v>-2.1976827991172749E-13</v>
      </c>
      <c r="AD23" s="2">
        <f t="shared" si="6"/>
        <v>1.9073486328125E-6</v>
      </c>
      <c r="AF23" s="2">
        <v>19</v>
      </c>
      <c r="AG23" s="2">
        <f t="shared" si="13"/>
        <v>1721.13037109375</v>
      </c>
      <c r="AH23" s="2">
        <v>-1.6754955883243383E-2</v>
      </c>
      <c r="AI23" s="2">
        <f t="shared" si="14"/>
        <v>1721.1666107177734</v>
      </c>
      <c r="AJ23" s="2">
        <v>3.0204346717255248E-3</v>
      </c>
      <c r="AK23" s="2">
        <f t="shared" si="9"/>
        <v>1721.1484909057617</v>
      </c>
      <c r="AL23" s="2">
        <v>-6.8672478150801908E-3</v>
      </c>
      <c r="AM23" s="2">
        <f t="shared" si="10"/>
        <v>1.1506043418096811E-4</v>
      </c>
      <c r="AN23" s="2">
        <f t="shared" si="11"/>
        <v>-2.0742073399999565E-5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7.5381890632070627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0.97096347808837891</v>
      </c>
      <c r="W24" s="2">
        <f t="shared" si="0"/>
        <v>3.5665054676226049E-7</v>
      </c>
      <c r="X24" s="2">
        <f t="shared" si="8"/>
        <v>0.97096443176269531</v>
      </c>
      <c r="Y24" s="2">
        <f t="shared" si="1"/>
        <v>-6.1620059721434473E-7</v>
      </c>
      <c r="Z24" s="2">
        <f t="shared" si="3"/>
        <v>0.97096395492553711</v>
      </c>
      <c r="AA24" s="2">
        <f t="shared" si="2"/>
        <v>-1.2977502994448997E-7</v>
      </c>
      <c r="AB24" s="2">
        <f t="shared" si="4"/>
        <v>-4.6284335385791077E-14</v>
      </c>
      <c r="AC24" s="2">
        <f t="shared" si="5"/>
        <v>7.9967450955304186E-14</v>
      </c>
      <c r="AD24" s="2">
        <f t="shared" si="6"/>
        <v>9.5367431640625E-7</v>
      </c>
      <c r="AF24" s="2">
        <v>20</v>
      </c>
      <c r="AG24" s="2">
        <f t="shared" si="13"/>
        <v>1721.1484909057617</v>
      </c>
      <c r="AH24" s="2">
        <v>-6.8672478150801908E-3</v>
      </c>
      <c r="AI24" s="2">
        <f t="shared" si="14"/>
        <v>1721.1666107177734</v>
      </c>
      <c r="AJ24" s="2">
        <v>3.0204346717255248E-3</v>
      </c>
      <c r="AK24" s="2">
        <f t="shared" si="9"/>
        <v>1721.1575508117676</v>
      </c>
      <c r="AL24" s="2">
        <v>-1.9234033743487089E-3</v>
      </c>
      <c r="AM24" s="2">
        <f t="shared" si="10"/>
        <v>1.3208487620014038E-5</v>
      </c>
      <c r="AN24" s="2">
        <f t="shared" si="11"/>
        <v>-5.809514239596709E-6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18.663033112506685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2735.1304930439933</v>
      </c>
      <c r="P25" s="6" t="s">
        <v>19</v>
      </c>
      <c r="U25" s="2">
        <v>21</v>
      </c>
      <c r="V25" s="2">
        <f t="shared" si="7"/>
        <v>0.97096347808837891</v>
      </c>
      <c r="W25" s="2">
        <f t="shared" si="0"/>
        <v>3.5665054676226049E-7</v>
      </c>
      <c r="X25" s="2">
        <f t="shared" si="8"/>
        <v>0.97096395492553711</v>
      </c>
      <c r="Y25" s="2">
        <f t="shared" si="1"/>
        <v>-1.2977502994448997E-7</v>
      </c>
      <c r="Z25" s="2">
        <f t="shared" si="3"/>
        <v>0.97096371650695801</v>
      </c>
      <c r="AA25" s="2">
        <f t="shared" si="2"/>
        <v>1.1343775729866223E-7</v>
      </c>
      <c r="AB25" s="2">
        <f t="shared" si="4"/>
        <v>4.0457638164052493E-14</v>
      </c>
      <c r="AC25" s="2">
        <f t="shared" si="5"/>
        <v>-1.4721388350269677E-14</v>
      </c>
      <c r="AD25" s="2">
        <f t="shared" si="6"/>
        <v>4.76837158203125E-7</v>
      </c>
      <c r="AF25" s="2">
        <v>21</v>
      </c>
      <c r="AG25" s="2">
        <f t="shared" si="13"/>
        <v>1721.1575508117676</v>
      </c>
      <c r="AH25" s="2">
        <v>-1.9234033743487089E-3</v>
      </c>
      <c r="AI25" s="2">
        <f t="shared" si="14"/>
        <v>1721.1666107177734</v>
      </c>
      <c r="AJ25" s="2">
        <v>3.0204346717255248E-3</v>
      </c>
      <c r="AK25" s="2">
        <f t="shared" si="9"/>
        <v>1721.1620807647705</v>
      </c>
      <c r="AL25" s="2">
        <v>5.4833514218444179E-4</v>
      </c>
      <c r="AM25" s="2">
        <f t="shared" si="10"/>
        <v>-1.0546696627515343E-6</v>
      </c>
      <c r="AN25" s="2">
        <f t="shared" si="11"/>
        <v>1.6562104751794335E-6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2108.7506750068255</v>
      </c>
      <c r="H26" s="6" t="s">
        <v>21</v>
      </c>
      <c r="J26" s="14" t="s">
        <v>65</v>
      </c>
      <c r="K26" s="6">
        <f xml:space="preserve"> $C$80 * (0.0268 * $C$5)</f>
        <v>36.901825311804593</v>
      </c>
      <c r="L26" s="6" t="s">
        <v>7</v>
      </c>
      <c r="N26" s="6" t="s">
        <v>32</v>
      </c>
      <c r="O26" s="17">
        <f>Z34</f>
        <v>0.97096382780000567</v>
      </c>
      <c r="U26" s="2">
        <v>22</v>
      </c>
      <c r="V26" s="2">
        <f t="shared" si="7"/>
        <v>0.97096371650695801</v>
      </c>
      <c r="W26" s="2">
        <f t="shared" si="0"/>
        <v>1.1343775729866223E-7</v>
      </c>
      <c r="X26" s="2">
        <f t="shared" si="8"/>
        <v>0.97096395492553711</v>
      </c>
      <c r="Y26" s="2">
        <f t="shared" si="1"/>
        <v>-1.2977502994448997E-7</v>
      </c>
      <c r="Z26" s="2">
        <f t="shared" si="3"/>
        <v>0.97096383571624756</v>
      </c>
      <c r="AA26" s="2">
        <f t="shared" si="2"/>
        <v>-8.1686366559807766E-9</v>
      </c>
      <c r="AB26" s="2">
        <f t="shared" si="4"/>
        <v>-9.2663182244210323E-16</v>
      </c>
      <c r="AC26" s="2">
        <f t="shared" si="5"/>
        <v>1.0600850666355638E-15</v>
      </c>
      <c r="AD26" s="2">
        <f t="shared" si="6"/>
        <v>2.384185791015625E-7</v>
      </c>
      <c r="AF26" s="2">
        <v>22</v>
      </c>
      <c r="AG26" s="2">
        <f t="shared" si="13"/>
        <v>1721.1575508117676</v>
      </c>
      <c r="AH26" s="2">
        <v>-1.9234033743487089E-3</v>
      </c>
      <c r="AI26" s="2">
        <f t="shared" si="14"/>
        <v>1721.1620807647705</v>
      </c>
      <c r="AJ26" s="2">
        <v>5.4833514218444179E-4</v>
      </c>
      <c r="AK26" s="2">
        <f t="shared" si="9"/>
        <v>1721.159815788269</v>
      </c>
      <c r="AL26" s="2">
        <v>-6.8735260992980329E-4</v>
      </c>
      <c r="AM26" s="2">
        <f t="shared" si="10"/>
        <v>1.3220563293063755E-6</v>
      </c>
      <c r="AN26" s="2">
        <f t="shared" si="11"/>
        <v>-3.7689959109670585E-7</v>
      </c>
      <c r="AO26" s="2">
        <f t="shared" si="12"/>
        <v>4.5299530029296875E-3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30.463710696293536</v>
      </c>
      <c r="H27" t="s">
        <v>97</v>
      </c>
      <c r="J27" s="14" t="s">
        <v>66</v>
      </c>
      <c r="K27" s="6">
        <f xml:space="preserve"> $C$80 * (11.5 * ($C$5*2.20462/1000)^0.4 * 0.453592)</f>
        <v>7.1140340229633638</v>
      </c>
      <c r="L27" s="6" t="s">
        <v>7</v>
      </c>
      <c r="N27" s="6" t="s">
        <v>33</v>
      </c>
      <c r="O27" s="6">
        <f xml:space="preserve"> O21 * $C$10 * O26 - $C$7 * SIN(O19/180*PI())</f>
        <v>1.3811006469772451</v>
      </c>
      <c r="P27" s="6" t="s">
        <v>10</v>
      </c>
      <c r="U27" s="2">
        <v>23</v>
      </c>
      <c r="V27" s="2">
        <f t="shared" si="7"/>
        <v>0.97096371650695801</v>
      </c>
      <c r="W27" s="2">
        <f t="shared" si="0"/>
        <v>1.1343775729866223E-7</v>
      </c>
      <c r="X27" s="2">
        <f t="shared" si="8"/>
        <v>0.97096383571624756</v>
      </c>
      <c r="Y27" s="2">
        <f t="shared" si="1"/>
        <v>-8.1686366559807766E-9</v>
      </c>
      <c r="Z27" s="2">
        <f t="shared" si="3"/>
        <v>0.97096377611160278</v>
      </c>
      <c r="AA27" s="2">
        <f t="shared" si="2"/>
        <v>5.2634560265829577E-8</v>
      </c>
      <c r="AB27" s="2">
        <f t="shared" si="4"/>
        <v>5.970746472956986E-15</v>
      </c>
      <c r="AC27" s="2">
        <f t="shared" si="5"/>
        <v>-4.2995259835888478E-16</v>
      </c>
      <c r="AD27" s="2">
        <f t="shared" si="6"/>
        <v>1.1920928955078125E-7</v>
      </c>
      <c r="AF27" s="2">
        <v>23</v>
      </c>
      <c r="AG27" s="2">
        <f t="shared" si="13"/>
        <v>1721.159815788269</v>
      </c>
      <c r="AH27" s="2">
        <v>-6.8735260992980329E-4</v>
      </c>
      <c r="AI27" s="2">
        <f t="shared" si="14"/>
        <v>1721.1620807647705</v>
      </c>
      <c r="AJ27" s="2">
        <v>5.4833514218444179E-4</v>
      </c>
      <c r="AK27" s="2">
        <f t="shared" si="9"/>
        <v>1721.1609482765198</v>
      </c>
      <c r="AL27" s="2">
        <v>-6.9327377786976285E-5</v>
      </c>
      <c r="AM27" s="2">
        <f t="shared" si="10"/>
        <v>4.7652354061467622E-8</v>
      </c>
      <c r="AN27" s="2">
        <f t="shared" si="11"/>
        <v>-3.8014637556096155E-8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7.0623669360370762</v>
      </c>
      <c r="H28" s="6" t="s">
        <v>172</v>
      </c>
      <c r="J28" s="14" t="s">
        <v>67</v>
      </c>
      <c r="K28" s="6">
        <f xml:space="preserve"> $C$80 * (8 * ($C$5/1000))</f>
        <v>11.015470242329728</v>
      </c>
      <c r="L28" s="6" t="s">
        <v>7</v>
      </c>
      <c r="N28" s="6" t="s">
        <v>34</v>
      </c>
      <c r="O28" s="6">
        <f xml:space="preserve"> 1/$C$31 - O25 * SQRT( (2*$C$71*PI()*$C$10^2) / O20^3 )</f>
        <v>1.1494168873260868</v>
      </c>
      <c r="U28" s="2">
        <v>24</v>
      </c>
      <c r="V28" s="2">
        <f t="shared" si="7"/>
        <v>0.97096377611160278</v>
      </c>
      <c r="W28" s="2">
        <f t="shared" si="0"/>
        <v>5.2634560265829577E-8</v>
      </c>
      <c r="X28" s="2">
        <f t="shared" si="8"/>
        <v>0.97096383571624756</v>
      </c>
      <c r="Y28" s="2">
        <f t="shared" si="1"/>
        <v>-8.1686366559807766E-9</v>
      </c>
      <c r="Z28" s="2">
        <f t="shared" si="3"/>
        <v>0.97096380591392517</v>
      </c>
      <c r="AA28" s="2">
        <f t="shared" si="2"/>
        <v>2.22329618049244E-8</v>
      </c>
      <c r="AB28" s="2">
        <f t="shared" si="4"/>
        <v>1.1702221680091804E-15</v>
      </c>
      <c r="AC28" s="2">
        <f t="shared" si="5"/>
        <v>-1.8161298677072599E-16</v>
      </c>
      <c r="AD28" s="2">
        <f t="shared" si="6"/>
        <v>5.9604644775390625E-8</v>
      </c>
      <c r="AF28" s="2">
        <v>24</v>
      </c>
      <c r="AG28" s="2">
        <f t="shared" si="13"/>
        <v>1721.1609482765198</v>
      </c>
      <c r="AH28" s="2">
        <v>-6.9327377786976285E-5</v>
      </c>
      <c r="AI28" s="2">
        <f t="shared" si="14"/>
        <v>1721.1620807647705</v>
      </c>
      <c r="AJ28" s="2">
        <v>5.4833514218444179E-4</v>
      </c>
      <c r="AK28" s="2">
        <f t="shared" si="9"/>
        <v>1721.1615145206451</v>
      </c>
      <c r="AL28" s="2">
        <v>2.3950389481797174E-4</v>
      </c>
      <c r="AM28" s="2">
        <f t="shared" si="10"/>
        <v>-1.660417699749776E-8</v>
      </c>
      <c r="AN28" s="2">
        <f t="shared" si="11"/>
        <v>1.3132840221874012E-7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243.70968557034828</v>
      </c>
      <c r="H29" s="22" t="s">
        <v>97</v>
      </c>
      <c r="J29" s="14" t="s">
        <v>68</v>
      </c>
      <c r="K29" s="6">
        <f xml:space="preserve"> $C$80 * (13 * ($C$5*2.20462/1000)^1.3 * 0.453592)</f>
        <v>26.705614729791751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0.97096380591392517</v>
      </c>
      <c r="W29" s="2">
        <f t="shared" si="0"/>
        <v>2.22329618049244E-8</v>
      </c>
      <c r="X29" s="2">
        <f t="shared" si="8"/>
        <v>0.97096383571624756</v>
      </c>
      <c r="Y29" s="2">
        <f t="shared" si="1"/>
        <v>-8.1686366559807766E-9</v>
      </c>
      <c r="Z29" s="2">
        <f t="shared" si="3"/>
        <v>0.97096382081508636</v>
      </c>
      <c r="AA29" s="2">
        <f t="shared" si="2"/>
        <v>7.0321626299829632E-9</v>
      </c>
      <c r="AB29" s="2">
        <f t="shared" si="4"/>
        <v>1.5634580315842794E-16</v>
      </c>
      <c r="AC29" s="2">
        <f t="shared" si="5"/>
        <v>-5.7443181430097015E-17</v>
      </c>
      <c r="AD29" s="2">
        <f t="shared" si="6"/>
        <v>2.9802322387695312E-8</v>
      </c>
      <c r="AF29" s="2">
        <v>25</v>
      </c>
      <c r="AG29" s="2">
        <f t="shared" si="13"/>
        <v>1721.1609482765198</v>
      </c>
      <c r="AH29" s="2">
        <v>-6.9327377786976285E-5</v>
      </c>
      <c r="AI29" s="2">
        <f t="shared" si="14"/>
        <v>1721.1615145206451</v>
      </c>
      <c r="AJ29" s="2">
        <v>2.3950389481797174E-4</v>
      </c>
      <c r="AK29" s="2">
        <f t="shared" si="9"/>
        <v>1721.1612313985825</v>
      </c>
      <c r="AL29" s="2">
        <v>8.4906955635233317E-5</v>
      </c>
      <c r="AM29" s="2">
        <f t="shared" si="10"/>
        <v>-5.8863765900658552E-9</v>
      </c>
      <c r="AN29" s="2">
        <f t="shared" si="11"/>
        <v>2.0335546571775114E-8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3.3557573237885663E-3</v>
      </c>
      <c r="L30" s="9" t="s">
        <v>7</v>
      </c>
      <c r="N30" s="6" t="s">
        <v>36</v>
      </c>
      <c r="O30" s="6">
        <f xml:space="preserve"> 1/$C$77 * LN( EXP($C$77 * O28) + EXP($C$77 * O29) )</f>
        <v>1.1728146247419147</v>
      </c>
      <c r="U30" s="2">
        <v>26</v>
      </c>
      <c r="V30" s="2">
        <f>IF(AB29&gt;0, Z29, V29)</f>
        <v>0.97096382081508636</v>
      </c>
      <c r="W30" s="2">
        <f t="shared" si="0"/>
        <v>7.0321626299829632E-9</v>
      </c>
      <c r="X30" s="2">
        <f t="shared" si="8"/>
        <v>0.97096383571624756</v>
      </c>
      <c r="Y30" s="2">
        <f t="shared" si="1"/>
        <v>-8.1686366559807766E-9</v>
      </c>
      <c r="Z30" s="2">
        <f t="shared" si="3"/>
        <v>0.97096382826566696</v>
      </c>
      <c r="AA30" s="2">
        <f t="shared" si="2"/>
        <v>-5.6823701299890672E-10</v>
      </c>
      <c r="AB30" s="2">
        <f t="shared" si="4"/>
        <v>-3.9959350877840551E-18</v>
      </c>
      <c r="AC30" s="2">
        <f t="shared" si="5"/>
        <v>4.6417216936678945E-18</v>
      </c>
      <c r="AD30" s="2">
        <f t="shared" si="6"/>
        <v>1.4901161193847656E-8</v>
      </c>
      <c r="AF30" s="2">
        <v>26</v>
      </c>
      <c r="AG30" s="2">
        <f t="shared" si="13"/>
        <v>1721.1609482765198</v>
      </c>
      <c r="AH30" s="2">
        <v>-6.9327377786976285E-5</v>
      </c>
      <c r="AI30" s="2">
        <f t="shared" si="14"/>
        <v>1721.1612313985825</v>
      </c>
      <c r="AJ30" s="2">
        <v>8.4906955635233317E-5</v>
      </c>
      <c r="AK30" s="2">
        <f t="shared" si="9"/>
        <v>1721.1610898375511</v>
      </c>
      <c r="AL30" s="2">
        <v>7.7897893788758665E-6</v>
      </c>
      <c r="AM30" s="2">
        <f t="shared" si="10"/>
        <v>-5.4004567115030254E-10</v>
      </c>
      <c r="AN30" s="2">
        <f t="shared" si="11"/>
        <v>6.6140730120002489E-10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0.97096382081508636</v>
      </c>
      <c r="W31" s="2">
        <f t="shared" si="0"/>
        <v>7.0321626299829632E-9</v>
      </c>
      <c r="X31" s="2">
        <f t="shared" si="8"/>
        <v>0.97096382826566696</v>
      </c>
      <c r="Y31" s="2">
        <f t="shared" si="1"/>
        <v>-5.6823701299890672E-10</v>
      </c>
      <c r="Z31" s="2">
        <f t="shared" si="3"/>
        <v>0.97096382454037666</v>
      </c>
      <c r="AA31" s="2">
        <f t="shared" si="2"/>
        <v>3.2319628084920282E-9</v>
      </c>
      <c r="AB31" s="2">
        <f t="shared" si="4"/>
        <v>2.2727688083372425E-17</v>
      </c>
      <c r="AC31" s="2">
        <f t="shared" si="5"/>
        <v>-1.8365208924210677E-18</v>
      </c>
      <c r="AD31" s="2">
        <f t="shared" si="6"/>
        <v>7.4505805969238281E-9</v>
      </c>
      <c r="AF31" s="2">
        <v>27</v>
      </c>
      <c r="AG31" s="2">
        <f t="shared" si="13"/>
        <v>1721.1609482765198</v>
      </c>
      <c r="AH31" s="2">
        <v>-6.9327377786976285E-5</v>
      </c>
      <c r="AI31" s="2">
        <f t="shared" si="14"/>
        <v>1721.1610898375511</v>
      </c>
      <c r="AJ31" s="2">
        <v>7.7897893788758665E-6</v>
      </c>
      <c r="AK31" s="2">
        <f t="shared" si="9"/>
        <v>1721.1610190570354</v>
      </c>
      <c r="AL31" s="2">
        <v>-3.0950099926485564E-5</v>
      </c>
      <c r="AM31" s="2">
        <f t="shared" si="10"/>
        <v>2.1456892701481316E-9</v>
      </c>
      <c r="AN31" s="2">
        <f t="shared" si="11"/>
        <v>-2.4109475968248398E-10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0.97096382454037666</v>
      </c>
      <c r="W32" s="2">
        <f t="shared" si="0"/>
        <v>3.2319628084920282E-9</v>
      </c>
      <c r="X32" s="2">
        <f t="shared" si="8"/>
        <v>0.97096382826566696</v>
      </c>
      <c r="Y32" s="2">
        <f t="shared" si="1"/>
        <v>-5.6823701299890672E-10</v>
      </c>
      <c r="Z32" s="2">
        <f t="shared" si="3"/>
        <v>0.97096382640302181</v>
      </c>
      <c r="AA32" s="2">
        <f t="shared" si="2"/>
        <v>1.3318628422354095E-9</v>
      </c>
      <c r="AB32" s="2">
        <f t="shared" si="4"/>
        <v>4.3045311721173292E-18</v>
      </c>
      <c r="AC32" s="2">
        <f t="shared" si="5"/>
        <v>-7.5681376319608325E-19</v>
      </c>
      <c r="AD32" s="2">
        <f t="shared" si="6"/>
        <v>3.7252902984619141E-9</v>
      </c>
      <c r="AF32" s="2">
        <v>28</v>
      </c>
      <c r="AG32" s="2">
        <f t="shared" si="13"/>
        <v>1721.1610190570354</v>
      </c>
      <c r="AH32" s="2">
        <v>-6.9327377786976285E-5</v>
      </c>
      <c r="AI32" s="2">
        <f t="shared" si="14"/>
        <v>1721.1610898375511</v>
      </c>
      <c r="AJ32" s="2">
        <v>7.7897893788758665E-6</v>
      </c>
      <c r="AK32" s="2">
        <f t="shared" si="9"/>
        <v>1721.1610544472933</v>
      </c>
      <c r="AL32" s="2">
        <v>-5.0320044692853116E-5</v>
      </c>
      <c r="AM32" s="2">
        <f t="shared" si="10"/>
        <v>3.4885567486789591E-9</v>
      </c>
      <c r="AN32" s="2">
        <f t="shared" si="11"/>
        <v>-3.9198254969294612E-10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107.40032428501824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0.97096382640302181</v>
      </c>
      <c r="W33" s="2">
        <f t="shared" si="0"/>
        <v>1.3318628422354095E-9</v>
      </c>
      <c r="X33" s="2">
        <f t="shared" si="8"/>
        <v>0.97096382826566696</v>
      </c>
      <c r="Y33" s="2">
        <f t="shared" si="1"/>
        <v>-5.6823701299890672E-10</v>
      </c>
      <c r="Z33" s="2">
        <f t="shared" si="3"/>
        <v>0.97096382733434439</v>
      </c>
      <c r="AA33" s="2">
        <f t="shared" si="2"/>
        <v>3.818129146182514E-10</v>
      </c>
      <c r="AB33" s="2">
        <f t="shared" si="4"/>
        <v>5.0852243366565005E-19</v>
      </c>
      <c r="AC33" s="2">
        <f t="shared" si="5"/>
        <v>-2.1696023012708178E-19</v>
      </c>
      <c r="AD33" s="2">
        <f t="shared" si="6"/>
        <v>1.862645149230957E-9</v>
      </c>
      <c r="AF33" s="2">
        <v>29</v>
      </c>
      <c r="AG33" s="2">
        <f t="shared" si="13"/>
        <v>1721.1610544472933</v>
      </c>
      <c r="AH33" s="2">
        <v>-6.9327377786976285E-5</v>
      </c>
      <c r="AI33" s="2">
        <f t="shared" si="14"/>
        <v>1721.1610898375511</v>
      </c>
      <c r="AJ33" s="2">
        <v>7.7897893788758665E-6</v>
      </c>
      <c r="AK33" s="2">
        <f t="shared" si="9"/>
        <v>1721.1610721424222</v>
      </c>
      <c r="AL33" s="2">
        <v>-6.0005017303410568E-5</v>
      </c>
      <c r="AM33" s="2">
        <f t="shared" si="10"/>
        <v>4.1599905037075931E-9</v>
      </c>
      <c r="AN33" s="2">
        <f t="shared" si="11"/>
        <v>-4.6742644646937023E-10</v>
      </c>
      <c r="AO33" s="2">
        <f t="shared" si="12"/>
        <v>3.5390257835388184E-5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34.86</v>
      </c>
      <c r="L34" s="6" t="s">
        <v>59</v>
      </c>
      <c r="U34" s="2">
        <v>30</v>
      </c>
      <c r="V34" s="2">
        <f t="shared" si="7"/>
        <v>0.97096382733434439</v>
      </c>
      <c r="W34" s="2">
        <f t="shared" si="0"/>
        <v>3.818129146182514E-10</v>
      </c>
      <c r="X34" s="2">
        <f t="shared" si="8"/>
        <v>0.97096382826566696</v>
      </c>
      <c r="Y34" s="2">
        <f t="shared" si="1"/>
        <v>-5.6823701299890672E-10</v>
      </c>
      <c r="Z34" s="2">
        <f t="shared" si="3"/>
        <v>0.97096382780000567</v>
      </c>
      <c r="AA34" s="2">
        <f t="shared" si="2"/>
        <v>-9.321199367917643E-11</v>
      </c>
      <c r="AB34" s="2">
        <f t="shared" si="4"/>
        <v>-3.5589542984024379E-20</v>
      </c>
      <c r="AC34" s="2">
        <f t="shared" si="5"/>
        <v>5.2966504863928188E-20</v>
      </c>
      <c r="AD34" s="2">
        <f t="shared" si="6"/>
        <v>9.3132257461547852E-10</v>
      </c>
      <c r="AF34" s="2">
        <v>30</v>
      </c>
      <c r="AG34" s="2">
        <f t="shared" si="13"/>
        <v>1721.1610721424222</v>
      </c>
      <c r="AH34" s="2">
        <v>-6.9327377786976285E-5</v>
      </c>
      <c r="AI34" s="2">
        <f t="shared" si="14"/>
        <v>1721.1610898375511</v>
      </c>
      <c r="AJ34" s="2">
        <v>7.7897893788758665E-6</v>
      </c>
      <c r="AK34" s="2">
        <f t="shared" si="9"/>
        <v>1721.1610809899867</v>
      </c>
      <c r="AL34" s="2">
        <v>-6.4484891709071235E-5</v>
      </c>
      <c r="AM34" s="2">
        <f t="shared" si="10"/>
        <v>4.4705684490670359E-9</v>
      </c>
      <c r="AN34" s="2">
        <f t="shared" si="11"/>
        <v>-5.0232372453328353E-10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21.67</v>
      </c>
      <c r="L35" s="6" t="s">
        <v>59</v>
      </c>
      <c r="AF35" s="2">
        <v>31</v>
      </c>
      <c r="AG35" s="2">
        <f t="shared" si="13"/>
        <v>1721.1610809899867</v>
      </c>
      <c r="AH35" s="2">
        <v>-6.9327377786976285E-5</v>
      </c>
      <c r="AI35" s="2">
        <f t="shared" si="14"/>
        <v>1721.1610898375511</v>
      </c>
      <c r="AJ35" s="2">
        <v>7.7897893788758665E-6</v>
      </c>
      <c r="AK35" s="2">
        <f t="shared" si="9"/>
        <v>1721.1610854137689</v>
      </c>
      <c r="AL35" s="2">
        <v>-6.6906135089084273E-5</v>
      </c>
      <c r="AM35" s="2">
        <f t="shared" si="10"/>
        <v>4.6384269035874156E-9</v>
      </c>
      <c r="AN35" s="2">
        <f t="shared" si="11"/>
        <v>-5.211847004985826E-10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16.059999999999999</v>
      </c>
      <c r="L36" s="6" t="s">
        <v>59</v>
      </c>
      <c r="AF36" s="2">
        <v>32</v>
      </c>
      <c r="AG36" s="2">
        <f t="shared" si="13"/>
        <v>1721.1610854137689</v>
      </c>
      <c r="AH36" s="2">
        <v>-6.9327377786976285E-5</v>
      </c>
      <c r="AI36" s="2">
        <f t="shared" si="14"/>
        <v>1721.1610898375511</v>
      </c>
      <c r="AJ36" s="2">
        <v>7.7897893788758665E-6</v>
      </c>
      <c r="AK36" s="2">
        <f t="shared" si="9"/>
        <v>1721.16108762566</v>
      </c>
      <c r="AL36" s="2">
        <v>-6.8116756438030279E-5</v>
      </c>
      <c r="AM36" s="2">
        <f t="shared" si="10"/>
        <v>4.7223561072027747E-9</v>
      </c>
      <c r="AN36" s="2">
        <f t="shared" si="11"/>
        <v>-5.3061518582444257E-10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22.67</v>
      </c>
      <c r="L37" s="6" t="s">
        <v>59</v>
      </c>
      <c r="AF37" s="2">
        <v>33</v>
      </c>
      <c r="AG37" s="2">
        <f t="shared" si="13"/>
        <v>1721.16108762566</v>
      </c>
      <c r="AH37" s="2">
        <v>-6.9327377786976285E-5</v>
      </c>
      <c r="AI37" s="2">
        <f t="shared" si="14"/>
        <v>1721.1610898375511</v>
      </c>
      <c r="AJ37" s="2">
        <v>7.7897893788758665E-6</v>
      </c>
      <c r="AK37" s="2">
        <f t="shared" si="9"/>
        <v>1721.1610887316056</v>
      </c>
      <c r="AL37" s="2">
        <v>-6.872206722619012E-5</v>
      </c>
      <c r="AM37" s="2">
        <f t="shared" si="10"/>
        <v>4.7643207168920639E-9</v>
      </c>
      <c r="AN37" s="2">
        <f t="shared" si="11"/>
        <v>-5.3533042937296908E-10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4.75</v>
      </c>
      <c r="L38" s="6" t="s">
        <v>59</v>
      </c>
      <c r="AF38" s="2">
        <v>34</v>
      </c>
      <c r="AG38" s="2">
        <f t="shared" si="13"/>
        <v>1721.1610887316056</v>
      </c>
      <c r="AH38" s="2">
        <v>-6.9327377786976285E-5</v>
      </c>
      <c r="AI38" s="2">
        <f t="shared" si="14"/>
        <v>1721.1610898375511</v>
      </c>
      <c r="AJ38" s="2">
        <v>7.7897893788758665E-6</v>
      </c>
      <c r="AK38" s="2">
        <f t="shared" si="9"/>
        <v>1721.1610892845783</v>
      </c>
      <c r="AL38" s="2">
        <v>-6.9024722279209527E-5</v>
      </c>
      <c r="AM38" s="2">
        <f t="shared" si="10"/>
        <v>4.7853029980918781E-9</v>
      </c>
      <c r="AN38" s="2">
        <f t="shared" si="11"/>
        <v>-5.3768804849044277E-10</v>
      </c>
      <c r="AO38" s="2">
        <f t="shared" si="12"/>
        <v>1.1059455573558807E-6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100.01</v>
      </c>
      <c r="L39" s="9" t="s">
        <v>59</v>
      </c>
      <c r="AF39" s="2">
        <v>35</v>
      </c>
      <c r="AG39" s="2">
        <f t="shared" si="13"/>
        <v>1721.1610892845783</v>
      </c>
      <c r="AH39" s="2">
        <v>-6.9327377786976285E-5</v>
      </c>
      <c r="AI39" s="2">
        <f t="shared" si="14"/>
        <v>1721.1610898375511</v>
      </c>
      <c r="AJ39" s="2">
        <v>7.7897893788758665E-6</v>
      </c>
      <c r="AK39" s="2">
        <f t="shared" si="9"/>
        <v>1721.1610895610647</v>
      </c>
      <c r="AL39" s="2">
        <v>-6.9176050374153419E-5</v>
      </c>
      <c r="AM39" s="2">
        <f t="shared" si="10"/>
        <v>4.7957941780998367E-9</v>
      </c>
      <c r="AN39" s="2">
        <f t="shared" si="11"/>
        <v>-5.3886686247716222E-10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1721.1610895610647</v>
      </c>
      <c r="AH40" s="2">
        <v>-6.9327377786976285E-5</v>
      </c>
      <c r="AI40" s="2">
        <f t="shared" si="14"/>
        <v>1721.1610898375511</v>
      </c>
      <c r="AJ40" s="2">
        <v>7.7897893788758665E-6</v>
      </c>
      <c r="AK40" s="2">
        <f t="shared" si="9"/>
        <v>1721.1610896993079</v>
      </c>
      <c r="AL40" s="2">
        <v>-6.925171419425169E-5</v>
      </c>
      <c r="AM40" s="2">
        <f t="shared" si="10"/>
        <v>4.8010397523405949E-9</v>
      </c>
      <c r="AN40" s="2">
        <f t="shared" si="11"/>
        <v>-5.394562676993289E-10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1721.1610896993079</v>
      </c>
      <c r="AH41" s="2">
        <v>-6.9327377786976285E-5</v>
      </c>
      <c r="AI41" s="2">
        <f t="shared" si="14"/>
        <v>1721.1610898375511</v>
      </c>
      <c r="AJ41" s="2">
        <v>7.7897893788758665E-6</v>
      </c>
      <c r="AK41" s="2">
        <f t="shared" si="9"/>
        <v>1721.1610897684295</v>
      </c>
      <c r="AL41" s="2">
        <v>-6.9289545990613988E-5</v>
      </c>
      <c r="AM41" s="2">
        <f t="shared" si="10"/>
        <v>4.8036625315793639E-9</v>
      </c>
      <c r="AN41" s="2">
        <f t="shared" si="11"/>
        <v>-5.3975096942481572E-10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1721.1610897684295</v>
      </c>
      <c r="AH42" s="2">
        <v>-6.9327377786976285E-5</v>
      </c>
      <c r="AI42" s="2">
        <f t="shared" si="14"/>
        <v>1721.1610898375511</v>
      </c>
      <c r="AJ42" s="2">
        <v>7.7897893788758665E-6</v>
      </c>
      <c r="AK42" s="2">
        <f t="shared" si="9"/>
        <v>1721.1610898029903</v>
      </c>
      <c r="AL42" s="2">
        <v>-6.9308461888795136E-5</v>
      </c>
      <c r="AM42" s="2">
        <f t="shared" si="10"/>
        <v>4.8049739211987488E-9</v>
      </c>
      <c r="AN42" s="2">
        <f t="shared" si="11"/>
        <v>-5.3989832028755913E-10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372.91</v>
      </c>
      <c r="L43" s="6" t="s">
        <v>7</v>
      </c>
      <c r="AF43" s="2">
        <v>39</v>
      </c>
      <c r="AG43" s="2">
        <f t="shared" si="13"/>
        <v>1721.1610898029903</v>
      </c>
      <c r="AH43" s="2">
        <v>-6.9327377786976285E-5</v>
      </c>
      <c r="AI43" s="2">
        <f t="shared" si="14"/>
        <v>1721.1610898375511</v>
      </c>
      <c r="AJ43" s="2">
        <v>7.7897893788758665E-6</v>
      </c>
      <c r="AK43" s="2">
        <f t="shared" si="9"/>
        <v>1721.1610898202707</v>
      </c>
      <c r="AL43" s="2">
        <v>-6.9317919724198873E-5</v>
      </c>
      <c r="AM43" s="2">
        <f t="shared" si="10"/>
        <v>4.8056296081268307E-9</v>
      </c>
      <c r="AN43" s="2">
        <f t="shared" si="11"/>
        <v>-5.3997199483333432E-10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276.38</v>
      </c>
      <c r="L44" s="6" t="s">
        <v>7</v>
      </c>
      <c r="AF44" s="2">
        <v>40</v>
      </c>
      <c r="AG44" s="2">
        <f t="shared" si="13"/>
        <v>1721.1610898202707</v>
      </c>
      <c r="AH44" s="2">
        <v>-6.9327377786976285E-5</v>
      </c>
      <c r="AI44" s="2">
        <f t="shared" si="14"/>
        <v>1721.1610898375511</v>
      </c>
      <c r="AJ44" s="2">
        <v>7.7897893788758665E-6</v>
      </c>
      <c r="AK44" s="5">
        <f t="shared" si="9"/>
        <v>1721.1610898289109</v>
      </c>
      <c r="AL44" s="2">
        <v>-6.9322649096648092E-5</v>
      </c>
      <c r="AM44" s="2">
        <f t="shared" si="10"/>
        <v>4.805957483117313E-9</v>
      </c>
      <c r="AN44" s="2">
        <f t="shared" si="11"/>
        <v>-5.4000883564860799E-10</v>
      </c>
      <c r="AO44" s="2">
        <f t="shared" si="12"/>
        <v>1.7280399333685637E-8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390.14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81.739999999999995</v>
      </c>
      <c r="L46" s="6" t="s">
        <v>7</v>
      </c>
    </row>
    <row r="47" spans="2:41" x14ac:dyDescent="0.2">
      <c r="J47" s="9" t="s">
        <v>60</v>
      </c>
      <c r="K47" s="9">
        <f>SUM(K42:K46)</f>
        <v>1721.1699999999998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400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B1:D1"/>
    <mergeCell ref="B3:D3"/>
    <mergeCell ref="F3:H3"/>
    <mergeCell ref="J3:L3"/>
    <mergeCell ref="N3:P3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70C4-DD4F-3640-84AC-BC633C6711FA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352.77556296567224</v>
      </c>
      <c r="L4" s="6" t="s">
        <v>97</v>
      </c>
      <c r="N4" s="6" t="s">
        <v>131</v>
      </c>
      <c r="O4" s="6">
        <f xml:space="preserve"> $C$5 * $C$74</f>
        <v>15172.968553686467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1.1733056573421354</v>
      </c>
      <c r="X4" s="3">
        <v>1</v>
      </c>
      <c r="Y4" s="2">
        <f t="shared" ref="Y4:Y34" si="1" xml:space="preserve"> $O$22 * TAN($O$19/180*PI()) + $O$23 / (2 * SQRT($O$22^2 + X4^2)) - X4</f>
        <v>-3.0290443266387856E-2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0.4877490040586745</v>
      </c>
      <c r="AB4" s="2">
        <f>W4*AA4</f>
        <v>0.57227866582503495</v>
      </c>
      <c r="AC4" s="2">
        <f>Y4*AA4</f>
        <v>-1.477413353567646E-2</v>
      </c>
      <c r="AD4" s="2">
        <f>X4-V4</f>
        <v>1</v>
      </c>
      <c r="AF4" s="2">
        <v>0</v>
      </c>
      <c r="AH4" s="2">
        <f>K30</f>
        <v>3.5529524142248192E-3</v>
      </c>
      <c r="AJ4" s="2">
        <f>K30</f>
        <v>3.5529524142248192E-3</v>
      </c>
      <c r="AL4" s="2">
        <f>K30</f>
        <v>3.5529524142248192E-3</v>
      </c>
    </row>
    <row r="5" spans="2:41" x14ac:dyDescent="0.2">
      <c r="B5" s="9" t="s">
        <v>38</v>
      </c>
      <c r="C5" s="9">
        <v>1548.17463101833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44.09694537070903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0.4877490040586745</v>
      </c>
      <c r="X5" s="2">
        <f>IF(AC4&gt;0, Z4, X4)</f>
        <v>1</v>
      </c>
      <c r="Y5" s="2">
        <f t="shared" si="1"/>
        <v>-3.0290443266387856E-2</v>
      </c>
      <c r="Z5" s="2">
        <f t="shared" ref="Z5:Z34" si="3" xml:space="preserve"> (V5 + X5)/2</f>
        <v>0.75</v>
      </c>
      <c r="AA5" s="2">
        <f t="shared" si="2"/>
        <v>0.22578203050006163</v>
      </c>
      <c r="AB5" s="2">
        <f t="shared" ref="AB5:AB34" si="4">W5*AA5</f>
        <v>0.11012496051075032</v>
      </c>
      <c r="AC5" s="2">
        <f t="shared" ref="AC5:AC34" si="5">Y5*AA5</f>
        <v>-6.8390377854319695E-3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-651.14203187019984</v>
      </c>
      <c r="AI5" s="3">
        <v>10000</v>
      </c>
      <c r="AJ5" s="2">
        <f t="dataTable" ref="AJ5:AJ44" dt2D="0" dtr="0" r1="C5" ca="1"/>
        <v>4070.2164873481952</v>
      </c>
      <c r="AK5" s="2">
        <f>(AG5+AI5)/2</f>
        <v>5250</v>
      </c>
      <c r="AL5" s="2">
        <f t="dataTable" ref="AL5:AL44" dt2D="0" dtr="0" r1="C5" ca="1"/>
        <v>2175.9853884482995</v>
      </c>
      <c r="AM5" s="2">
        <f>AH5*AL5</f>
        <v>-1416875.5471540918</v>
      </c>
      <c r="AN5" s="2">
        <f>AJ5*AL5</f>
        <v>8856731.6042910367</v>
      </c>
      <c r="AO5" s="2">
        <f>AI5-AG5</f>
        <v>9500</v>
      </c>
    </row>
    <row r="6" spans="2:41" x14ac:dyDescent="0.2">
      <c r="B6" s="6" t="s">
        <v>168</v>
      </c>
      <c r="C6" s="16">
        <v>419.57494698678801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155.31186311846588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0.1752292274391872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0.22578203050006163</v>
      </c>
      <c r="X6" s="2">
        <f t="shared" ref="X6:X34" si="8">IF(AC5&gt;0, Z5, X5)</f>
        <v>1</v>
      </c>
      <c r="Y6" s="2">
        <f t="shared" si="1"/>
        <v>-3.0290443266387856E-2</v>
      </c>
      <c r="Z6" s="2">
        <f t="shared" si="3"/>
        <v>0.875</v>
      </c>
      <c r="AA6" s="2">
        <f t="shared" si="2"/>
        <v>9.7317958890810741E-2</v>
      </c>
      <c r="AB6" s="2">
        <f t="shared" si="4"/>
        <v>2.1972646362488774E-2</v>
      </c>
      <c r="AC6" s="2">
        <f t="shared" si="5"/>
        <v>-2.9478041125827682E-3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-651.14203187019984</v>
      </c>
      <c r="AI6" s="2">
        <f>IF(AN5&gt;0,AK5,AI5)</f>
        <v>5250</v>
      </c>
      <c r="AJ6" s="2">
        <v>2175.9853884482995</v>
      </c>
      <c r="AK6" s="2">
        <f t="shared" ref="AK6:AK44" si="9">(AG6+AI6)/2</f>
        <v>2875</v>
      </c>
      <c r="AL6" s="2">
        <v>731.17896620422789</v>
      </c>
      <c r="AM6" s="2">
        <f t="shared" ref="AM6:AM44" si="10">AH6*AL6</f>
        <v>-476101.35771497316</v>
      </c>
      <c r="AN6" s="2">
        <f t="shared" ref="AN6:AN44" si="11">AJ6*AL6</f>
        <v>1591034.7468011328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1896.8025012780922</v>
      </c>
      <c r="H7" s="6" t="s">
        <v>21</v>
      </c>
      <c r="J7" s="6" t="s">
        <v>133</v>
      </c>
      <c r="K7" s="6">
        <f>K6/$C$28</f>
        <v>155.31186311846588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9.7317958890810741E-2</v>
      </c>
      <c r="X7" s="2">
        <f t="shared" si="8"/>
        <v>1</v>
      </c>
      <c r="Y7" s="2">
        <f t="shared" si="1"/>
        <v>-3.0290443266387856E-2</v>
      </c>
      <c r="Z7" s="2">
        <f t="shared" si="3"/>
        <v>0.9375</v>
      </c>
      <c r="AA7" s="2">
        <f t="shared" si="2"/>
        <v>3.3427833899358217E-2</v>
      </c>
      <c r="AB7" s="2">
        <f t="shared" si="4"/>
        <v>3.2531285652265926E-3</v>
      </c>
      <c r="AC7" s="2">
        <f t="shared" si="5"/>
        <v>-1.0125439062467468E-3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-651.14203187019984</v>
      </c>
      <c r="AI7" s="2">
        <f t="shared" ref="AI7:AI44" si="14">IF(AN6&gt;0,AK6,AI6)</f>
        <v>2875</v>
      </c>
      <c r="AJ7" s="2">
        <v>731.17896620422789</v>
      </c>
      <c r="AK7" s="2">
        <f t="shared" si="9"/>
        <v>1687.5</v>
      </c>
      <c r="AL7" s="2">
        <v>82.05983791018366</v>
      </c>
      <c r="AM7" s="2">
        <f t="shared" si="10"/>
        <v>-53432.609591776243</v>
      </c>
      <c r="AN7" s="2">
        <f t="shared" si="11"/>
        <v>60000.427450054594</v>
      </c>
      <c r="AO7" s="2">
        <f t="shared" si="12"/>
        <v>2375</v>
      </c>
    </row>
    <row r="8" spans="2:41" x14ac:dyDescent="0.2">
      <c r="B8" s="6" t="s">
        <v>91</v>
      </c>
      <c r="C8" s="16">
        <v>1.65820448767796</v>
      </c>
      <c r="D8" s="6" t="s">
        <v>8</v>
      </c>
      <c r="F8" t="s">
        <v>93</v>
      </c>
      <c r="G8" s="6">
        <f>G10/$C$21</f>
        <v>29.397963580472688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3.3427833899358217E-2</v>
      </c>
      <c r="X8" s="2">
        <f t="shared" si="8"/>
        <v>1</v>
      </c>
      <c r="Y8" s="2">
        <f t="shared" si="1"/>
        <v>-3.0290443266387856E-2</v>
      </c>
      <c r="Z8" s="2">
        <f t="shared" si="3"/>
        <v>0.96875</v>
      </c>
      <c r="AA8" s="2">
        <f t="shared" si="2"/>
        <v>1.5492617879884207E-3</v>
      </c>
      <c r="AB8" s="2">
        <f t="shared" si="4"/>
        <v>5.1788465715499652E-5</v>
      </c>
      <c r="AC8" s="2">
        <f t="shared" si="5"/>
        <v>-4.6927826293845873E-5</v>
      </c>
      <c r="AD8" s="2">
        <f t="shared" si="6"/>
        <v>6.25E-2</v>
      </c>
      <c r="AF8" s="2">
        <v>4</v>
      </c>
      <c r="AG8" s="2">
        <f t="shared" si="13"/>
        <v>500</v>
      </c>
      <c r="AH8" s="2">
        <v>-651.14203187019984</v>
      </c>
      <c r="AI8" s="2">
        <f t="shared" si="14"/>
        <v>1687.5</v>
      </c>
      <c r="AJ8" s="2">
        <v>82.05983791018366</v>
      </c>
      <c r="AK8" s="2">
        <f t="shared" si="9"/>
        <v>1093.75</v>
      </c>
      <c r="AL8" s="2">
        <v>-275.80943685452758</v>
      </c>
      <c r="AM8" s="2">
        <f t="shared" si="10"/>
        <v>179591.11712243265</v>
      </c>
      <c r="AN8" s="2">
        <f t="shared" si="11"/>
        <v>-22632.877682381568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6.5828310980640943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1.5492617879884207E-3</v>
      </c>
      <c r="X9" s="2">
        <f t="shared" si="8"/>
        <v>1</v>
      </c>
      <c r="Y9" s="2">
        <f t="shared" si="1"/>
        <v>-3.0290443266387856E-2</v>
      </c>
      <c r="Z9" s="2">
        <f t="shared" si="3"/>
        <v>0.984375</v>
      </c>
      <c r="AA9" s="2">
        <f t="shared" si="2"/>
        <v>-1.4375221101510349E-2</v>
      </c>
      <c r="AB9" s="2">
        <f t="shared" si="4"/>
        <v>-2.2270980746454798E-5</v>
      </c>
      <c r="AC9" s="2">
        <f t="shared" si="5"/>
        <v>4.3543181921708079E-4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-275.80943685452758</v>
      </c>
      <c r="AI9" s="2">
        <f t="shared" si="14"/>
        <v>1687.5</v>
      </c>
      <c r="AJ9" s="2">
        <v>82.05983791018366</v>
      </c>
      <c r="AK9" s="2">
        <f t="shared" si="9"/>
        <v>1390.625</v>
      </c>
      <c r="AL9" s="2">
        <v>-94.232617571427227</v>
      </c>
      <c r="AM9" s="2">
        <f t="shared" si="10"/>
        <v>25990.245185703403</v>
      </c>
      <c r="AN9" s="2">
        <f t="shared" si="11"/>
        <v>-7732.7133237636426</v>
      </c>
      <c r="AO9" s="2">
        <f t="shared" si="12"/>
        <v>593.75</v>
      </c>
    </row>
    <row r="10" spans="2:41" x14ac:dyDescent="0.2">
      <c r="B10" s="6" t="s">
        <v>134</v>
      </c>
      <c r="C10" s="16">
        <v>1.5981888185648001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235.1837086437815</v>
      </c>
      <c r="H10" s="22" t="s">
        <v>97</v>
      </c>
      <c r="J10" s="6" t="s">
        <v>92</v>
      </c>
      <c r="K10" s="6">
        <f xml:space="preserve"> $C$18 * (G10*G6 + G20*G13 + G29*G25 + G33*G32)/3600</f>
        <v>95.320063336806882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1.5492617879884207E-3</v>
      </c>
      <c r="X10" s="2">
        <f t="shared" si="8"/>
        <v>0.984375</v>
      </c>
      <c r="Y10" s="2">
        <f t="shared" si="1"/>
        <v>-1.4375221101510349E-2</v>
      </c>
      <c r="Z10" s="2">
        <f t="shared" si="3"/>
        <v>0.9765625</v>
      </c>
      <c r="AA10" s="2">
        <f t="shared" si="2"/>
        <v>-6.4141646304592959E-3</v>
      </c>
      <c r="AB10" s="2">
        <f t="shared" si="4"/>
        <v>-9.9372201638374563E-6</v>
      </c>
      <c r="AC10" s="2">
        <f t="shared" si="5"/>
        <v>9.22050347443398E-5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-94.232617571427227</v>
      </c>
      <c r="AI10" s="2">
        <f t="shared" si="14"/>
        <v>1687.5</v>
      </c>
      <c r="AJ10" s="2">
        <v>82.05983791018366</v>
      </c>
      <c r="AK10" s="2">
        <f t="shared" si="9"/>
        <v>1539.0625</v>
      </c>
      <c r="AL10" s="2">
        <v>-5.4052006426866228</v>
      </c>
      <c r="AM10" s="2">
        <f t="shared" si="10"/>
        <v>509.34620505912119</v>
      </c>
      <c r="AN10" s="2">
        <f t="shared" si="11"/>
        <v>-443.54988861088481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0.89560985040758323</v>
      </c>
      <c r="U11" s="2">
        <v>7</v>
      </c>
      <c r="V11" s="2">
        <f t="shared" si="7"/>
        <v>0.96875</v>
      </c>
      <c r="W11" s="2">
        <f t="shared" si="0"/>
        <v>1.5492617879884207E-3</v>
      </c>
      <c r="X11" s="2">
        <f t="shared" si="8"/>
        <v>0.9765625</v>
      </c>
      <c r="Y11" s="2">
        <f t="shared" si="1"/>
        <v>-6.4141646304592959E-3</v>
      </c>
      <c r="Z11" s="2">
        <f t="shared" si="3"/>
        <v>0.97265625</v>
      </c>
      <c r="AA11" s="2">
        <f t="shared" si="2"/>
        <v>-2.4327511820316783E-3</v>
      </c>
      <c r="AB11" s="2">
        <f t="shared" si="4"/>
        <v>-3.7689684460053417E-6</v>
      </c>
      <c r="AC11" s="2">
        <f t="shared" si="5"/>
        <v>1.5604066586495634E-5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-5.4052006426866228</v>
      </c>
      <c r="AI11" s="2">
        <f t="shared" si="14"/>
        <v>1687.5</v>
      </c>
      <c r="AJ11" s="2">
        <v>82.05983791018366</v>
      </c>
      <c r="AK11" s="2">
        <f t="shared" si="9"/>
        <v>1613.28125</v>
      </c>
      <c r="AL11" s="2">
        <v>38.499307050199263</v>
      </c>
      <c r="AM11" s="2">
        <f t="shared" si="10"/>
        <v>-208.0964792107267</v>
      </c>
      <c r="AN11" s="2">
        <f t="shared" si="11"/>
        <v>3159.2468961937425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0.22305344926322734</v>
      </c>
      <c r="U12" s="2">
        <v>8</v>
      </c>
      <c r="V12" s="2">
        <f t="shared" si="7"/>
        <v>0.96875</v>
      </c>
      <c r="W12" s="2">
        <f t="shared" si="0"/>
        <v>1.5492617879884207E-3</v>
      </c>
      <c r="X12" s="2">
        <f t="shared" si="8"/>
        <v>0.97265625</v>
      </c>
      <c r="Y12" s="2">
        <f t="shared" si="1"/>
        <v>-2.4327511820316783E-3</v>
      </c>
      <c r="Z12" s="2">
        <f t="shared" si="3"/>
        <v>0.970703125</v>
      </c>
      <c r="AA12" s="2">
        <f t="shared" si="2"/>
        <v>-4.4182008297155573E-4</v>
      </c>
      <c r="AB12" s="2">
        <f t="shared" si="4"/>
        <v>-6.8449497171370482E-7</v>
      </c>
      <c r="AC12" s="2">
        <f t="shared" si="5"/>
        <v>1.0748383290943865E-6</v>
      </c>
      <c r="AD12" s="2">
        <f t="shared" si="6"/>
        <v>3.90625E-3</v>
      </c>
      <c r="AF12" s="2">
        <v>8</v>
      </c>
      <c r="AG12" s="2">
        <f t="shared" si="13"/>
        <v>1539.0625</v>
      </c>
      <c r="AH12" s="2">
        <v>-5.4052006426866228</v>
      </c>
      <c r="AI12" s="2">
        <f t="shared" si="14"/>
        <v>1613.28125</v>
      </c>
      <c r="AJ12" s="2">
        <v>38.499307050199263</v>
      </c>
      <c r="AK12" s="2">
        <f t="shared" si="9"/>
        <v>1576.171875</v>
      </c>
      <c r="AL12" s="2">
        <v>16.589867597816919</v>
      </c>
      <c r="AM12" s="2">
        <f t="shared" si="10"/>
        <v>-89.671563001805993</v>
      </c>
      <c r="AN12" s="2">
        <f t="shared" si="11"/>
        <v>638.6984065705052</v>
      </c>
      <c r="AO12" s="2">
        <f t="shared" si="12"/>
        <v>74.21875</v>
      </c>
    </row>
    <row r="13" spans="2:41" x14ac:dyDescent="0.2">
      <c r="B13" s="6" t="s">
        <v>136</v>
      </c>
      <c r="C13" s="16">
        <v>5.1573690247195501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2.1679112937009686E-2</v>
      </c>
      <c r="U13" s="2">
        <v>9</v>
      </c>
      <c r="V13" s="2">
        <f t="shared" si="7"/>
        <v>0.96875</v>
      </c>
      <c r="W13" s="2">
        <f t="shared" si="0"/>
        <v>1.5492617879884207E-3</v>
      </c>
      <c r="X13" s="2">
        <f t="shared" si="8"/>
        <v>0.970703125</v>
      </c>
      <c r="Y13" s="2">
        <f t="shared" si="1"/>
        <v>-4.4182008297155573E-4</v>
      </c>
      <c r="Z13" s="2">
        <f t="shared" si="3"/>
        <v>0.9697265625</v>
      </c>
      <c r="AA13" s="2">
        <f t="shared" si="2"/>
        <v>5.5370194991655186E-4</v>
      </c>
      <c r="AB13" s="2">
        <f t="shared" si="4"/>
        <v>8.5782927294039213E-7</v>
      </c>
      <c r="AC13" s="2">
        <f t="shared" si="5"/>
        <v>-2.4463664145364315E-7</v>
      </c>
      <c r="AD13" s="2">
        <f t="shared" si="6"/>
        <v>1.953125E-3</v>
      </c>
      <c r="AF13" s="2">
        <v>9</v>
      </c>
      <c r="AG13" s="2">
        <f t="shared" si="13"/>
        <v>1539.0625</v>
      </c>
      <c r="AH13" s="2">
        <v>-5.4052006426866228</v>
      </c>
      <c r="AI13" s="2">
        <f t="shared" si="14"/>
        <v>1576.171875</v>
      </c>
      <c r="AJ13" s="2">
        <v>16.589867597816919</v>
      </c>
      <c r="AK13" s="2">
        <f t="shared" si="9"/>
        <v>1557.6171875</v>
      </c>
      <c r="AL13" s="2">
        <v>5.6030121267331197</v>
      </c>
      <c r="AM13" s="2">
        <f t="shared" si="10"/>
        <v>-30.2854047483988</v>
      </c>
      <c r="AN13" s="2">
        <f t="shared" si="11"/>
        <v>92.953229331465053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70.220877822712367</v>
      </c>
      <c r="H14" s="6" t="s">
        <v>10</v>
      </c>
      <c r="J14" s="9" t="s">
        <v>75</v>
      </c>
      <c r="K14" s="17">
        <f>C5</f>
        <v>1548.17463101833</v>
      </c>
      <c r="L14" s="6" t="s">
        <v>7</v>
      </c>
      <c r="N14" s="6" t="s">
        <v>40</v>
      </c>
      <c r="O14" s="6">
        <f xml:space="preserve"> O5 * O13 * $C$12</f>
        <v>1474.6981046542103</v>
      </c>
      <c r="P14" s="6" t="s">
        <v>21</v>
      </c>
      <c r="U14" s="2">
        <v>10</v>
      </c>
      <c r="V14" s="2">
        <f t="shared" si="7"/>
        <v>0.9697265625</v>
      </c>
      <c r="W14" s="2">
        <f t="shared" si="0"/>
        <v>5.5370194991655186E-4</v>
      </c>
      <c r="X14" s="2">
        <f t="shared" si="8"/>
        <v>0.970703125</v>
      </c>
      <c r="Y14" s="2">
        <f t="shared" si="1"/>
        <v>-4.4182008297155573E-4</v>
      </c>
      <c r="Z14" s="2">
        <f t="shared" si="3"/>
        <v>0.97021484375</v>
      </c>
      <c r="AA14" s="2">
        <f t="shared" si="2"/>
        <v>5.5936214854890309E-5</v>
      </c>
      <c r="AB14" s="2">
        <f t="shared" si="4"/>
        <v>3.0971991236103957E-8</v>
      </c>
      <c r="AC14" s="2">
        <f t="shared" si="5"/>
        <v>-2.4713743088302404E-8</v>
      </c>
      <c r="AD14" s="2">
        <f t="shared" si="6"/>
        <v>9.765625E-4</v>
      </c>
      <c r="AF14" s="2">
        <v>10</v>
      </c>
      <c r="AG14" s="2">
        <f t="shared" si="13"/>
        <v>1539.0625</v>
      </c>
      <c r="AH14" s="2">
        <v>-5.4052006426866228</v>
      </c>
      <c r="AI14" s="2">
        <f t="shared" si="14"/>
        <v>1557.6171875</v>
      </c>
      <c r="AJ14" s="2">
        <v>5.6030121267331197</v>
      </c>
      <c r="AK14" s="2">
        <f t="shared" si="9"/>
        <v>1548.33984375</v>
      </c>
      <c r="AL14" s="2">
        <v>0.10157217314224454</v>
      </c>
      <c r="AM14" s="2">
        <f t="shared" si="10"/>
        <v>-0.54901797554753706</v>
      </c>
      <c r="AN14" s="2">
        <f t="shared" si="11"/>
        <v>0.56911011785463217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0.21104985583105898</v>
      </c>
      <c r="H15" s="6" t="s">
        <v>120</v>
      </c>
      <c r="J15" s="10" t="s">
        <v>53</v>
      </c>
      <c r="K15" s="6">
        <f xml:space="preserve"> 1000 * K10 / ($C$60 * $C$61 * $C$62)</f>
        <v>254.86647951017883</v>
      </c>
      <c r="L15" s="6" t="s">
        <v>7</v>
      </c>
      <c r="N15" s="6" t="s">
        <v>140</v>
      </c>
      <c r="O15" s="6">
        <f>O4/O14</f>
        <v>10.288864212817478</v>
      </c>
      <c r="U15" s="2">
        <v>11</v>
      </c>
      <c r="V15" s="2">
        <f t="shared" si="7"/>
        <v>0.97021484375</v>
      </c>
      <c r="W15" s="2">
        <f t="shared" si="0"/>
        <v>5.5936214854890309E-5</v>
      </c>
      <c r="X15" s="2">
        <f t="shared" si="8"/>
        <v>0.970703125</v>
      </c>
      <c r="Y15" s="2">
        <f t="shared" si="1"/>
        <v>-4.4182008297155573E-4</v>
      </c>
      <c r="Z15" s="2">
        <f t="shared" si="3"/>
        <v>0.970458984375</v>
      </c>
      <c r="AA15" s="2">
        <f t="shared" si="2"/>
        <v>-1.9294311283546417E-4</v>
      </c>
      <c r="AB15" s="2">
        <f t="shared" si="4"/>
        <v>-1.0792507414335868E-8</v>
      </c>
      <c r="AC15" s="2">
        <f t="shared" si="5"/>
        <v>8.5246142121755024E-8</v>
      </c>
      <c r="AD15" s="2">
        <f t="shared" si="6"/>
        <v>4.8828125E-4</v>
      </c>
      <c r="AF15" s="2">
        <v>11</v>
      </c>
      <c r="AG15" s="2">
        <f t="shared" si="13"/>
        <v>1539.0625</v>
      </c>
      <c r="AH15" s="2">
        <v>-5.4052006426866228</v>
      </c>
      <c r="AI15" s="2">
        <f t="shared" si="14"/>
        <v>1548.33984375</v>
      </c>
      <c r="AJ15" s="2">
        <v>0.10157217314224454</v>
      </c>
      <c r="AK15" s="2">
        <f t="shared" si="9"/>
        <v>1543.701171875</v>
      </c>
      <c r="AL15" s="2">
        <v>-2.6511480823562579</v>
      </c>
      <c r="AM15" s="2">
        <f t="shared" si="10"/>
        <v>14.329987318609453</v>
      </c>
      <c r="AN15" s="2">
        <f t="shared" si="11"/>
        <v>-0.26928287204681939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1474.6981046542103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112.65529767308001</v>
      </c>
      <c r="L16" s="6" t="s">
        <v>7</v>
      </c>
      <c r="N16" s="6" t="s">
        <v>111</v>
      </c>
      <c r="O16" s="6">
        <f>(O13*$C$12)/(0.3048^2)/($C$5*2.20462/1000)^(2/3)</f>
        <v>3.0881404508187198</v>
      </c>
      <c r="U16" s="2">
        <v>12</v>
      </c>
      <c r="V16" s="2">
        <f t="shared" si="7"/>
        <v>0.97021484375</v>
      </c>
      <c r="W16" s="2">
        <f t="shared" si="0"/>
        <v>5.5936214854890309E-5</v>
      </c>
      <c r="X16" s="2">
        <f t="shared" si="8"/>
        <v>0.970458984375</v>
      </c>
      <c r="Y16" s="2">
        <f t="shared" si="1"/>
        <v>-1.9294311283546417E-4</v>
      </c>
      <c r="Z16" s="2">
        <f t="shared" si="3"/>
        <v>0.9703369140625</v>
      </c>
      <c r="AA16" s="2">
        <f t="shared" si="2"/>
        <v>-6.8503743794190441E-5</v>
      </c>
      <c r="AB16" s="2">
        <f t="shared" si="4"/>
        <v>-3.8318401312361956E-9</v>
      </c>
      <c r="AC16" s="2">
        <f t="shared" si="5"/>
        <v>1.3217325568534215E-8</v>
      </c>
      <c r="AD16" s="2">
        <f t="shared" si="6"/>
        <v>2.44140625E-4</v>
      </c>
      <c r="AF16" s="2">
        <v>12</v>
      </c>
      <c r="AG16" s="2">
        <f t="shared" si="13"/>
        <v>1543.701171875</v>
      </c>
      <c r="AH16" s="2">
        <v>-2.6511480823562579</v>
      </c>
      <c r="AI16" s="2">
        <f t="shared" si="14"/>
        <v>1548.33984375</v>
      </c>
      <c r="AJ16" s="2">
        <v>0.10157217314224454</v>
      </c>
      <c r="AK16" s="2">
        <f t="shared" si="9"/>
        <v>1546.0205078125</v>
      </c>
      <c r="AL16" s="2">
        <v>-1.274621363283245</v>
      </c>
      <c r="AM16" s="2">
        <f t="shared" si="10"/>
        <v>3.3792099829986944</v>
      </c>
      <c r="AN16" s="2">
        <f t="shared" si="11"/>
        <v>-0.12946606180220954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103.54124207897725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0.97021484375</v>
      </c>
      <c r="W17" s="2">
        <f t="shared" si="0"/>
        <v>5.5936214854890309E-5</v>
      </c>
      <c r="X17" s="2">
        <f t="shared" si="8"/>
        <v>0.9703369140625</v>
      </c>
      <c r="Y17" s="2">
        <f t="shared" si="1"/>
        <v>-6.8503743794190441E-5</v>
      </c>
      <c r="Z17" s="2">
        <f t="shared" si="3"/>
        <v>0.97027587890625</v>
      </c>
      <c r="AA17" s="2">
        <f t="shared" si="2"/>
        <v>-6.283838184351076E-6</v>
      </c>
      <c r="AB17" s="2">
        <f t="shared" si="4"/>
        <v>-3.5149412279322561E-10</v>
      </c>
      <c r="AC17" s="2">
        <f t="shared" si="5"/>
        <v>4.3046644102493693E-10</v>
      </c>
      <c r="AD17" s="2">
        <f t="shared" si="6"/>
        <v>1.220703125E-4</v>
      </c>
      <c r="AF17" s="2">
        <v>13</v>
      </c>
      <c r="AG17" s="2">
        <f t="shared" si="13"/>
        <v>1546.0205078125</v>
      </c>
      <c r="AH17" s="2">
        <v>-1.274621363283245</v>
      </c>
      <c r="AI17" s="2">
        <f t="shared" si="14"/>
        <v>1548.33984375</v>
      </c>
      <c r="AJ17" s="2">
        <v>0.10157217314224454</v>
      </c>
      <c r="AK17" s="2">
        <f t="shared" si="9"/>
        <v>1547.18017578125</v>
      </c>
      <c r="AL17" s="2">
        <v>-0.58648313957235132</v>
      </c>
      <c r="AM17" s="2">
        <f t="shared" si="10"/>
        <v>0.74754393890434812</v>
      </c>
      <c r="AN17" s="2">
        <f t="shared" si="11"/>
        <v>-5.9570366997650039E-2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1.4532460143272563</v>
      </c>
      <c r="H18" s="6" t="s">
        <v>172</v>
      </c>
      <c r="J18" s="12" t="s">
        <v>54</v>
      </c>
      <c r="K18" s="6">
        <f xml:space="preserve"> $C$78 * (0.2138 * K4 + 0.2138 * K6)</f>
        <v>86.903273357430976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0.97021484375</v>
      </c>
      <c r="W18" s="2">
        <f t="shared" si="0"/>
        <v>5.5936214854890309E-5</v>
      </c>
      <c r="X18" s="2">
        <f t="shared" si="8"/>
        <v>0.97027587890625</v>
      </c>
      <c r="Y18" s="2">
        <f t="shared" si="1"/>
        <v>-6.283838184351076E-6</v>
      </c>
      <c r="Z18" s="2">
        <f t="shared" si="3"/>
        <v>0.970245361328125</v>
      </c>
      <c r="AA18" s="2">
        <f t="shared" si="2"/>
        <v>2.4826169904956785E-5</v>
      </c>
      <c r="AB18" s="2">
        <f t="shared" si="4"/>
        <v>1.3886819738276746E-9</v>
      </c>
      <c r="AC18" s="2">
        <f t="shared" si="5"/>
        <v>-1.5600363441995497E-10</v>
      </c>
      <c r="AD18" s="2">
        <f t="shared" si="6"/>
        <v>6.103515625E-5</v>
      </c>
      <c r="AF18" s="2">
        <v>14</v>
      </c>
      <c r="AG18" s="2">
        <f t="shared" si="13"/>
        <v>1547.18017578125</v>
      </c>
      <c r="AH18" s="2">
        <v>-0.58648313957235132</v>
      </c>
      <c r="AI18" s="2">
        <f t="shared" si="14"/>
        <v>1548.33984375</v>
      </c>
      <c r="AJ18" s="2">
        <v>0.10157217314224454</v>
      </c>
      <c r="AK18" s="2">
        <f t="shared" si="9"/>
        <v>1547.760009765625</v>
      </c>
      <c r="AL18" s="2">
        <v>-0.24244505221201962</v>
      </c>
      <c r="AM18" s="2">
        <f t="shared" si="10"/>
        <v>0.1421899353950879</v>
      </c>
      <c r="AN18" s="2">
        <f t="shared" si="11"/>
        <v>-2.4625670820759775E-2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4.3476974435613262E-2</v>
      </c>
      <c r="J19" s="12" t="s">
        <v>73</v>
      </c>
      <c r="K19" s="6">
        <f xml:space="preserve"> $C$78 * (0.1149 * K4 + 0.1149 * K6)</f>
        <v>46.703396205653974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0.970245361328125</v>
      </c>
      <c r="W19" s="2">
        <f t="shared" si="0"/>
        <v>2.4826169904956785E-5</v>
      </c>
      <c r="X19" s="2">
        <f t="shared" si="8"/>
        <v>0.97027587890625</v>
      </c>
      <c r="Y19" s="2">
        <f t="shared" si="1"/>
        <v>-6.283838184351076E-6</v>
      </c>
      <c r="Z19" s="2">
        <f t="shared" si="3"/>
        <v>0.9702606201171875</v>
      </c>
      <c r="AA19" s="2">
        <f t="shared" si="2"/>
        <v>9.2711612529328136E-6</v>
      </c>
      <c r="AB19" s="2">
        <f t="shared" si="4"/>
        <v>2.3016742448156207E-10</v>
      </c>
      <c r="AC19" s="2">
        <f t="shared" si="5"/>
        <v>-5.8258477094455374E-11</v>
      </c>
      <c r="AD19" s="2">
        <f t="shared" si="6"/>
        <v>3.0517578125E-5</v>
      </c>
      <c r="AF19" s="2">
        <v>15</v>
      </c>
      <c r="AG19" s="2">
        <f t="shared" si="13"/>
        <v>1547.760009765625</v>
      </c>
      <c r="AH19" s="2">
        <v>-0.24244505221201962</v>
      </c>
      <c r="AI19" s="2">
        <f t="shared" si="14"/>
        <v>1548.33984375</v>
      </c>
      <c r="AJ19" s="2">
        <v>0.10157217314224454</v>
      </c>
      <c r="AK19" s="2">
        <f t="shared" si="9"/>
        <v>1548.0499267578125</v>
      </c>
      <c r="AL19" s="2">
        <v>-7.0433997500913392E-2</v>
      </c>
      <c r="AM19" s="2">
        <f t="shared" si="10"/>
        <v>1.7076374201610206E-2</v>
      </c>
      <c r="AN19" s="2">
        <f t="shared" si="11"/>
        <v>-7.154134189263194E-3</v>
      </c>
      <c r="AO19" s="2">
        <f t="shared" si="12"/>
        <v>0.579833984375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103.54124207897725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204.30528582681396</v>
      </c>
      <c r="L20" s="6" t="s">
        <v>7</v>
      </c>
      <c r="N20" s="6" t="s">
        <v>20</v>
      </c>
      <c r="O20" s="6">
        <f xml:space="preserve"> O14 / $C$28</f>
        <v>1474.6981046542103</v>
      </c>
      <c r="P20" s="6" t="s">
        <v>21</v>
      </c>
      <c r="U20" s="2">
        <v>16</v>
      </c>
      <c r="V20" s="2">
        <f t="shared" si="7"/>
        <v>0.9702606201171875</v>
      </c>
      <c r="W20" s="2">
        <f t="shared" si="0"/>
        <v>9.2711612529328136E-6</v>
      </c>
      <c r="X20" s="2">
        <f t="shared" si="8"/>
        <v>0.97027587890625</v>
      </c>
      <c r="Y20" s="2">
        <f t="shared" si="1"/>
        <v>-6.283838184351076E-6</v>
      </c>
      <c r="Z20" s="2">
        <f t="shared" si="3"/>
        <v>0.97026824951171875</v>
      </c>
      <c r="AA20" s="2">
        <f t="shared" si="2"/>
        <v>1.4936603824899919E-6</v>
      </c>
      <c r="AB20" s="2">
        <f t="shared" si="4"/>
        <v>1.3847966263182018E-11</v>
      </c>
      <c r="AC20" s="2">
        <f t="shared" si="5"/>
        <v>-9.385920145943044E-12</v>
      </c>
      <c r="AD20" s="2">
        <f t="shared" si="6"/>
        <v>1.52587890625E-5</v>
      </c>
      <c r="AF20" s="2">
        <v>16</v>
      </c>
      <c r="AG20" s="2">
        <f t="shared" si="13"/>
        <v>1548.0499267578125</v>
      </c>
      <c r="AH20" s="2">
        <v>-7.0433997500913392E-2</v>
      </c>
      <c r="AI20" s="2">
        <f t="shared" si="14"/>
        <v>1548.33984375</v>
      </c>
      <c r="AJ20" s="2">
        <v>0.10157217314224454</v>
      </c>
      <c r="AK20" s="2">
        <f t="shared" si="9"/>
        <v>1548.1948852539062</v>
      </c>
      <c r="AL20" s="2">
        <v>1.556986416358086E-2</v>
      </c>
      <c r="AM20" s="2">
        <f t="shared" si="10"/>
        <v>-1.0966477735872152E-3</v>
      </c>
      <c r="AN20" s="2">
        <f t="shared" si="11"/>
        <v>1.5814649386244636E-3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40.252540406476584</v>
      </c>
      <c r="L21" s="6" t="s">
        <v>7</v>
      </c>
      <c r="N21" s="6" t="s">
        <v>27</v>
      </c>
      <c r="O21" s="6">
        <f>$C$6*2*PI()/60</f>
        <v>43.937785702800667</v>
      </c>
      <c r="P21" s="6" t="s">
        <v>28</v>
      </c>
      <c r="U21" s="2">
        <v>17</v>
      </c>
      <c r="V21" s="2">
        <f t="shared" si="7"/>
        <v>0.97026824951171875</v>
      </c>
      <c r="W21" s="2">
        <f t="shared" si="0"/>
        <v>1.4936603824899919E-6</v>
      </c>
      <c r="X21" s="2">
        <f t="shared" si="8"/>
        <v>0.97027587890625</v>
      </c>
      <c r="Y21" s="2">
        <f t="shared" si="1"/>
        <v>-6.283838184351076E-6</v>
      </c>
      <c r="Z21" s="2">
        <f t="shared" si="3"/>
        <v>0.97027206420898438</v>
      </c>
      <c r="AA21" s="2">
        <f t="shared" si="2"/>
        <v>-2.3950891888668835E-6</v>
      </c>
      <c r="AB21" s="2">
        <f t="shared" si="4"/>
        <v>-3.5774498339405535E-12</v>
      </c>
      <c r="AC21" s="2">
        <f t="shared" si="5"/>
        <v>1.5050352899928167E-11</v>
      </c>
      <c r="AD21" s="2">
        <f t="shared" si="6"/>
        <v>7.62939453125E-6</v>
      </c>
      <c r="AF21" s="2">
        <v>17</v>
      </c>
      <c r="AG21" s="2">
        <f t="shared" si="13"/>
        <v>1548.0499267578125</v>
      </c>
      <c r="AH21" s="2">
        <v>-7.0433997500913392E-2</v>
      </c>
      <c r="AI21" s="2">
        <f t="shared" si="14"/>
        <v>1548.1948852539062</v>
      </c>
      <c r="AJ21" s="2">
        <v>1.556986416358086E-2</v>
      </c>
      <c r="AK21" s="2">
        <f t="shared" si="9"/>
        <v>1548.1224060058594</v>
      </c>
      <c r="AL21" s="2">
        <v>-2.7432038408846893E-2</v>
      </c>
      <c r="AM21" s="2">
        <f t="shared" si="10"/>
        <v>1.9321481247336822E-3</v>
      </c>
      <c r="AN21" s="2">
        <f t="shared" si="11"/>
        <v>-4.2711311175587893E-4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 xml:space="preserve"> $C$79 * (0.04674 * ($C$5*2.20462)^0.397 * ($C$12*3.28084^2)^0.36 * $C$46^0.397 * $C$13^1.712 * 0.453592)</f>
        <v>87.998083572236112</v>
      </c>
      <c r="L22" s="6" t="s">
        <v>7</v>
      </c>
      <c r="N22" s="6" t="s">
        <v>29</v>
      </c>
      <c r="O22" s="6">
        <f xml:space="preserve"> $C$7 * COS(O19/180*PI()) / (O21 * $C$10)</f>
        <v>8.3227605049914125E-2</v>
      </c>
      <c r="U22" s="2">
        <v>18</v>
      </c>
      <c r="V22" s="2">
        <f t="shared" si="7"/>
        <v>0.97026824951171875</v>
      </c>
      <c r="W22" s="2">
        <f t="shared" si="0"/>
        <v>1.4936603824899919E-6</v>
      </c>
      <c r="X22" s="2">
        <f t="shared" si="8"/>
        <v>0.97027206420898438</v>
      </c>
      <c r="Y22" s="2">
        <f t="shared" si="1"/>
        <v>-2.3950891888668835E-6</v>
      </c>
      <c r="Z22" s="2">
        <f t="shared" si="3"/>
        <v>0.97027015686035156</v>
      </c>
      <c r="AA22" s="2">
        <f t="shared" si="2"/>
        <v>-4.5071447518640895E-7</v>
      </c>
      <c r="AB22" s="2">
        <f t="shared" si="4"/>
        <v>-6.7321435540070756E-13</v>
      </c>
      <c r="AC22" s="2">
        <f t="shared" si="5"/>
        <v>1.0795013667847794E-12</v>
      </c>
      <c r="AD22" s="2">
        <f t="shared" si="6"/>
        <v>3.814697265625E-6</v>
      </c>
      <c r="AF22" s="2">
        <v>18</v>
      </c>
      <c r="AG22" s="2">
        <f t="shared" si="13"/>
        <v>1548.1224060058594</v>
      </c>
      <c r="AH22" s="2">
        <v>-2.7432038408846893E-2</v>
      </c>
      <c r="AI22" s="2">
        <f t="shared" si="14"/>
        <v>1548.1948852539062</v>
      </c>
      <c r="AJ22" s="2">
        <v>1.556986416358086E-2</v>
      </c>
      <c r="AK22" s="2">
        <f t="shared" si="9"/>
        <v>1548.1586456298828</v>
      </c>
      <c r="AL22" s="2">
        <v>-5.9309142337724552E-3</v>
      </c>
      <c r="AM22" s="2">
        <f t="shared" si="10"/>
        <v>1.6269706706042273E-4</v>
      </c>
      <c r="AN22" s="2">
        <f t="shared" si="11"/>
        <v>-9.2343528985685381E-5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18.175386392607095</v>
      </c>
      <c r="L23" s="6" t="s">
        <v>7</v>
      </c>
      <c r="N23" s="6" t="s">
        <v>30</v>
      </c>
      <c r="O23" s="6">
        <f xml:space="preserve"> O20 / ( $C$71 * PI() * $C$10^2 * O21^2 * $C$10^2)</f>
        <v>3.6954684339091007E-2</v>
      </c>
      <c r="U23" s="2">
        <v>19</v>
      </c>
      <c r="V23" s="2">
        <f t="shared" si="7"/>
        <v>0.97026824951171875</v>
      </c>
      <c r="W23" s="2">
        <f t="shared" si="0"/>
        <v>1.4936603824899919E-6</v>
      </c>
      <c r="X23" s="2">
        <f t="shared" si="8"/>
        <v>0.97027015686035156</v>
      </c>
      <c r="Y23" s="2">
        <f t="shared" si="1"/>
        <v>-4.5071447518640895E-7</v>
      </c>
      <c r="Z23" s="2">
        <f t="shared" si="3"/>
        <v>0.97026920318603516</v>
      </c>
      <c r="AA23" s="2">
        <f t="shared" si="2"/>
        <v>5.2147293561066732E-7</v>
      </c>
      <c r="AB23" s="2">
        <f t="shared" si="4"/>
        <v>7.7890346446240828E-13</v>
      </c>
      <c r="AC23" s="2">
        <f t="shared" si="5"/>
        <v>-2.3503540049767793E-13</v>
      </c>
      <c r="AD23" s="2">
        <f t="shared" si="6"/>
        <v>1.9073486328125E-6</v>
      </c>
      <c r="AF23" s="2">
        <v>19</v>
      </c>
      <c r="AG23" s="2">
        <f t="shared" si="13"/>
        <v>1548.1586456298828</v>
      </c>
      <c r="AH23" s="2">
        <v>-5.9309142337724552E-3</v>
      </c>
      <c r="AI23" s="2">
        <f t="shared" si="14"/>
        <v>1548.1948852539062</v>
      </c>
      <c r="AJ23" s="2">
        <v>1.556986416358086E-2</v>
      </c>
      <c r="AK23" s="2">
        <f t="shared" si="9"/>
        <v>1548.1767654418945</v>
      </c>
      <c r="AL23" s="2">
        <v>4.8194850224945185E-3</v>
      </c>
      <c r="AM23" s="2">
        <f t="shared" si="10"/>
        <v>-2.85839523193659E-5</v>
      </c>
      <c r="AN23" s="2">
        <f t="shared" si="11"/>
        <v>7.5038727138652101E-5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7.098772465251816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0.97026920318603516</v>
      </c>
      <c r="W24" s="2">
        <f t="shared" si="0"/>
        <v>5.2147293561066732E-7</v>
      </c>
      <c r="X24" s="2">
        <f t="shared" si="8"/>
        <v>0.97027015686035156</v>
      </c>
      <c r="Y24" s="2">
        <f t="shared" si="1"/>
        <v>-4.5071447518640895E-7</v>
      </c>
      <c r="Z24" s="2">
        <f t="shared" si="3"/>
        <v>0.97026968002319336</v>
      </c>
      <c r="AA24" s="2">
        <f t="shared" si="2"/>
        <v>3.5379225771237088E-8</v>
      </c>
      <c r="AB24" s="2">
        <f t="shared" si="4"/>
        <v>1.844930872255958E-14</v>
      </c>
      <c r="AC24" s="2">
        <f t="shared" si="5"/>
        <v>-1.5945929175984599E-14</v>
      </c>
      <c r="AD24" s="2">
        <f t="shared" si="6"/>
        <v>9.5367431640625E-7</v>
      </c>
      <c r="AF24" s="2">
        <v>20</v>
      </c>
      <c r="AG24" s="2">
        <f t="shared" si="13"/>
        <v>1548.1586456298828</v>
      </c>
      <c r="AH24" s="2">
        <v>-5.9309142337724552E-3</v>
      </c>
      <c r="AI24" s="2">
        <f t="shared" si="14"/>
        <v>1548.1767654418945</v>
      </c>
      <c r="AJ24" s="2">
        <v>4.8194850224945185E-3</v>
      </c>
      <c r="AK24" s="2">
        <f t="shared" si="9"/>
        <v>1548.1677055358887</v>
      </c>
      <c r="AL24" s="2">
        <v>-5.557120913408653E-4</v>
      </c>
      <c r="AM24" s="2">
        <f t="shared" si="10"/>
        <v>3.2958807524129969E-6</v>
      </c>
      <c r="AN24" s="2">
        <f t="shared" si="11"/>
        <v>-2.6782461010364062E-6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16.022360550313554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2735.1304930439933</v>
      </c>
      <c r="P25" s="6" t="s">
        <v>19</v>
      </c>
      <c r="U25" s="2">
        <v>21</v>
      </c>
      <c r="V25" s="2">
        <f t="shared" si="7"/>
        <v>0.97026968002319336</v>
      </c>
      <c r="W25" s="2">
        <f t="shared" si="0"/>
        <v>3.5379225771237088E-8</v>
      </c>
      <c r="X25" s="2">
        <f t="shared" si="8"/>
        <v>0.97027015686035156</v>
      </c>
      <c r="Y25" s="2">
        <f t="shared" si="1"/>
        <v>-4.5071447518640895E-7</v>
      </c>
      <c r="Z25" s="2">
        <f t="shared" si="3"/>
        <v>0.97026991844177246</v>
      </c>
      <c r="AA25" s="2">
        <f t="shared" si="2"/>
        <v>-2.0766762587332011E-7</v>
      </c>
      <c r="AB25" s="2">
        <f t="shared" si="4"/>
        <v>-7.3471198211489879E-15</v>
      </c>
      <c r="AC25" s="2">
        <f t="shared" si="5"/>
        <v>9.3598805008700991E-14</v>
      </c>
      <c r="AD25" s="2">
        <f t="shared" si="6"/>
        <v>4.76837158203125E-7</v>
      </c>
      <c r="AF25" s="2">
        <v>21</v>
      </c>
      <c r="AG25" s="2">
        <f t="shared" si="13"/>
        <v>1548.1677055358887</v>
      </c>
      <c r="AH25" s="2">
        <v>-5.557120913408653E-4</v>
      </c>
      <c r="AI25" s="2">
        <f t="shared" si="14"/>
        <v>1548.1767654418945</v>
      </c>
      <c r="AJ25" s="2">
        <v>4.8194850224945185E-3</v>
      </c>
      <c r="AK25" s="2">
        <f t="shared" si="9"/>
        <v>1548.1722354888916</v>
      </c>
      <c r="AL25" s="2">
        <v>2.1317544344583439E-3</v>
      </c>
      <c r="AM25" s="2">
        <f t="shared" si="10"/>
        <v>-1.1846417149980098E-6</v>
      </c>
      <c r="AN25" s="2">
        <f t="shared" si="11"/>
        <v>1.027395856850826E-5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1896.8025012780922</v>
      </c>
      <c r="H26" s="6" t="s">
        <v>21</v>
      </c>
      <c r="J26" s="14" t="s">
        <v>65</v>
      </c>
      <c r="K26" s="6">
        <f xml:space="preserve"> $C$80 * (0.0268 * $C$5)</f>
        <v>33.192864089033002</v>
      </c>
      <c r="L26" s="6" t="s">
        <v>7</v>
      </c>
      <c r="N26" s="6" t="s">
        <v>32</v>
      </c>
      <c r="O26" s="17">
        <f>Z34</f>
        <v>0.97026971494778991</v>
      </c>
      <c r="U26" s="2">
        <v>22</v>
      </c>
      <c r="V26" s="2">
        <f t="shared" si="7"/>
        <v>0.97026968002319336</v>
      </c>
      <c r="W26" s="2">
        <f t="shared" si="0"/>
        <v>3.5379225771237088E-8</v>
      </c>
      <c r="X26" s="2">
        <f t="shared" si="8"/>
        <v>0.97026991844177246</v>
      </c>
      <c r="Y26" s="2">
        <f t="shared" si="1"/>
        <v>-2.0766762587332011E-7</v>
      </c>
      <c r="Z26" s="2">
        <f t="shared" si="3"/>
        <v>0.97026979923248291</v>
      </c>
      <c r="AA26" s="2">
        <f t="shared" si="2"/>
        <v>-8.6144200328597265E-8</v>
      </c>
      <c r="AB26" s="2">
        <f t="shared" si="4"/>
        <v>-3.0477151123081189E-15</v>
      </c>
      <c r="AC26" s="2">
        <f t="shared" si="5"/>
        <v>1.7889361564995476E-14</v>
      </c>
      <c r="AD26" s="2">
        <f t="shared" si="6"/>
        <v>2.384185791015625E-7</v>
      </c>
      <c r="AF26" s="2">
        <v>22</v>
      </c>
      <c r="AG26" s="2">
        <f t="shared" si="13"/>
        <v>1548.1677055358887</v>
      </c>
      <c r="AH26" s="2">
        <v>-5.557120913408653E-4</v>
      </c>
      <c r="AI26" s="2">
        <f t="shared" si="14"/>
        <v>1548.1722354888916</v>
      </c>
      <c r="AJ26" s="2">
        <v>4.8194850224945185E-3</v>
      </c>
      <c r="AK26" s="2">
        <f t="shared" si="9"/>
        <v>1548.1699705123901</v>
      </c>
      <c r="AL26" s="2">
        <v>3.4756198855347975E-3</v>
      </c>
      <c r="AM26" s="2">
        <f t="shared" si="10"/>
        <v>-1.9314439952964411E-6</v>
      </c>
      <c r="AN26" s="2">
        <f t="shared" si="11"/>
        <v>1.6750697982219071E-5</v>
      </c>
      <c r="AO26" s="2">
        <f t="shared" si="12"/>
        <v>4.5299530029296875E-3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25.988314929219371</v>
      </c>
      <c r="H27" t="s">
        <v>97</v>
      </c>
      <c r="J27" s="14" t="s">
        <v>66</v>
      </c>
      <c r="K27" s="6">
        <f xml:space="preserve"> $C$80 * (11.5 * ($C$5*2.20462/1000)^0.4 * 0.453592)</f>
        <v>6.8189057777731783</v>
      </c>
      <c r="L27" s="6" t="s">
        <v>7</v>
      </c>
      <c r="N27" s="6" t="s">
        <v>33</v>
      </c>
      <c r="O27" s="6">
        <f xml:space="preserve"> O21 * $C$10 * O26 - $C$7 * SIN(O19/180*PI())</f>
        <v>1.3323594331866246</v>
      </c>
      <c r="P27" s="6" t="s">
        <v>10</v>
      </c>
      <c r="U27" s="2">
        <v>23</v>
      </c>
      <c r="V27" s="2">
        <f t="shared" si="7"/>
        <v>0.97026968002319336</v>
      </c>
      <c r="W27" s="2">
        <f t="shared" si="0"/>
        <v>3.5379225771237088E-8</v>
      </c>
      <c r="X27" s="2">
        <f t="shared" si="8"/>
        <v>0.97026979923248291</v>
      </c>
      <c r="Y27" s="2">
        <f t="shared" si="1"/>
        <v>-8.6144200328597265E-8</v>
      </c>
      <c r="Z27" s="2">
        <f t="shared" si="3"/>
        <v>0.97026973962783813</v>
      </c>
      <c r="AA27" s="2">
        <f t="shared" si="2"/>
        <v>-2.5382487334191239E-8</v>
      </c>
      <c r="AB27" s="2">
        <f t="shared" si="4"/>
        <v>-8.9801275003191778E-16</v>
      </c>
      <c r="AC27" s="2">
        <f t="shared" si="5"/>
        <v>2.186554073754653E-15</v>
      </c>
      <c r="AD27" s="2">
        <f t="shared" si="6"/>
        <v>1.1920928955078125E-7</v>
      </c>
      <c r="AF27" s="2">
        <v>23</v>
      </c>
      <c r="AG27" s="2">
        <f t="shared" si="13"/>
        <v>1548.1677055358887</v>
      </c>
      <c r="AH27" s="2">
        <v>-5.557120913408653E-4</v>
      </c>
      <c r="AI27" s="2">
        <f t="shared" si="14"/>
        <v>1548.1699705123901</v>
      </c>
      <c r="AJ27" s="2">
        <v>4.8194850224945185E-3</v>
      </c>
      <c r="AK27" s="2">
        <f t="shared" si="9"/>
        <v>1548.1688380241394</v>
      </c>
      <c r="AL27" s="2">
        <v>4.1474198334299217E-3</v>
      </c>
      <c r="AM27" s="2">
        <f t="shared" si="10"/>
        <v>-2.3047713493039248E-6</v>
      </c>
      <c r="AN27" s="2">
        <f t="shared" si="11"/>
        <v>1.9988427769212219E-5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7.4464939109887958</v>
      </c>
      <c r="H28" s="6" t="s">
        <v>172</v>
      </c>
      <c r="J28" s="14" t="s">
        <v>67</v>
      </c>
      <c r="K28" s="6">
        <f xml:space="preserve"> $C$80 * (8 * ($C$5/1000))</f>
        <v>9.9083176385173122</v>
      </c>
      <c r="L28" s="6" t="s">
        <v>7</v>
      </c>
      <c r="N28" s="6" t="s">
        <v>34</v>
      </c>
      <c r="O28" s="6">
        <f xml:space="preserve"> 1/$C$31 - O25 * SQRT( (2*$C$71*PI()*$C$10^2) / O20^3 )</f>
        <v>1.1390261195355569</v>
      </c>
      <c r="U28" s="2">
        <v>24</v>
      </c>
      <c r="V28" s="2">
        <f t="shared" si="7"/>
        <v>0.97026968002319336</v>
      </c>
      <c r="W28" s="2">
        <f t="shared" si="0"/>
        <v>3.5379225771237088E-8</v>
      </c>
      <c r="X28" s="2">
        <f t="shared" si="8"/>
        <v>0.97026973962783813</v>
      </c>
      <c r="Y28" s="2">
        <f t="shared" si="1"/>
        <v>-2.5382487334191239E-8</v>
      </c>
      <c r="Z28" s="2">
        <f t="shared" si="3"/>
        <v>0.97026970982551575</v>
      </c>
      <c r="AA28" s="2">
        <f t="shared" si="2"/>
        <v>4.9983691630117733E-9</v>
      </c>
      <c r="AB28" s="2">
        <f t="shared" si="4"/>
        <v>1.7683843110618288E-16</v>
      </c>
      <c r="AC28" s="2">
        <f t="shared" si="5"/>
        <v>-1.2687104197175841E-16</v>
      </c>
      <c r="AD28" s="2">
        <f t="shared" si="6"/>
        <v>5.9604644775390625E-8</v>
      </c>
      <c r="AF28" s="2">
        <v>24</v>
      </c>
      <c r="AG28" s="2">
        <f t="shared" si="13"/>
        <v>1548.1677055358887</v>
      </c>
      <c r="AH28" s="2">
        <v>-5.557120913408653E-4</v>
      </c>
      <c r="AI28" s="2">
        <f t="shared" si="14"/>
        <v>1548.1688380241394</v>
      </c>
      <c r="AJ28" s="2">
        <v>4.8194850224945185E-3</v>
      </c>
      <c r="AK28" s="2">
        <f t="shared" si="9"/>
        <v>1548.168271780014</v>
      </c>
      <c r="AL28" s="2">
        <v>4.4834524377392881E-3</v>
      </c>
      <c r="AM28" s="2">
        <f t="shared" si="10"/>
        <v>-2.4915087306034003E-6</v>
      </c>
      <c r="AN28" s="2">
        <f t="shared" si="11"/>
        <v>2.1607931872751038E-5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207.90651943375497</v>
      </c>
      <c r="H29" s="22" t="s">
        <v>97</v>
      </c>
      <c r="J29" s="14" t="s">
        <v>68</v>
      </c>
      <c r="K29" s="6">
        <f xml:space="preserve"> $C$80 * (13 * ($C$5*2.20462/1000)^1.3 * 0.453592)</f>
        <v>23.270114600549256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0.97026970982551575</v>
      </c>
      <c r="W29" s="2">
        <f t="shared" si="0"/>
        <v>4.9983691630117733E-9</v>
      </c>
      <c r="X29" s="2">
        <f t="shared" si="8"/>
        <v>0.97026973962783813</v>
      </c>
      <c r="Y29" s="2">
        <f t="shared" si="1"/>
        <v>-2.5382487334191239E-8</v>
      </c>
      <c r="Z29" s="2">
        <f t="shared" si="3"/>
        <v>0.97026972472667694</v>
      </c>
      <c r="AA29" s="2">
        <f t="shared" si="2"/>
        <v>-1.0192059085589733E-8</v>
      </c>
      <c r="AB29" s="2">
        <f t="shared" si="4"/>
        <v>-5.0943673841005693E-17</v>
      </c>
      <c r="AC29" s="2">
        <f t="shared" si="5"/>
        <v>2.5869981064931016E-16</v>
      </c>
      <c r="AD29" s="2">
        <f t="shared" si="6"/>
        <v>2.9802322387695312E-8</v>
      </c>
      <c r="AF29" s="2">
        <v>25</v>
      </c>
      <c r="AG29" s="2">
        <f t="shared" si="13"/>
        <v>1548.1677055358887</v>
      </c>
      <c r="AH29" s="2">
        <v>-5.557120913408653E-4</v>
      </c>
      <c r="AI29" s="2">
        <f t="shared" si="14"/>
        <v>1548.168271780014</v>
      </c>
      <c r="AJ29" s="2">
        <v>4.8194850224945185E-3</v>
      </c>
      <c r="AK29" s="2">
        <f t="shared" si="9"/>
        <v>1548.1679886579514</v>
      </c>
      <c r="AL29" s="2">
        <v>4.6514687325043269E-3</v>
      </c>
      <c r="AM29" s="2">
        <f t="shared" si="10"/>
        <v>-2.5848774171466233E-6</v>
      </c>
      <c r="AN29" s="2">
        <f t="shared" si="11"/>
        <v>2.2417683888906164E-5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3.5529524142248192E-3</v>
      </c>
      <c r="L30" s="9" t="s">
        <v>7</v>
      </c>
      <c r="N30" s="6" t="s">
        <v>36</v>
      </c>
      <c r="O30" s="6">
        <f xml:space="preserve"> 1/$C$77 * LN( EXP($C$77 * O28) + EXP($C$77 * O29) )</f>
        <v>1.1680675386940194</v>
      </c>
      <c r="U30" s="2">
        <v>26</v>
      </c>
      <c r="V30" s="2">
        <f>IF(AB29&gt;0, Z29, V29)</f>
        <v>0.97026970982551575</v>
      </c>
      <c r="W30" s="2">
        <f t="shared" si="0"/>
        <v>4.9983691630117733E-9</v>
      </c>
      <c r="X30" s="2">
        <f t="shared" si="8"/>
        <v>0.97026972472667694</v>
      </c>
      <c r="Y30" s="2">
        <f t="shared" si="1"/>
        <v>-1.0192059085589733E-8</v>
      </c>
      <c r="Z30" s="2">
        <f t="shared" si="3"/>
        <v>0.97026971727609634</v>
      </c>
      <c r="AA30" s="2">
        <f t="shared" si="2"/>
        <v>-2.5968449612889799E-9</v>
      </c>
      <c r="AB30" s="2">
        <f t="shared" si="4"/>
        <v>-1.2979989775629339E-17</v>
      </c>
      <c r="AC30" s="2">
        <f t="shared" si="5"/>
        <v>2.6467197281573266E-17</v>
      </c>
      <c r="AD30" s="2">
        <f t="shared" si="6"/>
        <v>1.4901161193847656E-8</v>
      </c>
      <c r="AF30" s="2">
        <v>26</v>
      </c>
      <c r="AG30" s="2">
        <f t="shared" si="13"/>
        <v>1548.1677055358887</v>
      </c>
      <c r="AH30" s="2">
        <v>-5.557120913408653E-4</v>
      </c>
      <c r="AI30" s="2">
        <f t="shared" si="14"/>
        <v>1548.1679886579514</v>
      </c>
      <c r="AJ30" s="2">
        <v>4.8194850224945185E-3</v>
      </c>
      <c r="AK30" s="2">
        <f t="shared" si="9"/>
        <v>1548.16784709692</v>
      </c>
      <c r="AL30" s="2">
        <v>4.7353442180337879E-3</v>
      </c>
      <c r="AM30" s="2">
        <f t="shared" si="10"/>
        <v>-2.6314880386224309E-6</v>
      </c>
      <c r="AN30" s="2">
        <f t="shared" si="11"/>
        <v>2.2821920535169857E-5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0.97026970982551575</v>
      </c>
      <c r="W31" s="2">
        <f t="shared" si="0"/>
        <v>4.9983691630117733E-9</v>
      </c>
      <c r="X31" s="2">
        <f t="shared" si="8"/>
        <v>0.97026971727609634</v>
      </c>
      <c r="Y31" s="2">
        <f t="shared" si="1"/>
        <v>-2.5968449612889799E-9</v>
      </c>
      <c r="Z31" s="2">
        <f t="shared" si="3"/>
        <v>0.97026971355080605</v>
      </c>
      <c r="AA31" s="2">
        <f t="shared" si="2"/>
        <v>1.2007620453502454E-9</v>
      </c>
      <c r="AB31" s="2">
        <f t="shared" si="4"/>
        <v>6.0018519795936112E-18</v>
      </c>
      <c r="AC31" s="2">
        <f t="shared" si="5"/>
        <v>-3.1181928671748345E-18</v>
      </c>
      <c r="AD31" s="2">
        <f t="shared" si="6"/>
        <v>7.4505805969238281E-9</v>
      </c>
      <c r="AF31" s="2">
        <v>27</v>
      </c>
      <c r="AG31" s="2">
        <f t="shared" si="13"/>
        <v>1548.1677055358887</v>
      </c>
      <c r="AH31" s="2">
        <v>-5.557120913408653E-4</v>
      </c>
      <c r="AI31" s="2">
        <f t="shared" si="14"/>
        <v>1548.16784709692</v>
      </c>
      <c r="AJ31" s="2">
        <v>4.8194850224945185E-3</v>
      </c>
      <c r="AK31" s="2">
        <f t="shared" si="9"/>
        <v>1548.1677763164043</v>
      </c>
      <c r="AL31" s="2">
        <v>4.7774146204346835E-3</v>
      </c>
      <c r="AM31" s="2">
        <f t="shared" si="10"/>
        <v>-2.6548670699241842E-6</v>
      </c>
      <c r="AN31" s="2">
        <f t="shared" si="11"/>
        <v>2.3024678209431291E-5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0.97026971355080605</v>
      </c>
      <c r="W32" s="2">
        <f t="shared" si="0"/>
        <v>1.2007620453502454E-9</v>
      </c>
      <c r="X32" s="2">
        <f t="shared" si="8"/>
        <v>0.97026971727609634</v>
      </c>
      <c r="Y32" s="2">
        <f t="shared" si="1"/>
        <v>-2.5968449612889799E-9</v>
      </c>
      <c r="Z32" s="2">
        <f t="shared" si="3"/>
        <v>0.97026971541345119</v>
      </c>
      <c r="AA32" s="2">
        <f t="shared" si="2"/>
        <v>-6.98041402458216E-10</v>
      </c>
      <c r="AB32" s="2">
        <f t="shared" si="4"/>
        <v>-8.3818162215488129E-19</v>
      </c>
      <c r="AC32" s="2">
        <f t="shared" si="5"/>
        <v>1.8127052987447112E-18</v>
      </c>
      <c r="AD32" s="2">
        <f t="shared" si="6"/>
        <v>3.7252902984619141E-9</v>
      </c>
      <c r="AF32" s="2">
        <v>28</v>
      </c>
      <c r="AG32" s="2">
        <f t="shared" si="13"/>
        <v>1548.1677055358887</v>
      </c>
      <c r="AH32" s="2">
        <v>-5.557120913408653E-4</v>
      </c>
      <c r="AI32" s="2">
        <f t="shared" si="14"/>
        <v>1548.1677763164043</v>
      </c>
      <c r="AJ32" s="2">
        <v>4.8194850224945185E-3</v>
      </c>
      <c r="AK32" s="2">
        <f t="shared" si="9"/>
        <v>1548.1677409261465</v>
      </c>
      <c r="AL32" s="2">
        <v>4.7984498213509141E-3</v>
      </c>
      <c r="AM32" s="2">
        <f t="shared" si="10"/>
        <v>-2.666556585417118E-6</v>
      </c>
      <c r="AN32" s="2">
        <f t="shared" si="11"/>
        <v>2.3126057045192228E-5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103.54124207897725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0.97026971355080605</v>
      </c>
      <c r="W33" s="2">
        <f t="shared" si="0"/>
        <v>1.2007620453502454E-9</v>
      </c>
      <c r="X33" s="2">
        <f t="shared" si="8"/>
        <v>0.97026971541345119</v>
      </c>
      <c r="Y33" s="2">
        <f t="shared" si="1"/>
        <v>-6.98041402458216E-10</v>
      </c>
      <c r="Z33" s="2">
        <f t="shared" si="3"/>
        <v>0.97026971448212862</v>
      </c>
      <c r="AA33" s="2">
        <f t="shared" si="2"/>
        <v>2.5136037695716595E-10</v>
      </c>
      <c r="AB33" s="2">
        <f t="shared" si="4"/>
        <v>3.018240003550953E-19</v>
      </c>
      <c r="AC33" s="2">
        <f t="shared" si="5"/>
        <v>-1.7545995005360596E-19</v>
      </c>
      <c r="AD33" s="2">
        <f t="shared" si="6"/>
        <v>1.862645149230957E-9</v>
      </c>
      <c r="AF33" s="2">
        <v>29</v>
      </c>
      <c r="AG33" s="2">
        <f t="shared" si="13"/>
        <v>1548.1677055358887</v>
      </c>
      <c r="AH33" s="2">
        <v>-5.557120913408653E-4</v>
      </c>
      <c r="AI33" s="2">
        <f t="shared" si="14"/>
        <v>1548.1677409261465</v>
      </c>
      <c r="AJ33" s="2">
        <v>4.8194850224945185E-3</v>
      </c>
      <c r="AK33" s="2">
        <f t="shared" si="9"/>
        <v>1548.1677232310176</v>
      </c>
      <c r="AL33" s="2">
        <v>4.8089674218090295E-3</v>
      </c>
      <c r="AM33" s="2">
        <f t="shared" si="10"/>
        <v>-2.6724013431635849E-6</v>
      </c>
      <c r="AN33" s="2">
        <f t="shared" si="11"/>
        <v>2.3176746463072696E-5</v>
      </c>
      <c r="AO33" s="2">
        <f t="shared" si="12"/>
        <v>3.5390257835388184E-5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38.76</v>
      </c>
      <c r="L34" s="6" t="s">
        <v>59</v>
      </c>
      <c r="U34" s="2">
        <v>30</v>
      </c>
      <c r="V34" s="2">
        <f t="shared" si="7"/>
        <v>0.97026971448212862</v>
      </c>
      <c r="W34" s="2">
        <f t="shared" si="0"/>
        <v>2.5136037695716595E-10</v>
      </c>
      <c r="X34" s="2">
        <f t="shared" si="8"/>
        <v>0.97026971541345119</v>
      </c>
      <c r="Y34" s="2">
        <f t="shared" si="1"/>
        <v>-6.98041402458216E-10</v>
      </c>
      <c r="Z34" s="2">
        <f t="shared" si="3"/>
        <v>0.97026971494778991</v>
      </c>
      <c r="AA34" s="2">
        <f t="shared" si="2"/>
        <v>-2.2334056826167625E-10</v>
      </c>
      <c r="AB34" s="2">
        <f t="shared" si="4"/>
        <v>-5.6138969428082598E-20</v>
      </c>
      <c r="AC34" s="2">
        <f t="shared" si="5"/>
        <v>1.5590096349519542E-19</v>
      </c>
      <c r="AD34" s="2">
        <f t="shared" si="6"/>
        <v>9.3132257461547852E-10</v>
      </c>
      <c r="AF34" s="2">
        <v>30</v>
      </c>
      <c r="AG34" s="2">
        <f t="shared" si="13"/>
        <v>1548.1677055358887</v>
      </c>
      <c r="AH34" s="2">
        <v>-5.557120913408653E-4</v>
      </c>
      <c r="AI34" s="2">
        <f t="shared" si="14"/>
        <v>1548.1677232310176</v>
      </c>
      <c r="AJ34" s="2">
        <v>4.8194850224945185E-3</v>
      </c>
      <c r="AK34" s="2">
        <f t="shared" si="9"/>
        <v>1548.1677143834531</v>
      </c>
      <c r="AL34" s="2">
        <v>4.8142262222654608E-3</v>
      </c>
      <c r="AM34" s="2">
        <f t="shared" si="10"/>
        <v>-2.6753237221631728E-6</v>
      </c>
      <c r="AN34" s="2">
        <f t="shared" si="11"/>
        <v>2.3202091173108755E-5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16.46</v>
      </c>
      <c r="L35" s="6" t="s">
        <v>59</v>
      </c>
      <c r="AF35" s="2">
        <v>31</v>
      </c>
      <c r="AG35" s="2">
        <f t="shared" si="13"/>
        <v>1548.1677055358887</v>
      </c>
      <c r="AH35" s="2">
        <v>-5.557120913408653E-4</v>
      </c>
      <c r="AI35" s="2">
        <f t="shared" si="14"/>
        <v>1548.1677143834531</v>
      </c>
      <c r="AJ35" s="2">
        <v>4.8194850224945185E-3</v>
      </c>
      <c r="AK35" s="2">
        <f t="shared" si="9"/>
        <v>1548.1677099596709</v>
      </c>
      <c r="AL35" s="2">
        <v>4.8168556224936765E-3</v>
      </c>
      <c r="AM35" s="2">
        <f t="shared" si="10"/>
        <v>-2.6767849116629667E-6</v>
      </c>
      <c r="AN35" s="2">
        <f t="shared" si="11"/>
        <v>2.3214763528126783E-5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15.91</v>
      </c>
      <c r="L36" s="6" t="s">
        <v>59</v>
      </c>
      <c r="AF36" s="2">
        <v>32</v>
      </c>
      <c r="AG36" s="2">
        <f t="shared" si="13"/>
        <v>1548.1677055358887</v>
      </c>
      <c r="AH36" s="2">
        <v>-5.557120913408653E-4</v>
      </c>
      <c r="AI36" s="2">
        <f t="shared" si="14"/>
        <v>1548.1677099596709</v>
      </c>
      <c r="AJ36" s="2">
        <v>4.8194850224945185E-3</v>
      </c>
      <c r="AK36" s="2">
        <f t="shared" si="9"/>
        <v>1548.1677077477798</v>
      </c>
      <c r="AL36" s="2">
        <v>4.8181703223235672E-3</v>
      </c>
      <c r="AM36" s="2">
        <f t="shared" si="10"/>
        <v>-2.6775155062549204E-6</v>
      </c>
      <c r="AN36" s="2">
        <f t="shared" si="11"/>
        <v>2.3221099704266019E-5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24.15</v>
      </c>
      <c r="L37" s="6" t="s">
        <v>59</v>
      </c>
      <c r="AF37" s="2">
        <v>33</v>
      </c>
      <c r="AG37" s="2">
        <f t="shared" si="13"/>
        <v>1548.1677055358887</v>
      </c>
      <c r="AH37" s="2">
        <v>-5.557120913408653E-4</v>
      </c>
      <c r="AI37" s="2">
        <f t="shared" si="14"/>
        <v>1548.1677077477798</v>
      </c>
      <c r="AJ37" s="2">
        <v>4.8194850224945185E-3</v>
      </c>
      <c r="AK37" s="2">
        <f t="shared" si="9"/>
        <v>1548.1677066418342</v>
      </c>
      <c r="AL37" s="2">
        <v>4.8188276724658863E-3</v>
      </c>
      <c r="AM37" s="2">
        <f t="shared" si="10"/>
        <v>-2.6778808036772521E-6</v>
      </c>
      <c r="AN37" s="2">
        <f t="shared" si="11"/>
        <v>2.3224267793431459E-5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4.7300000000000004</v>
      </c>
      <c r="L38" s="6" t="s">
        <v>59</v>
      </c>
      <c r="AF38" s="2">
        <v>34</v>
      </c>
      <c r="AG38" s="2">
        <f t="shared" si="13"/>
        <v>1548.1677055358887</v>
      </c>
      <c r="AH38" s="2">
        <v>-5.557120913408653E-4</v>
      </c>
      <c r="AI38" s="2">
        <f t="shared" si="14"/>
        <v>1548.1677066418342</v>
      </c>
      <c r="AJ38" s="2">
        <v>4.8194850224945185E-3</v>
      </c>
      <c r="AK38" s="2">
        <f t="shared" si="9"/>
        <v>1548.1677060888615</v>
      </c>
      <c r="AL38" s="2">
        <v>4.8191563473665155E-3</v>
      </c>
      <c r="AM38" s="2">
        <f t="shared" si="10"/>
        <v>-2.6780634522936517E-6</v>
      </c>
      <c r="AN38" s="2">
        <f t="shared" si="11"/>
        <v>2.3225851837192312E-5</v>
      </c>
      <c r="AO38" s="2">
        <f t="shared" si="12"/>
        <v>1.1059455573558807E-6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100.01</v>
      </c>
      <c r="L39" s="9" t="s">
        <v>59</v>
      </c>
      <c r="AF39" s="2">
        <v>35</v>
      </c>
      <c r="AG39" s="2">
        <f t="shared" si="13"/>
        <v>1548.1677055358887</v>
      </c>
      <c r="AH39" s="2">
        <v>-5.557120913408653E-4</v>
      </c>
      <c r="AI39" s="2">
        <f t="shared" si="14"/>
        <v>1548.1677060888615</v>
      </c>
      <c r="AJ39" s="2">
        <v>4.8194850224945185E-3</v>
      </c>
      <c r="AK39" s="2">
        <f t="shared" si="9"/>
        <v>1548.1677058123751</v>
      </c>
      <c r="AL39" s="2">
        <v>4.8193206849873604E-3</v>
      </c>
      <c r="AM39" s="2">
        <f t="shared" si="10"/>
        <v>-2.6781547766966176E-6</v>
      </c>
      <c r="AN39" s="2">
        <f t="shared" si="11"/>
        <v>2.3226643859894607E-5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1548.1677055358887</v>
      </c>
      <c r="AH40" s="2">
        <v>-5.557120913408653E-4</v>
      </c>
      <c r="AI40" s="2">
        <f t="shared" si="14"/>
        <v>1548.1677058123751</v>
      </c>
      <c r="AJ40" s="2">
        <v>4.8194850224945185E-3</v>
      </c>
      <c r="AK40" s="2">
        <f t="shared" si="9"/>
        <v>1548.1677056741319</v>
      </c>
      <c r="AL40" s="2">
        <v>4.8194028538546263E-3</v>
      </c>
      <c r="AM40" s="2">
        <f t="shared" si="10"/>
        <v>-2.6782004389296891E-6</v>
      </c>
      <c r="AN40" s="2">
        <f t="shared" si="11"/>
        <v>2.3227039871519711E-5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1548.1677055358887</v>
      </c>
      <c r="AH41" s="2">
        <v>-5.557120913408653E-4</v>
      </c>
      <c r="AI41" s="2">
        <f t="shared" si="14"/>
        <v>1548.1677056741319</v>
      </c>
      <c r="AJ41" s="2">
        <v>4.8194850224945185E-3</v>
      </c>
      <c r="AK41" s="2">
        <f t="shared" si="9"/>
        <v>1548.1677056050103</v>
      </c>
      <c r="AL41" s="2">
        <v>4.8194439380040421E-3</v>
      </c>
      <c r="AM41" s="2">
        <f t="shared" si="10"/>
        <v>-2.6782232698882818E-6</v>
      </c>
      <c r="AN41" s="2">
        <f t="shared" si="11"/>
        <v>2.3227237875962481E-5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1548.1677055358887</v>
      </c>
      <c r="AH42" s="2">
        <v>-5.557120913408653E-4</v>
      </c>
      <c r="AI42" s="2">
        <f t="shared" si="14"/>
        <v>1548.1677056050103</v>
      </c>
      <c r="AJ42" s="2">
        <v>4.8194850224945185E-3</v>
      </c>
      <c r="AK42" s="2">
        <f t="shared" si="9"/>
        <v>1548.1677055704495</v>
      </c>
      <c r="AL42" s="2">
        <v>4.8194644804198106E-3</v>
      </c>
      <c r="AM42" s="2">
        <f t="shared" si="10"/>
        <v>-2.6782346855571096E-6</v>
      </c>
      <c r="AN42" s="2">
        <f t="shared" si="11"/>
        <v>2.3227336879827602E-5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254.87</v>
      </c>
      <c r="L43" s="6" t="s">
        <v>7</v>
      </c>
      <c r="AF43" s="2">
        <v>39</v>
      </c>
      <c r="AG43" s="2">
        <f t="shared" si="13"/>
        <v>1548.1677055358887</v>
      </c>
      <c r="AH43" s="2">
        <v>-5.557120913408653E-4</v>
      </c>
      <c r="AI43" s="2">
        <f t="shared" si="14"/>
        <v>1548.1677055704495</v>
      </c>
      <c r="AJ43" s="2">
        <v>4.8194850224945185E-3</v>
      </c>
      <c r="AK43" s="2">
        <f t="shared" si="9"/>
        <v>1548.1677055531691</v>
      </c>
      <c r="AL43" s="2">
        <v>4.8194747514571645E-3</v>
      </c>
      <c r="AM43" s="2">
        <f t="shared" si="10"/>
        <v>-2.6782403932967579E-6</v>
      </c>
      <c r="AN43" s="2">
        <f t="shared" si="11"/>
        <v>2.3227386380938298E-5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246.26</v>
      </c>
      <c r="L44" s="6" t="s">
        <v>7</v>
      </c>
      <c r="AF44" s="2">
        <v>40</v>
      </c>
      <c r="AG44" s="2">
        <f t="shared" si="13"/>
        <v>1548.1677055358887</v>
      </c>
      <c r="AH44" s="2">
        <v>-5.557120913408653E-4</v>
      </c>
      <c r="AI44" s="2">
        <f t="shared" si="14"/>
        <v>1548.1677055531691</v>
      </c>
      <c r="AJ44" s="2">
        <v>4.8194850224945185E-3</v>
      </c>
      <c r="AK44" s="5">
        <f t="shared" si="9"/>
        <v>1548.1677055445289</v>
      </c>
      <c r="AL44" s="2">
        <v>4.8194798866916244E-3</v>
      </c>
      <c r="AM44" s="2">
        <f t="shared" si="10"/>
        <v>-2.6782432470086392E-6</v>
      </c>
      <c r="AN44" s="2">
        <f t="shared" si="11"/>
        <v>2.3227411130123862E-5</v>
      </c>
      <c r="AO44" s="2">
        <f t="shared" si="12"/>
        <v>1.7280399333685637E-8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373.85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73.19</v>
      </c>
      <c r="L46" s="6" t="s">
        <v>7</v>
      </c>
    </row>
    <row r="47" spans="2:41" x14ac:dyDescent="0.2">
      <c r="J47" s="9" t="s">
        <v>60</v>
      </c>
      <c r="K47" s="9">
        <f>SUM(K42:K46)</f>
        <v>1548.17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550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B1:D1"/>
    <mergeCell ref="B3:D3"/>
    <mergeCell ref="F3:H3"/>
    <mergeCell ref="J3:L3"/>
    <mergeCell ref="N3:P3"/>
  </mergeCells>
  <conditionalFormatting sqref="K31">
    <cfRule type="containsText" dxfId="11" priority="1" operator="containsText" text="FALSE">
      <formula>NOT(ISERROR(SEARCH("FALSE",K31)))</formula>
    </cfRule>
    <cfRule type="containsText" dxfId="10" priority="2" operator="containsText" text="TRUE">
      <formula>NOT(ISERROR(SEARCH("TRUE",K31)))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NOT(ISERROR(SEARCH("YES",K31)))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C0DB-BD57-AB47-BA24-1419F20343D5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324.05466041782273</v>
      </c>
      <c r="L4" s="6" t="s">
        <v>97</v>
      </c>
      <c r="N4" s="6" t="s">
        <v>131</v>
      </c>
      <c r="O4" s="6">
        <f xml:space="preserve"> $C$5 * $C$74</f>
        <v>14302.751168631296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1.1693936235356182</v>
      </c>
      <c r="X4" s="3">
        <v>1</v>
      </c>
      <c r="Y4" s="2">
        <f t="shared" ref="Y4:Y34" si="1" xml:space="preserve"> $O$22 * TAN($O$19/180*PI()) + $O$23 / (2 * SQRT($O$22^2 + X4^2)) - X4</f>
        <v>-3.0614910644430227E-2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0.48710666362010591</v>
      </c>
      <c r="AB4" s="2">
        <f>W4*AA4</f>
        <v>0.56961942641906116</v>
      </c>
      <c r="AC4" s="2">
        <f>Y4*AA4</f>
        <v>-1.4912726981036075E-2</v>
      </c>
      <c r="AD4" s="2">
        <f>X4-V4</f>
        <v>1</v>
      </c>
      <c r="AF4" s="2">
        <v>0</v>
      </c>
      <c r="AH4" s="2">
        <f>K30</f>
        <v>3.1805262536863665E-3</v>
      </c>
      <c r="AJ4" s="2">
        <f>K30</f>
        <v>3.1805262536863665E-3</v>
      </c>
      <c r="AL4" s="2">
        <f>K30</f>
        <v>3.1805262536863665E-3</v>
      </c>
    </row>
    <row r="5" spans="2:41" x14ac:dyDescent="0.2">
      <c r="B5" s="9" t="s">
        <v>38</v>
      </c>
      <c r="C5" s="9">
        <v>1459.38195513249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40.506832552227841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0.48710666362010591</v>
      </c>
      <c r="X5" s="2">
        <f>IF(AC4&gt;0, Z4, X4)</f>
        <v>1</v>
      </c>
      <c r="Y5" s="2">
        <f t="shared" si="1"/>
        <v>-3.0614910644430227E-2</v>
      </c>
      <c r="Z5" s="2">
        <f t="shared" ref="Z5:Z34" si="3" xml:space="preserve"> (V5 + X5)/2</f>
        <v>0.75</v>
      </c>
      <c r="AA5" s="2">
        <f t="shared" si="2"/>
        <v>0.22535056007551102</v>
      </c>
      <c r="AB5" s="2">
        <f t="shared" ref="AB5:AB34" si="4">W5*AA5</f>
        <v>0.10976975946330442</v>
      </c>
      <c r="AC5" s="2">
        <f t="shared" ref="AC5:AC34" si="5">Y5*AA5</f>
        <v>-6.8990872603840753E-3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-611.6416850037532</v>
      </c>
      <c r="AI5" s="3">
        <v>10000</v>
      </c>
      <c r="AJ5" s="2">
        <f t="dataTable" ref="AJ5:AJ44" dt2D="0" dtr="0" r1="C5" ca="1"/>
        <v>4362.9729261865705</v>
      </c>
      <c r="AK5" s="2">
        <f>(AG5+AI5)/2</f>
        <v>5250</v>
      </c>
      <c r="AL5" s="2">
        <f t="dataTable" ref="AL5:AL44" dt2D="0" dtr="0" r1="C5" ca="1"/>
        <v>2287.7549257444721</v>
      </c>
      <c r="AM5" s="2">
        <f>AH5*AL5</f>
        <v>-1399286.2776579852</v>
      </c>
      <c r="AN5" s="2">
        <f>AJ5*AL5</f>
        <v>9981412.8027730994</v>
      </c>
      <c r="AO5" s="2">
        <f>AI5-AG5</f>
        <v>9500</v>
      </c>
    </row>
    <row r="6" spans="2:41" x14ac:dyDescent="0.2">
      <c r="B6" s="6" t="s">
        <v>168</v>
      </c>
      <c r="C6" s="16">
        <v>419.57494698678801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152.58296121277397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0.16846352990627408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0.22535056007551102</v>
      </c>
      <c r="X6" s="2">
        <f t="shared" ref="X6:X34" si="8">IF(AC5&gt;0, Z5, X5)</f>
        <v>1</v>
      </c>
      <c r="Y6" s="2">
        <f t="shared" si="1"/>
        <v>-3.0614910644430227E-2</v>
      </c>
      <c r="Z6" s="2">
        <f t="shared" si="3"/>
        <v>0.875</v>
      </c>
      <c r="AA6" s="2">
        <f t="shared" si="2"/>
        <v>9.6947528864254173E-2</v>
      </c>
      <c r="AB6" s="2">
        <f t="shared" si="4"/>
        <v>2.1847179927496449E-2</v>
      </c>
      <c r="AC6" s="2">
        <f t="shared" si="5"/>
        <v>-2.9680399333774617E-3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-611.6416850037532</v>
      </c>
      <c r="AI6" s="2">
        <f>IF(AN5&gt;0,AK5,AI5)</f>
        <v>5250</v>
      </c>
      <c r="AJ6" s="2">
        <v>2287.7549257444721</v>
      </c>
      <c r="AK6" s="2">
        <f t="shared" ref="AK6:AK44" si="9">(AG6+AI6)/2</f>
        <v>2875</v>
      </c>
      <c r="AL6" s="2">
        <v>819.41865648416751</v>
      </c>
      <c r="AM6" s="2">
        <f t="shared" ref="AM6:AM44" si="10">AH6*AL6</f>
        <v>-501190.60777548782</v>
      </c>
      <c r="AN6" s="2">
        <f t="shared" ref="AN6:AN44" si="11">AJ6*AL6</f>
        <v>1874629.0676185717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1788.0149224474956</v>
      </c>
      <c r="H7" s="6" t="s">
        <v>21</v>
      </c>
      <c r="J7" s="6" t="s">
        <v>133</v>
      </c>
      <c r="K7" s="6">
        <f>K6/$C$28</f>
        <v>152.58296121277397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9.6947528864254173E-2</v>
      </c>
      <c r="X7" s="2">
        <f t="shared" si="8"/>
        <v>1</v>
      </c>
      <c r="Y7" s="2">
        <f t="shared" si="1"/>
        <v>-3.0614910644430227E-2</v>
      </c>
      <c r="Z7" s="2">
        <f t="shared" si="3"/>
        <v>0.9375</v>
      </c>
      <c r="AA7" s="2">
        <f t="shared" si="2"/>
        <v>3.3081899262132786E-2</v>
      </c>
      <c r="AB7" s="2">
        <f t="shared" si="4"/>
        <v>3.2072083835999669E-3</v>
      </c>
      <c r="AC7" s="2">
        <f t="shared" si="5"/>
        <v>-1.0127993898582375E-3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-611.6416850037532</v>
      </c>
      <c r="AI7" s="2">
        <f t="shared" ref="AI7:AI44" si="14">IF(AN6&gt;0,AK6,AI6)</f>
        <v>2875</v>
      </c>
      <c r="AJ7" s="2">
        <v>819.41865648416751</v>
      </c>
      <c r="AK7" s="2">
        <f t="shared" si="9"/>
        <v>1687.5</v>
      </c>
      <c r="AL7" s="2">
        <v>139.4727981061011</v>
      </c>
      <c r="AM7" s="2">
        <f t="shared" si="10"/>
        <v>-85307.377245803946</v>
      </c>
      <c r="AN7" s="2">
        <f t="shared" si="11"/>
        <v>114286.6128401889</v>
      </c>
      <c r="AO7" s="2">
        <f t="shared" si="12"/>
        <v>2375</v>
      </c>
    </row>
    <row r="8" spans="2:41" x14ac:dyDescent="0.2">
      <c r="B8" s="6" t="s">
        <v>91</v>
      </c>
      <c r="C8" s="16">
        <v>1.65820448767796</v>
      </c>
      <c r="D8" s="6" t="s">
        <v>8</v>
      </c>
      <c r="F8" t="s">
        <v>93</v>
      </c>
      <c r="G8" s="6">
        <f>G10/$C$21</f>
        <v>27.004555034818562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3.3081899262132786E-2</v>
      </c>
      <c r="X8" s="2">
        <f t="shared" si="8"/>
        <v>1</v>
      </c>
      <c r="Y8" s="2">
        <f t="shared" si="1"/>
        <v>-3.0614910644430227E-2</v>
      </c>
      <c r="Z8" s="2">
        <f t="shared" si="3"/>
        <v>0.96875</v>
      </c>
      <c r="AA8" s="2">
        <f t="shared" si="2"/>
        <v>1.2144032185161802E-3</v>
      </c>
      <c r="AB8" s="2">
        <f t="shared" si="4"/>
        <v>4.0174764938562103E-5</v>
      </c>
      <c r="AC8" s="2">
        <f t="shared" si="5"/>
        <v>-3.7178846021181329E-5</v>
      </c>
      <c r="AD8" s="2">
        <f t="shared" si="6"/>
        <v>6.25E-2</v>
      </c>
      <c r="AF8" s="2">
        <v>4</v>
      </c>
      <c r="AG8" s="2">
        <f t="shared" si="13"/>
        <v>500</v>
      </c>
      <c r="AH8" s="2">
        <v>-611.6416850037532</v>
      </c>
      <c r="AI8" s="2">
        <f t="shared" si="14"/>
        <v>1687.5</v>
      </c>
      <c r="AJ8" s="2">
        <v>139.4727981061011</v>
      </c>
      <c r="AK8" s="2">
        <f t="shared" si="9"/>
        <v>1093.75</v>
      </c>
      <c r="AL8" s="2">
        <v>-229.07540926064462</v>
      </c>
      <c r="AM8" s="2">
        <f t="shared" si="10"/>
        <v>140112.06931310505</v>
      </c>
      <c r="AN8" s="2">
        <f t="shared" si="11"/>
        <v>-31949.788306882368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6.7552582946229958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1.2144032185161802E-3</v>
      </c>
      <c r="X9" s="2">
        <f t="shared" si="8"/>
        <v>1</v>
      </c>
      <c r="Y9" s="2">
        <f t="shared" si="1"/>
        <v>-3.0614910644430227E-2</v>
      </c>
      <c r="Z9" s="2">
        <f t="shared" si="3"/>
        <v>0.984375</v>
      </c>
      <c r="AA9" s="2">
        <f t="shared" si="2"/>
        <v>-1.4704802483663793E-2</v>
      </c>
      <c r="AB9" s="2">
        <f t="shared" si="4"/>
        <v>-1.7857559463806031E-5</v>
      </c>
      <c r="AC9" s="2">
        <f t="shared" si="5"/>
        <v>4.5018621408136265E-4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-229.07540926064462</v>
      </c>
      <c r="AI9" s="2">
        <f t="shared" si="14"/>
        <v>1687.5</v>
      </c>
      <c r="AJ9" s="2">
        <v>139.4727981061011</v>
      </c>
      <c r="AK9" s="2">
        <f t="shared" si="9"/>
        <v>1390.625</v>
      </c>
      <c r="AL9" s="2">
        <v>-42.569180156204311</v>
      </c>
      <c r="AM9" s="2">
        <f t="shared" si="10"/>
        <v>9751.5523661726147</v>
      </c>
      <c r="AN9" s="2">
        <f t="shared" si="11"/>
        <v>-5937.2426694685291</v>
      </c>
      <c r="AO9" s="2">
        <f t="shared" si="12"/>
        <v>593.75</v>
      </c>
    </row>
    <row r="10" spans="2:41" x14ac:dyDescent="0.2">
      <c r="B10" s="6" t="s">
        <v>134</v>
      </c>
      <c r="C10" s="16">
        <v>1.5981888185648001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216.0364402785485</v>
      </c>
      <c r="H10" s="22" t="s">
        <v>97</v>
      </c>
      <c r="J10" s="6" t="s">
        <v>92</v>
      </c>
      <c r="K10" s="6">
        <f xml:space="preserve"> $C$18 * (G10*G6 + G20*G13 + G29*G25 + G33*G32)/3600</f>
        <v>92.368403724962064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1.2144032185161802E-3</v>
      </c>
      <c r="X10" s="2">
        <f t="shared" si="8"/>
        <v>0.984375</v>
      </c>
      <c r="Y10" s="2">
        <f t="shared" si="1"/>
        <v>-1.4704802483663793E-2</v>
      </c>
      <c r="Z10" s="2">
        <f t="shared" si="3"/>
        <v>0.9765625</v>
      </c>
      <c r="AA10" s="2">
        <f t="shared" si="2"/>
        <v>-6.7463637258533549E-3</v>
      </c>
      <c r="AB10" s="2">
        <f t="shared" si="4"/>
        <v>-8.1928058219571222E-6</v>
      </c>
      <c r="AC10" s="2">
        <f t="shared" si="5"/>
        <v>9.9203946071627728E-5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-42.569180156204311</v>
      </c>
      <c r="AI10" s="2">
        <f t="shared" si="14"/>
        <v>1687.5</v>
      </c>
      <c r="AJ10" s="2">
        <v>139.4727981061011</v>
      </c>
      <c r="AK10" s="2">
        <f t="shared" si="9"/>
        <v>1539.0625</v>
      </c>
      <c r="AL10" s="2">
        <v>49.032162868685646</v>
      </c>
      <c r="AM10" s="2">
        <f t="shared" si="10"/>
        <v>-2087.2589746054309</v>
      </c>
      <c r="AN10" s="2">
        <f t="shared" si="11"/>
        <v>6838.6529524896596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0.89560985040758323</v>
      </c>
      <c r="U11" s="2">
        <v>7</v>
      </c>
      <c r="V11" s="2">
        <f t="shared" si="7"/>
        <v>0.96875</v>
      </c>
      <c r="W11" s="2">
        <f t="shared" si="0"/>
        <v>1.2144032185161802E-3</v>
      </c>
      <c r="X11" s="2">
        <f t="shared" si="8"/>
        <v>0.9765625</v>
      </c>
      <c r="Y11" s="2">
        <f t="shared" si="1"/>
        <v>-6.7463637258533549E-3</v>
      </c>
      <c r="Z11" s="2">
        <f t="shared" si="3"/>
        <v>0.97265625</v>
      </c>
      <c r="AA11" s="2">
        <f t="shared" si="2"/>
        <v>-2.7662747323804471E-3</v>
      </c>
      <c r="AB11" s="2">
        <f t="shared" si="4"/>
        <v>-3.3593729383027997E-6</v>
      </c>
      <c r="AC11" s="2">
        <f t="shared" si="5"/>
        <v>1.8662295510276146E-5</v>
      </c>
      <c r="AD11" s="2">
        <f t="shared" si="6"/>
        <v>7.8125E-3</v>
      </c>
      <c r="AF11" s="2">
        <v>7</v>
      </c>
      <c r="AG11" s="2">
        <f t="shared" si="13"/>
        <v>1390.625</v>
      </c>
      <c r="AH11" s="2">
        <v>-42.569180156204311</v>
      </c>
      <c r="AI11" s="2">
        <f t="shared" si="14"/>
        <v>1539.0625</v>
      </c>
      <c r="AJ11" s="2">
        <v>49.032162868685646</v>
      </c>
      <c r="AK11" s="2">
        <f t="shared" si="9"/>
        <v>1464.84375</v>
      </c>
      <c r="AL11" s="2">
        <v>3.374508297477405</v>
      </c>
      <c r="AM11" s="2">
        <f t="shared" si="10"/>
        <v>-143.65005165392193</v>
      </c>
      <c r="AN11" s="2">
        <f t="shared" si="11"/>
        <v>165.45944044364325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0.21026063362806793</v>
      </c>
      <c r="U12" s="2">
        <v>8</v>
      </c>
      <c r="V12" s="2">
        <f t="shared" si="7"/>
        <v>0.96875</v>
      </c>
      <c r="W12" s="2">
        <f t="shared" si="0"/>
        <v>1.2144032185161802E-3</v>
      </c>
      <c r="X12" s="2">
        <f t="shared" si="8"/>
        <v>0.97265625</v>
      </c>
      <c r="Y12" s="2">
        <f t="shared" si="1"/>
        <v>-2.7662747323804471E-3</v>
      </c>
      <c r="Z12" s="2">
        <f t="shared" si="3"/>
        <v>0.970703125</v>
      </c>
      <c r="AA12" s="2">
        <f t="shared" si="2"/>
        <v>-7.760098145064287E-4</v>
      </c>
      <c r="AB12" s="2">
        <f t="shared" si="4"/>
        <v>-9.4238881633675092E-7</v>
      </c>
      <c r="AC12" s="2">
        <f t="shared" si="5"/>
        <v>2.1466563419483716E-6</v>
      </c>
      <c r="AD12" s="2">
        <f t="shared" si="6"/>
        <v>3.90625E-3</v>
      </c>
      <c r="AF12" s="2">
        <v>8</v>
      </c>
      <c r="AG12" s="2">
        <f t="shared" si="13"/>
        <v>1390.625</v>
      </c>
      <c r="AH12" s="2">
        <v>-42.569180156204311</v>
      </c>
      <c r="AI12" s="2">
        <f t="shared" si="14"/>
        <v>1464.84375</v>
      </c>
      <c r="AJ12" s="2">
        <v>3.374508297477405</v>
      </c>
      <c r="AK12" s="2">
        <f t="shared" si="9"/>
        <v>1427.734375</v>
      </c>
      <c r="AL12" s="2">
        <v>-19.561890822238865</v>
      </c>
      <c r="AM12" s="2">
        <f t="shared" si="10"/>
        <v>832.73365460788591</v>
      </c>
      <c r="AN12" s="2">
        <f t="shared" si="11"/>
        <v>-66.011762893992142</v>
      </c>
      <c r="AO12" s="2">
        <f t="shared" si="12"/>
        <v>74.21875</v>
      </c>
    </row>
    <row r="13" spans="2:41" x14ac:dyDescent="0.2">
      <c r="B13" s="6" t="s">
        <v>136</v>
      </c>
      <c r="C13" s="16">
        <v>5.1573690247195501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2.1297105336964949E-2</v>
      </c>
      <c r="U13" s="2">
        <v>9</v>
      </c>
      <c r="V13" s="2">
        <f t="shared" si="7"/>
        <v>0.96875</v>
      </c>
      <c r="W13" s="2">
        <f t="shared" si="0"/>
        <v>1.2144032185161802E-3</v>
      </c>
      <c r="X13" s="2">
        <f t="shared" si="8"/>
        <v>0.970703125</v>
      </c>
      <c r="Y13" s="2">
        <f t="shared" si="1"/>
        <v>-7.760098145064287E-4</v>
      </c>
      <c r="Z13" s="2">
        <f t="shared" si="3"/>
        <v>0.9697265625</v>
      </c>
      <c r="AA13" s="2">
        <f t="shared" si="2"/>
        <v>2.1917813249550111E-4</v>
      </c>
      <c r="AB13" s="2">
        <f t="shared" si="4"/>
        <v>2.6617062953090232E-7</v>
      </c>
      <c r="AC13" s="2">
        <f t="shared" si="5"/>
        <v>-1.7008438194169926E-7</v>
      </c>
      <c r="AD13" s="2">
        <f t="shared" si="6"/>
        <v>1.953125E-3</v>
      </c>
      <c r="AF13" s="2">
        <v>9</v>
      </c>
      <c r="AG13" s="2">
        <f t="shared" si="13"/>
        <v>1427.734375</v>
      </c>
      <c r="AH13" s="2">
        <v>-19.561890822238865</v>
      </c>
      <c r="AI13" s="2">
        <f t="shared" si="14"/>
        <v>1464.84375</v>
      </c>
      <c r="AJ13" s="2">
        <v>3.374508297477405</v>
      </c>
      <c r="AK13" s="2">
        <f t="shared" si="9"/>
        <v>1446.2890625</v>
      </c>
      <c r="AL13" s="2">
        <v>-8.0847888098323892</v>
      </c>
      <c r="AM13" s="2">
        <f t="shared" si="10"/>
        <v>158.1537560187997</v>
      </c>
      <c r="AN13" s="2">
        <f t="shared" si="11"/>
        <v>-27.282186922131871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70.220877822712367</v>
      </c>
      <c r="H14" s="6" t="s">
        <v>10</v>
      </c>
      <c r="J14" s="9" t="s">
        <v>75</v>
      </c>
      <c r="K14" s="17">
        <f>C5</f>
        <v>1459.38195513249</v>
      </c>
      <c r="L14" s="6" t="s">
        <v>7</v>
      </c>
      <c r="N14" s="6" t="s">
        <v>40</v>
      </c>
      <c r="O14" s="6">
        <f xml:space="preserve"> O5 * O13 * $C$12</f>
        <v>1448.7124526865159</v>
      </c>
      <c r="P14" s="6" t="s">
        <v>21</v>
      </c>
      <c r="U14" s="2">
        <v>10</v>
      </c>
      <c r="V14" s="2">
        <f t="shared" si="7"/>
        <v>0.9697265625</v>
      </c>
      <c r="W14" s="2">
        <f t="shared" si="0"/>
        <v>2.1917813249550111E-4</v>
      </c>
      <c r="X14" s="2">
        <f t="shared" si="8"/>
        <v>0.970703125</v>
      </c>
      <c r="Y14" s="2">
        <f t="shared" si="1"/>
        <v>-7.760098145064287E-4</v>
      </c>
      <c r="Z14" s="2">
        <f t="shared" si="3"/>
        <v>0.97021484375</v>
      </c>
      <c r="AA14" s="2">
        <f t="shared" si="2"/>
        <v>-2.784204764763043E-4</v>
      </c>
      <c r="AB14" s="2">
        <f t="shared" si="4"/>
        <v>-6.1023680082583974E-8</v>
      </c>
      <c r="AC14" s="2">
        <f t="shared" si="5"/>
        <v>2.1605702230516838E-7</v>
      </c>
      <c r="AD14" s="2">
        <f t="shared" si="6"/>
        <v>9.765625E-4</v>
      </c>
      <c r="AF14" s="2">
        <v>10</v>
      </c>
      <c r="AG14" s="2">
        <f t="shared" si="13"/>
        <v>1446.2890625</v>
      </c>
      <c r="AH14" s="2">
        <v>-8.0847888098323892</v>
      </c>
      <c r="AI14" s="2">
        <f t="shared" si="14"/>
        <v>1464.84375</v>
      </c>
      <c r="AJ14" s="2">
        <v>3.374508297477405</v>
      </c>
      <c r="AK14" s="2">
        <f t="shared" si="9"/>
        <v>1455.56640625</v>
      </c>
      <c r="AL14" s="2">
        <v>-2.3529098049040158</v>
      </c>
      <c r="AM14" s="2">
        <f t="shared" si="10"/>
        <v>19.022778861232897</v>
      </c>
      <c r="AN14" s="2">
        <f t="shared" si="11"/>
        <v>-7.9399136598645432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0.21104985583105898</v>
      </c>
      <c r="H15" s="6" t="s">
        <v>120</v>
      </c>
      <c r="J15" s="10" t="s">
        <v>53</v>
      </c>
      <c r="K15" s="6">
        <f xml:space="preserve"> 1000 * K10 / ($C$60 * $C$61 * $C$62)</f>
        <v>194.05126832975222</v>
      </c>
      <c r="L15" s="6" t="s">
        <v>7</v>
      </c>
      <c r="N15" s="6" t="s">
        <v>140</v>
      </c>
      <c r="O15" s="6">
        <f>O4/O14</f>
        <v>9.8727329513238065</v>
      </c>
      <c r="U15" s="2">
        <v>11</v>
      </c>
      <c r="V15" s="2">
        <f t="shared" si="7"/>
        <v>0.9697265625</v>
      </c>
      <c r="W15" s="2">
        <f t="shared" si="0"/>
        <v>2.1917813249550111E-4</v>
      </c>
      <c r="X15" s="2">
        <f t="shared" si="8"/>
        <v>0.97021484375</v>
      </c>
      <c r="Y15" s="2">
        <f t="shared" si="1"/>
        <v>-2.784204764763043E-4</v>
      </c>
      <c r="Z15" s="2">
        <f t="shared" si="3"/>
        <v>0.969970703125</v>
      </c>
      <c r="AA15" s="2">
        <f t="shared" si="2"/>
        <v>-2.9622331720324802E-5</v>
      </c>
      <c r="AB15" s="2">
        <f t="shared" si="4"/>
        <v>-6.4925673466230344E-9</v>
      </c>
      <c r="AC15" s="2">
        <f t="shared" si="5"/>
        <v>8.2474637119119748E-9</v>
      </c>
      <c r="AD15" s="2">
        <f t="shared" si="6"/>
        <v>4.8828125E-4</v>
      </c>
      <c r="AF15" s="2">
        <v>11</v>
      </c>
      <c r="AG15" s="2">
        <f t="shared" si="13"/>
        <v>1455.56640625</v>
      </c>
      <c r="AH15" s="2">
        <v>-2.3529098049040158</v>
      </c>
      <c r="AI15" s="2">
        <f t="shared" si="14"/>
        <v>1464.84375</v>
      </c>
      <c r="AJ15" s="2">
        <v>3.374508297477405</v>
      </c>
      <c r="AK15" s="2">
        <f t="shared" si="9"/>
        <v>1460.205078125</v>
      </c>
      <c r="AL15" s="2">
        <v>0.51135756662870335</v>
      </c>
      <c r="AM15" s="2">
        <f t="shared" si="10"/>
        <v>-1.2031782323325346</v>
      </c>
      <c r="AN15" s="2">
        <f t="shared" si="11"/>
        <v>1.7255803515664145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1448.7124526865159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105.84352192522525</v>
      </c>
      <c r="L16" s="6" t="s">
        <v>7</v>
      </c>
      <c r="N16" s="6" t="s">
        <v>111</v>
      </c>
      <c r="O16" s="6">
        <f>(O13*$C$12)/(0.3048^2)/($C$5*2.20462/1000)^(2/3)</f>
        <v>3.155562344958545</v>
      </c>
      <c r="U16" s="2">
        <v>12</v>
      </c>
      <c r="V16" s="2">
        <f t="shared" si="7"/>
        <v>0.9697265625</v>
      </c>
      <c r="W16" s="2">
        <f t="shared" si="0"/>
        <v>2.1917813249550111E-4</v>
      </c>
      <c r="X16" s="2">
        <f t="shared" si="8"/>
        <v>0.969970703125</v>
      </c>
      <c r="Y16" s="2">
        <f t="shared" si="1"/>
        <v>-2.9622331720324802E-5</v>
      </c>
      <c r="Z16" s="2">
        <f t="shared" si="3"/>
        <v>0.9698486328125</v>
      </c>
      <c r="AA16" s="2">
        <f t="shared" si="2"/>
        <v>9.4777610347152041E-5</v>
      </c>
      <c r="AB16" s="2">
        <f t="shared" si="4"/>
        <v>2.0773179638275068E-8</v>
      </c>
      <c r="AC16" s="2">
        <f t="shared" si="5"/>
        <v>-2.807533813363026E-9</v>
      </c>
      <c r="AD16" s="2">
        <f t="shared" si="6"/>
        <v>2.44140625E-4</v>
      </c>
      <c r="AF16" s="2">
        <v>12</v>
      </c>
      <c r="AG16" s="2">
        <f t="shared" si="13"/>
        <v>1455.56640625</v>
      </c>
      <c r="AH16" s="2">
        <v>-2.3529098049040158</v>
      </c>
      <c r="AI16" s="2">
        <f t="shared" si="14"/>
        <v>1460.205078125</v>
      </c>
      <c r="AJ16" s="2">
        <v>0.51135756662870335</v>
      </c>
      <c r="AK16" s="2">
        <f t="shared" si="9"/>
        <v>1457.8857421875</v>
      </c>
      <c r="AL16" s="2">
        <v>-0.92063674711016574</v>
      </c>
      <c r="AM16" s="2">
        <f t="shared" si="10"/>
        <v>2.1661752290304479</v>
      </c>
      <c r="AN16" s="2">
        <f t="shared" si="11"/>
        <v>-0.47077456675121931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101.72197414184932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0.9698486328125</v>
      </c>
      <c r="W17" s="2">
        <f t="shared" si="0"/>
        <v>9.4777610347152041E-5</v>
      </c>
      <c r="X17" s="2">
        <f t="shared" si="8"/>
        <v>0.969970703125</v>
      </c>
      <c r="Y17" s="2">
        <f t="shared" si="1"/>
        <v>-2.9622331720324802E-5</v>
      </c>
      <c r="Z17" s="2">
        <f t="shared" si="3"/>
        <v>0.96990966796875</v>
      </c>
      <c r="AA17" s="2">
        <f t="shared" si="2"/>
        <v>3.2577566816849313E-5</v>
      </c>
      <c r="AB17" s="2">
        <f t="shared" si="4"/>
        <v>3.0876239338256546E-9</v>
      </c>
      <c r="AC17" s="2">
        <f t="shared" si="5"/>
        <v>-9.6502349088975608E-10</v>
      </c>
      <c r="AD17" s="2">
        <f t="shared" si="6"/>
        <v>1.220703125E-4</v>
      </c>
      <c r="AF17" s="2">
        <v>13</v>
      </c>
      <c r="AG17" s="2">
        <f t="shared" si="13"/>
        <v>1457.8857421875</v>
      </c>
      <c r="AH17" s="2">
        <v>-0.92063674711016574</v>
      </c>
      <c r="AI17" s="2">
        <f t="shared" si="14"/>
        <v>1460.205078125</v>
      </c>
      <c r="AJ17" s="2">
        <v>0.51135756662870335</v>
      </c>
      <c r="AK17" s="2">
        <f t="shared" si="9"/>
        <v>1459.04541015625</v>
      </c>
      <c r="AL17" s="2">
        <v>-0.20460465775306602</v>
      </c>
      <c r="AM17" s="2">
        <f t="shared" si="10"/>
        <v>0.18836656655737147</v>
      </c>
      <c r="AN17" s="2">
        <f t="shared" si="11"/>
        <v>-0.1046261399095065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1.4531712668229453</v>
      </c>
      <c r="H18" s="6" t="s">
        <v>172</v>
      </c>
      <c r="J18" s="12" t="s">
        <v>54</v>
      </c>
      <c r="K18" s="6">
        <f xml:space="preserve"> $C$78 * (0.2138 * K4 + 0.2138 * K6)</f>
        <v>81.524098803697257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0.96990966796875</v>
      </c>
      <c r="W18" s="2">
        <f t="shared" si="0"/>
        <v>3.2577566816849313E-5</v>
      </c>
      <c r="X18" s="2">
        <f t="shared" si="8"/>
        <v>0.969970703125</v>
      </c>
      <c r="Y18" s="2">
        <f t="shared" si="1"/>
        <v>-2.9622331720324802E-5</v>
      </c>
      <c r="Z18" s="2">
        <f t="shared" si="3"/>
        <v>0.969940185546875</v>
      </c>
      <c r="AA18" s="2">
        <f t="shared" si="2"/>
        <v>1.4775994258142688E-6</v>
      </c>
      <c r="AB18" s="2">
        <f t="shared" si="4"/>
        <v>4.8136594023002522E-11</v>
      </c>
      <c r="AC18" s="2">
        <f t="shared" si="5"/>
        <v>-4.3769940341231731E-11</v>
      </c>
      <c r="AD18" s="2">
        <f t="shared" si="6"/>
        <v>6.103515625E-5</v>
      </c>
      <c r="AF18" s="2">
        <v>14</v>
      </c>
      <c r="AG18" s="2">
        <f t="shared" si="13"/>
        <v>1459.04541015625</v>
      </c>
      <c r="AH18" s="2">
        <v>-0.20460465775306602</v>
      </c>
      <c r="AI18" s="2">
        <f t="shared" si="14"/>
        <v>1460.205078125</v>
      </c>
      <c r="AJ18" s="2">
        <v>0.51135756662870335</v>
      </c>
      <c r="AK18" s="2">
        <f t="shared" si="9"/>
        <v>1459.625244140625</v>
      </c>
      <c r="AL18" s="2">
        <v>0.15338518872931672</v>
      </c>
      <c r="AM18" s="2">
        <f t="shared" si="10"/>
        <v>-3.1383324044351291E-2</v>
      </c>
      <c r="AN18" s="2">
        <f t="shared" si="11"/>
        <v>7.8434676865507813E-2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4.2710866767388445E-2</v>
      </c>
      <c r="J19" s="12" t="s">
        <v>73</v>
      </c>
      <c r="K19" s="6">
        <f xml:space="preserve"> $C$78 * (0.1149 * K4 + 0.1149 * K6)</f>
        <v>43.812530180284455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0.969940185546875</v>
      </c>
      <c r="W19" s="2">
        <f t="shared" si="0"/>
        <v>1.4775994258142688E-6</v>
      </c>
      <c r="X19" s="2">
        <f t="shared" si="8"/>
        <v>0.969970703125</v>
      </c>
      <c r="Y19" s="2">
        <f t="shared" si="1"/>
        <v>-2.9622331720324802E-5</v>
      </c>
      <c r="Z19" s="2">
        <f t="shared" si="3"/>
        <v>0.9699554443359375</v>
      </c>
      <c r="AA19" s="2">
        <f t="shared" si="2"/>
        <v>-1.4072370677742363E-5</v>
      </c>
      <c r="AB19" s="2">
        <f t="shared" si="4"/>
        <v>-2.0793326833277668E-11</v>
      </c>
      <c r="AC19" s="2">
        <f t="shared" si="5"/>
        <v>4.1685643230745621E-10</v>
      </c>
      <c r="AD19" s="2">
        <f t="shared" si="6"/>
        <v>3.0517578125E-5</v>
      </c>
      <c r="AF19" s="2">
        <v>15</v>
      </c>
      <c r="AG19" s="2">
        <f t="shared" si="13"/>
        <v>1459.04541015625</v>
      </c>
      <c r="AH19" s="2">
        <v>-0.20460465775306602</v>
      </c>
      <c r="AI19" s="2">
        <f t="shared" si="14"/>
        <v>1459.625244140625</v>
      </c>
      <c r="AJ19" s="2">
        <v>0.15338518872931672</v>
      </c>
      <c r="AK19" s="2">
        <f t="shared" si="9"/>
        <v>1459.3353271484375</v>
      </c>
      <c r="AL19" s="2">
        <v>-2.5607684684700871E-2</v>
      </c>
      <c r="AM19" s="2">
        <f t="shared" si="10"/>
        <v>5.2394515607616524E-3</v>
      </c>
      <c r="AN19" s="2">
        <f t="shared" si="11"/>
        <v>-3.927839548283677E-3</v>
      </c>
      <c r="AO19" s="2">
        <f t="shared" si="12"/>
        <v>0.579833984375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101.72197414184932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202.57500699766038</v>
      </c>
      <c r="L20" s="6" t="s">
        <v>7</v>
      </c>
      <c r="N20" s="6" t="s">
        <v>20</v>
      </c>
      <c r="O20" s="6">
        <f xml:space="preserve"> O14 / $C$28</f>
        <v>1448.7124526865159</v>
      </c>
      <c r="P20" s="6" t="s">
        <v>21</v>
      </c>
      <c r="U20" s="2">
        <v>16</v>
      </c>
      <c r="V20" s="2">
        <f t="shared" si="7"/>
        <v>0.969940185546875</v>
      </c>
      <c r="W20" s="2">
        <f t="shared" si="0"/>
        <v>1.4775994258142688E-6</v>
      </c>
      <c r="X20" s="2">
        <f t="shared" si="8"/>
        <v>0.9699554443359375</v>
      </c>
      <c r="Y20" s="2">
        <f t="shared" si="1"/>
        <v>-1.4072370677742363E-5</v>
      </c>
      <c r="Z20" s="2">
        <f t="shared" si="3"/>
        <v>0.96994781494140625</v>
      </c>
      <c r="AA20" s="2">
        <f t="shared" si="2"/>
        <v>-6.2973867586135768E-6</v>
      </c>
      <c r="AB20" s="2">
        <f t="shared" si="4"/>
        <v>-9.3050150586578E-12</v>
      </c>
      <c r="AC20" s="2">
        <f t="shared" si="5"/>
        <v>8.8619160768316727E-11</v>
      </c>
      <c r="AD20" s="2">
        <f t="shared" si="6"/>
        <v>1.52587890625E-5</v>
      </c>
      <c r="AF20" s="2">
        <v>16</v>
      </c>
      <c r="AG20" s="2">
        <f t="shared" si="13"/>
        <v>1459.3353271484375</v>
      </c>
      <c r="AH20" s="2">
        <v>-2.5607684684700871E-2</v>
      </c>
      <c r="AI20" s="2">
        <f t="shared" si="14"/>
        <v>1459.625244140625</v>
      </c>
      <c r="AJ20" s="2">
        <v>0.15338518872931672</v>
      </c>
      <c r="AK20" s="2">
        <f t="shared" si="9"/>
        <v>1459.4802856445312</v>
      </c>
      <c r="AL20" s="2">
        <v>6.388929121487763E-2</v>
      </c>
      <c r="AM20" s="2">
        <f t="shared" si="10"/>
        <v>-1.6360568241596159E-3</v>
      </c>
      <c r="AN20" s="2">
        <f t="shared" si="11"/>
        <v>9.7996709907762821E-3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37.943930833444746</v>
      </c>
      <c r="L21" s="6" t="s">
        <v>7</v>
      </c>
      <c r="N21" s="6" t="s">
        <v>27</v>
      </c>
      <c r="O21" s="6">
        <f>$C$6*2*PI()/60</f>
        <v>43.937785702800667</v>
      </c>
      <c r="P21" s="6" t="s">
        <v>28</v>
      </c>
      <c r="U21" s="2">
        <v>17</v>
      </c>
      <c r="V21" s="2">
        <f t="shared" si="7"/>
        <v>0.969940185546875</v>
      </c>
      <c r="W21" s="2">
        <f t="shared" si="0"/>
        <v>1.4775994258142688E-6</v>
      </c>
      <c r="X21" s="2">
        <f t="shared" si="8"/>
        <v>0.96994781494140625</v>
      </c>
      <c r="Y21" s="2">
        <f t="shared" si="1"/>
        <v>-6.2973867586135768E-6</v>
      </c>
      <c r="Z21" s="2">
        <f t="shared" si="3"/>
        <v>0.96994400024414062</v>
      </c>
      <c r="AA21" s="2">
        <f t="shared" si="2"/>
        <v>-2.4098939496175475E-6</v>
      </c>
      <c r="AB21" s="2">
        <f t="shared" si="4"/>
        <v>-3.5608579162281687E-12</v>
      </c>
      <c r="AC21" s="2">
        <f t="shared" si="5"/>
        <v>1.5176034247984519E-11</v>
      </c>
      <c r="AD21" s="2">
        <f t="shared" si="6"/>
        <v>7.62939453125E-6</v>
      </c>
      <c r="AF21" s="2">
        <v>17</v>
      </c>
      <c r="AG21" s="2">
        <f t="shared" si="13"/>
        <v>1459.3353271484375</v>
      </c>
      <c r="AH21" s="2">
        <v>-2.5607684684700871E-2</v>
      </c>
      <c r="AI21" s="2">
        <f t="shared" si="14"/>
        <v>1459.4802856445312</v>
      </c>
      <c r="AJ21" s="2">
        <v>6.388929121487763E-2</v>
      </c>
      <c r="AK21" s="2">
        <f t="shared" si="9"/>
        <v>1459.4078063964844</v>
      </c>
      <c r="AL21" s="2">
        <v>1.9140938061241286E-2</v>
      </c>
      <c r="AM21" s="2">
        <f t="shared" si="10"/>
        <v>-4.9015510644165642E-4</v>
      </c>
      <c r="AN21" s="2">
        <f t="shared" si="11"/>
        <v>1.2229009659205797E-3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 xml:space="preserve"> $C$79 * (0.04674 * ($C$5*2.20462)^0.397 * ($C$12*3.28084^2)^0.36 * $C$46^0.397 * $C$13^1.712 * 0.453592)</f>
        <v>85.958687813019878</v>
      </c>
      <c r="L22" s="6" t="s">
        <v>7</v>
      </c>
      <c r="N22" s="6" t="s">
        <v>29</v>
      </c>
      <c r="O22" s="6">
        <f xml:space="preserve"> $C$7 * COS(O19/180*PI()) / (O21 * $C$10)</f>
        <v>8.3227605049914125E-2</v>
      </c>
      <c r="U22" s="2">
        <v>18</v>
      </c>
      <c r="V22" s="2">
        <f t="shared" si="7"/>
        <v>0.969940185546875</v>
      </c>
      <c r="W22" s="2">
        <f t="shared" si="0"/>
        <v>1.4775994258142688E-6</v>
      </c>
      <c r="X22" s="2">
        <f t="shared" si="8"/>
        <v>0.96994400024414062</v>
      </c>
      <c r="Y22" s="2">
        <f t="shared" si="1"/>
        <v>-2.4098939496175475E-6</v>
      </c>
      <c r="Z22" s="2">
        <f t="shared" si="3"/>
        <v>0.96994209289550781</v>
      </c>
      <c r="AA22" s="2">
        <f t="shared" si="2"/>
        <v>-4.6614733273386832E-7</v>
      </c>
      <c r="AB22" s="2">
        <f t="shared" si="4"/>
        <v>-6.887790311924168E-13</v>
      </c>
      <c r="AC22" s="2">
        <f t="shared" si="5"/>
        <v>1.1233656367857071E-12</v>
      </c>
      <c r="AD22" s="2">
        <f t="shared" si="6"/>
        <v>3.814697265625E-6</v>
      </c>
      <c r="AF22" s="2">
        <v>18</v>
      </c>
      <c r="AG22" s="2">
        <f t="shared" si="13"/>
        <v>1459.3353271484375</v>
      </c>
      <c r="AH22" s="2">
        <v>-2.5607684684700871E-2</v>
      </c>
      <c r="AI22" s="2">
        <f t="shared" si="14"/>
        <v>1459.4078063964844</v>
      </c>
      <c r="AJ22" s="2">
        <v>1.9140938061241286E-2</v>
      </c>
      <c r="AK22" s="2">
        <f t="shared" si="9"/>
        <v>1459.3715667724609</v>
      </c>
      <c r="AL22" s="2">
        <v>-3.2332327324411381E-3</v>
      </c>
      <c r="AM22" s="2">
        <f t="shared" si="10"/>
        <v>8.279560432460648E-5</v>
      </c>
      <c r="AN22" s="2">
        <f t="shared" si="11"/>
        <v>-6.1887107469233747E-5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17.247701914783683</v>
      </c>
      <c r="L23" s="6" t="s">
        <v>7</v>
      </c>
      <c r="N23" s="6" t="s">
        <v>30</v>
      </c>
      <c r="O23" s="6">
        <f xml:space="preserve"> O20 / ( $C$71 * PI() * $C$10^2 * O21^2 * $C$10^2)</f>
        <v>3.6303505929909559E-2</v>
      </c>
      <c r="U23" s="2">
        <v>19</v>
      </c>
      <c r="V23" s="2">
        <f t="shared" si="7"/>
        <v>0.969940185546875</v>
      </c>
      <c r="W23" s="2">
        <f t="shared" si="0"/>
        <v>1.4775994258142688E-6</v>
      </c>
      <c r="X23" s="2">
        <f t="shared" si="8"/>
        <v>0.96994209289550781</v>
      </c>
      <c r="Y23" s="2">
        <f t="shared" si="1"/>
        <v>-4.6614733273386832E-7</v>
      </c>
      <c r="Z23" s="2">
        <f t="shared" si="3"/>
        <v>0.96994113922119141</v>
      </c>
      <c r="AA23" s="2">
        <f t="shared" si="2"/>
        <v>5.0572602883214302E-7</v>
      </c>
      <c r="AB23" s="2">
        <f t="shared" si="4"/>
        <v>7.472604898217049E-13</v>
      </c>
      <c r="AC23" s="2">
        <f t="shared" si="5"/>
        <v>-2.3574283943419484E-13</v>
      </c>
      <c r="AD23" s="2">
        <f t="shared" si="6"/>
        <v>1.9073486328125E-6</v>
      </c>
      <c r="AF23" s="2">
        <v>19</v>
      </c>
      <c r="AG23" s="2">
        <f t="shared" si="13"/>
        <v>1459.3715667724609</v>
      </c>
      <c r="AH23" s="2">
        <v>-3.2332327324411381E-3</v>
      </c>
      <c r="AI23" s="2">
        <f t="shared" si="14"/>
        <v>1459.4078063964844</v>
      </c>
      <c r="AJ23" s="2">
        <v>-3.2332327324411381E-3</v>
      </c>
      <c r="AK23" s="2">
        <f t="shared" si="9"/>
        <v>1459.3896865844727</v>
      </c>
      <c r="AL23" s="2">
        <v>-1.4420557164157799E-2</v>
      </c>
      <c r="AM23" s="2">
        <f t="shared" si="10"/>
        <v>4.6625017443193552E-5</v>
      </c>
      <c r="AN23" s="2">
        <f t="shared" si="11"/>
        <v>4.6625017443193552E-5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6.8649780578782966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0.96994113922119141</v>
      </c>
      <c r="W24" s="2">
        <f t="shared" si="0"/>
        <v>5.0572602883214302E-7</v>
      </c>
      <c r="X24" s="2">
        <f t="shared" si="8"/>
        <v>0.96994209289550781</v>
      </c>
      <c r="Y24" s="2">
        <f t="shared" si="1"/>
        <v>-4.6614733273386832E-7</v>
      </c>
      <c r="Z24" s="2">
        <f t="shared" si="3"/>
        <v>0.96994161605834961</v>
      </c>
      <c r="AA24" s="2">
        <f t="shared" si="2"/>
        <v>1.9789343608245247E-8</v>
      </c>
      <c r="AB24" s="2">
        <f t="shared" si="4"/>
        <v>1.0007986156192621E-14</v>
      </c>
      <c r="AC24" s="2">
        <f t="shared" si="5"/>
        <v>-9.2247497395375468E-15</v>
      </c>
      <c r="AD24" s="2">
        <f t="shared" si="6"/>
        <v>9.5367431640625E-7</v>
      </c>
      <c r="AF24" s="2">
        <v>20</v>
      </c>
      <c r="AG24" s="2">
        <f t="shared" si="13"/>
        <v>1459.3896865844727</v>
      </c>
      <c r="AH24" s="2">
        <v>7.9538610892768702E-3</v>
      </c>
      <c r="AI24" s="2">
        <f t="shared" si="14"/>
        <v>1459.3896865844727</v>
      </c>
      <c r="AJ24" s="2">
        <v>-3.2332327324411381E-3</v>
      </c>
      <c r="AK24" s="2">
        <f t="shared" si="9"/>
        <v>1459.3896865844727</v>
      </c>
      <c r="AL24" s="2">
        <v>-1.4420557164157799E-2</v>
      </c>
      <c r="AM24" s="2">
        <f t="shared" si="10"/>
        <v>-1.1469910851368753E-4</v>
      </c>
      <c r="AN24" s="2">
        <f t="shared" si="11"/>
        <v>4.6625017443193552E-5</v>
      </c>
      <c r="AO24" s="2">
        <f t="shared" si="12"/>
        <v>0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14.717914595827633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2735.1304930439933</v>
      </c>
      <c r="P25" s="6" t="s">
        <v>19</v>
      </c>
      <c r="U25" s="2">
        <v>21</v>
      </c>
      <c r="V25" s="2">
        <f t="shared" si="7"/>
        <v>0.96994161605834961</v>
      </c>
      <c r="W25" s="2">
        <f t="shared" si="0"/>
        <v>1.9789343608245247E-8</v>
      </c>
      <c r="X25" s="2">
        <f t="shared" si="8"/>
        <v>0.96994209289550781</v>
      </c>
      <c r="Y25" s="2">
        <f t="shared" si="1"/>
        <v>-4.6614733273386832E-7</v>
      </c>
      <c r="Z25" s="2">
        <f t="shared" si="3"/>
        <v>0.96994185447692871</v>
      </c>
      <c r="AA25" s="2">
        <f t="shared" si="2"/>
        <v>-2.2317899561752341E-7</v>
      </c>
      <c r="AB25" s="2">
        <f t="shared" si="4"/>
        <v>-4.416565830418231E-15</v>
      </c>
      <c r="AC25" s="2">
        <f t="shared" si="5"/>
        <v>1.0403429352933222E-13</v>
      </c>
      <c r="AD25" s="2">
        <f t="shared" si="6"/>
        <v>4.76837158203125E-7</v>
      </c>
      <c r="AF25" s="2">
        <v>21</v>
      </c>
      <c r="AG25" s="2">
        <f t="shared" si="13"/>
        <v>1459.3896865844727</v>
      </c>
      <c r="AH25" s="2">
        <v>7.9538610892768702E-3</v>
      </c>
      <c r="AI25" s="2">
        <f t="shared" si="14"/>
        <v>1459.3896865844727</v>
      </c>
      <c r="AJ25" s="2">
        <v>-3.2332327324411381E-3</v>
      </c>
      <c r="AK25" s="2">
        <f t="shared" si="9"/>
        <v>1459.3896865844727</v>
      </c>
      <c r="AL25" s="2">
        <v>-1.4420557164157799E-2</v>
      </c>
      <c r="AM25" s="2">
        <f t="shared" si="10"/>
        <v>-1.1469910851368753E-4</v>
      </c>
      <c r="AN25" s="2">
        <f t="shared" si="11"/>
        <v>4.6625017443193552E-5</v>
      </c>
      <c r="AO25" s="2">
        <f t="shared" si="12"/>
        <v>0</v>
      </c>
    </row>
    <row r="26" spans="2:41" x14ac:dyDescent="0.2">
      <c r="F26" s="6" t="s">
        <v>20</v>
      </c>
      <c r="G26" s="6">
        <f xml:space="preserve"> $C$5 * $C$68 / $C$21</f>
        <v>1788.0149224474956</v>
      </c>
      <c r="H26" s="6" t="s">
        <v>21</v>
      </c>
      <c r="J26" s="14" t="s">
        <v>65</v>
      </c>
      <c r="K26" s="6">
        <f xml:space="preserve"> $C$80 * (0.0268 * $C$5)</f>
        <v>31.289149118040587</v>
      </c>
      <c r="L26" s="6" t="s">
        <v>7</v>
      </c>
      <c r="N26" s="6" t="s">
        <v>32</v>
      </c>
      <c r="O26" s="17">
        <f>Z34</f>
        <v>0.96994163515046239</v>
      </c>
      <c r="U26" s="2">
        <v>22</v>
      </c>
      <c r="V26" s="2">
        <f t="shared" si="7"/>
        <v>0.96994161605834961</v>
      </c>
      <c r="W26" s="2">
        <f t="shared" si="0"/>
        <v>1.9789343608245247E-8</v>
      </c>
      <c r="X26" s="2">
        <f t="shared" si="8"/>
        <v>0.96994185447692871</v>
      </c>
      <c r="Y26" s="2">
        <f t="shared" si="1"/>
        <v>-2.2317899561752341E-7</v>
      </c>
      <c r="Z26" s="2">
        <f t="shared" si="3"/>
        <v>0.96994173526763916</v>
      </c>
      <c r="AA26" s="2">
        <f t="shared" si="2"/>
        <v>-1.0169482622668369E-7</v>
      </c>
      <c r="AB26" s="2">
        <f t="shared" si="4"/>
        <v>-2.012473859380634E-15</v>
      </c>
      <c r="AC26" s="2">
        <f t="shared" si="5"/>
        <v>2.2696149176769845E-14</v>
      </c>
      <c r="AD26" s="2">
        <f t="shared" si="6"/>
        <v>2.384185791015625E-7</v>
      </c>
      <c r="AF26" s="2">
        <v>22</v>
      </c>
      <c r="AG26" s="2">
        <f t="shared" si="13"/>
        <v>1459.3896865844727</v>
      </c>
      <c r="AH26" s="2">
        <v>7.9538610892768702E-3</v>
      </c>
      <c r="AI26" s="2">
        <f t="shared" si="14"/>
        <v>1459.3896865844727</v>
      </c>
      <c r="AJ26" s="2">
        <v>-3.2332327324411381E-3</v>
      </c>
      <c r="AK26" s="2">
        <f t="shared" si="9"/>
        <v>1459.3896865844727</v>
      </c>
      <c r="AL26" s="2">
        <v>-1.4420557164157799E-2</v>
      </c>
      <c r="AM26" s="2">
        <f t="shared" si="10"/>
        <v>-1.1469910851368753E-4</v>
      </c>
      <c r="AN26" s="2">
        <f t="shared" si="11"/>
        <v>4.6625017443193552E-5</v>
      </c>
      <c r="AO26" s="2">
        <f t="shared" si="12"/>
        <v>0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23.784918026222151</v>
      </c>
      <c r="H27" t="s">
        <v>97</v>
      </c>
      <c r="J27" s="14" t="s">
        <v>66</v>
      </c>
      <c r="K27" s="6">
        <f xml:space="preserve"> $C$80 * (11.5 * ($C$5*2.20462/1000)^0.4 * 0.453592)</f>
        <v>6.6596943832764239</v>
      </c>
      <c r="L27" s="6" t="s">
        <v>7</v>
      </c>
      <c r="N27" s="6" t="s">
        <v>33</v>
      </c>
      <c r="O27" s="6">
        <f xml:space="preserve"> O21 * $C$10 * O26 - $C$7 * SIN(O19/180*PI())</f>
        <v>1.3093213818223859</v>
      </c>
      <c r="P27" s="6" t="s">
        <v>10</v>
      </c>
      <c r="U27" s="2">
        <v>23</v>
      </c>
      <c r="V27" s="2">
        <f t="shared" si="7"/>
        <v>0.96994161605834961</v>
      </c>
      <c r="W27" s="2">
        <f t="shared" si="0"/>
        <v>1.9789343608245247E-8</v>
      </c>
      <c r="X27" s="2">
        <f t="shared" si="8"/>
        <v>0.96994173526763916</v>
      </c>
      <c r="Y27" s="2">
        <f t="shared" si="1"/>
        <v>-1.0169482622668369E-7</v>
      </c>
      <c r="Z27" s="2">
        <f t="shared" si="3"/>
        <v>0.96994167566299438</v>
      </c>
      <c r="AA27" s="2">
        <f t="shared" si="2"/>
        <v>-4.0952741420241523E-8</v>
      </c>
      <c r="AB27" s="2">
        <f t="shared" si="4"/>
        <v>-8.1042787166477698E-16</v>
      </c>
      <c r="AC27" s="2">
        <f t="shared" si="5"/>
        <v>4.1646819222377729E-15</v>
      </c>
      <c r="AD27" s="2">
        <f t="shared" si="6"/>
        <v>1.1920928955078125E-7</v>
      </c>
      <c r="AF27" s="2">
        <v>23</v>
      </c>
      <c r="AG27" s="2">
        <f t="shared" si="13"/>
        <v>1459.3896865844727</v>
      </c>
      <c r="AH27" s="2">
        <v>7.9538610892768702E-3</v>
      </c>
      <c r="AI27" s="2">
        <f t="shared" si="14"/>
        <v>1459.3896865844727</v>
      </c>
      <c r="AJ27" s="2">
        <v>-3.2332327324411381E-3</v>
      </c>
      <c r="AK27" s="2">
        <f t="shared" si="9"/>
        <v>1459.3896865844727</v>
      </c>
      <c r="AL27" s="2">
        <v>-1.4420557164157799E-2</v>
      </c>
      <c r="AM27" s="2">
        <f t="shared" si="10"/>
        <v>-1.1469910851368753E-4</v>
      </c>
      <c r="AN27" s="2">
        <f t="shared" si="11"/>
        <v>4.6625017443193552E-5</v>
      </c>
      <c r="AO27" s="2">
        <f t="shared" si="12"/>
        <v>0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7.6696814422671418</v>
      </c>
      <c r="H28" s="6" t="s">
        <v>172</v>
      </c>
      <c r="J28" s="14" t="s">
        <v>67</v>
      </c>
      <c r="K28" s="6">
        <f xml:space="preserve"> $C$80 * (8 * ($C$5/1000))</f>
        <v>9.3400445128479372</v>
      </c>
      <c r="L28" s="6" t="s">
        <v>7</v>
      </c>
      <c r="N28" s="6" t="s">
        <v>34</v>
      </c>
      <c r="O28" s="6">
        <f xml:space="preserve"> 1/$C$31 - O25 * SQRT( (2*$C$71*PI()*$C$10^2) / O20^3 )</f>
        <v>1.1337747934248343</v>
      </c>
      <c r="U28" s="2">
        <v>24</v>
      </c>
      <c r="V28" s="2">
        <f t="shared" si="7"/>
        <v>0.96994161605834961</v>
      </c>
      <c r="W28" s="2">
        <f t="shared" si="0"/>
        <v>1.9789343608245247E-8</v>
      </c>
      <c r="X28" s="2">
        <f t="shared" si="8"/>
        <v>0.96994167566299438</v>
      </c>
      <c r="Y28" s="2">
        <f t="shared" si="1"/>
        <v>-4.0952741420241523E-8</v>
      </c>
      <c r="Z28" s="2">
        <f t="shared" si="3"/>
        <v>0.969941645860672</v>
      </c>
      <c r="AA28" s="2">
        <f t="shared" si="2"/>
        <v>-1.0581698850486987E-8</v>
      </c>
      <c r="AB28" s="2">
        <f t="shared" si="4"/>
        <v>-2.0940487451126073E-16</v>
      </c>
      <c r="AC28" s="2">
        <f t="shared" si="5"/>
        <v>4.3334957681086054E-16</v>
      </c>
      <c r="AD28" s="2">
        <f t="shared" si="6"/>
        <v>5.9604644775390625E-8</v>
      </c>
      <c r="AF28" s="2">
        <v>24</v>
      </c>
      <c r="AG28" s="2">
        <f t="shared" si="13"/>
        <v>1459.3896865844727</v>
      </c>
      <c r="AH28" s="2">
        <v>7.9538610892768702E-3</v>
      </c>
      <c r="AI28" s="2">
        <f t="shared" si="14"/>
        <v>1459.3896865844727</v>
      </c>
      <c r="AJ28" s="2">
        <v>-3.2332327324411381E-3</v>
      </c>
      <c r="AK28" s="2">
        <f t="shared" si="9"/>
        <v>1459.3896865844727</v>
      </c>
      <c r="AL28" s="2">
        <v>-1.4420557164157799E-2</v>
      </c>
      <c r="AM28" s="2">
        <f t="shared" si="10"/>
        <v>-1.1469910851368753E-4</v>
      </c>
      <c r="AN28" s="2">
        <f t="shared" si="11"/>
        <v>4.6625017443193552E-5</v>
      </c>
      <c r="AO28" s="2">
        <f t="shared" si="12"/>
        <v>0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190.27934420977721</v>
      </c>
      <c r="H29" s="22" t="s">
        <v>97</v>
      </c>
      <c r="J29" s="14" t="s">
        <v>68</v>
      </c>
      <c r="K29" s="6">
        <f xml:space="preserve"> $C$80 * (13 * ($C$5*2.20462/1000)^1.3 * 0.453592)</f>
        <v>21.550247140497664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0.96994161605834961</v>
      </c>
      <c r="W29" s="2">
        <f t="shared" si="0"/>
        <v>1.9789343608245247E-8</v>
      </c>
      <c r="X29" s="2">
        <f t="shared" si="8"/>
        <v>0.969941645860672</v>
      </c>
      <c r="Y29" s="2">
        <f t="shared" si="1"/>
        <v>-1.0581698850486987E-8</v>
      </c>
      <c r="Z29" s="2">
        <f t="shared" si="3"/>
        <v>0.9699416309595108</v>
      </c>
      <c r="AA29" s="2">
        <f t="shared" si="2"/>
        <v>4.6038223233679787E-9</v>
      </c>
      <c r="AB29" s="2">
        <f t="shared" si="4"/>
        <v>9.1106621868438891E-17</v>
      </c>
      <c r="AC29" s="2">
        <f t="shared" si="5"/>
        <v>-4.8716261387029269E-17</v>
      </c>
      <c r="AD29" s="2">
        <f t="shared" si="6"/>
        <v>2.9802322387695312E-8</v>
      </c>
      <c r="AF29" s="2">
        <v>25</v>
      </c>
      <c r="AG29" s="2">
        <f t="shared" si="13"/>
        <v>1459.3896865844727</v>
      </c>
      <c r="AH29" s="2">
        <v>7.9538610892768702E-3</v>
      </c>
      <c r="AI29" s="2">
        <f t="shared" si="14"/>
        <v>1459.3896865844727</v>
      </c>
      <c r="AJ29" s="2">
        <v>-3.2332327324411381E-3</v>
      </c>
      <c r="AK29" s="2">
        <f t="shared" si="9"/>
        <v>1459.3896865844727</v>
      </c>
      <c r="AL29" s="2">
        <v>-1.4420557164157799E-2</v>
      </c>
      <c r="AM29" s="2">
        <f t="shared" si="10"/>
        <v>-1.1469910851368753E-4</v>
      </c>
      <c r="AN29" s="2">
        <f t="shared" si="11"/>
        <v>4.6625017443193552E-5</v>
      </c>
      <c r="AO29" s="2">
        <f t="shared" si="12"/>
        <v>0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3.1805262536863665E-3</v>
      </c>
      <c r="L30" s="9" t="s">
        <v>7</v>
      </c>
      <c r="N30" s="6" t="s">
        <v>36</v>
      </c>
      <c r="O30" s="6">
        <f xml:space="preserve"> 1/$C$77 * LN( EXP($C$77 * O28) + EXP($C$77 * O29) )</f>
        <v>1.1659699230037548</v>
      </c>
      <c r="U30" s="2">
        <v>26</v>
      </c>
      <c r="V30" s="2">
        <f>IF(AB29&gt;0, Z29, V29)</f>
        <v>0.9699416309595108</v>
      </c>
      <c r="W30" s="2">
        <f t="shared" si="0"/>
        <v>4.6038223233679787E-9</v>
      </c>
      <c r="X30" s="2">
        <f t="shared" si="8"/>
        <v>0.969941645860672</v>
      </c>
      <c r="Y30" s="2">
        <f t="shared" si="1"/>
        <v>-1.0581698850486987E-8</v>
      </c>
      <c r="Z30" s="2">
        <f t="shared" si="3"/>
        <v>0.9699416384100914</v>
      </c>
      <c r="AA30" s="2">
        <f t="shared" si="2"/>
        <v>-2.9889382080483529E-9</v>
      </c>
      <c r="AB30" s="2">
        <f t="shared" si="4"/>
        <v>-1.3760540445380491E-17</v>
      </c>
      <c r="AC30" s="2">
        <f t="shared" si="5"/>
        <v>3.162804400028189E-17</v>
      </c>
      <c r="AD30" s="2">
        <f t="shared" si="6"/>
        <v>1.4901161193847656E-8</v>
      </c>
      <c r="AF30" s="2">
        <v>26</v>
      </c>
      <c r="AG30" s="2">
        <f t="shared" si="13"/>
        <v>1459.3896865844727</v>
      </c>
      <c r="AH30" s="2">
        <v>7.9538610892768702E-3</v>
      </c>
      <c r="AI30" s="2">
        <f t="shared" si="14"/>
        <v>1459.3896865844727</v>
      </c>
      <c r="AJ30" s="2">
        <v>-3.2332327324411381E-3</v>
      </c>
      <c r="AK30" s="2">
        <f t="shared" si="9"/>
        <v>1459.3896865844727</v>
      </c>
      <c r="AL30" s="2">
        <v>-1.4420557164157799E-2</v>
      </c>
      <c r="AM30" s="2">
        <f t="shared" si="10"/>
        <v>-1.1469910851368753E-4</v>
      </c>
      <c r="AN30" s="2">
        <f t="shared" si="11"/>
        <v>4.6625017443193552E-5</v>
      </c>
      <c r="AO30" s="2">
        <f t="shared" si="12"/>
        <v>0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0.9699416309595108</v>
      </c>
      <c r="W31" s="2">
        <f t="shared" si="0"/>
        <v>4.6038223233679787E-9</v>
      </c>
      <c r="X31" s="2">
        <f t="shared" si="8"/>
        <v>0.9699416384100914</v>
      </c>
      <c r="Y31" s="2">
        <f t="shared" si="1"/>
        <v>-2.9889382080483529E-9</v>
      </c>
      <c r="Z31" s="2">
        <f t="shared" si="3"/>
        <v>0.9699416346848011</v>
      </c>
      <c r="AA31" s="2">
        <f t="shared" si="2"/>
        <v>8.0744211317096415E-10</v>
      </c>
      <c r="AB31" s="2">
        <f t="shared" si="4"/>
        <v>3.7173200254438986E-18</v>
      </c>
      <c r="AC31" s="2">
        <f t="shared" si="5"/>
        <v>-2.4133945828439969E-18</v>
      </c>
      <c r="AD31" s="2">
        <f t="shared" si="6"/>
        <v>7.4505805969238281E-9</v>
      </c>
      <c r="AF31" s="2">
        <v>27</v>
      </c>
      <c r="AG31" s="2">
        <f t="shared" si="13"/>
        <v>1459.3896865844727</v>
      </c>
      <c r="AH31" s="2">
        <v>7.9538610892768702E-3</v>
      </c>
      <c r="AI31" s="2">
        <f t="shared" si="14"/>
        <v>1459.3896865844727</v>
      </c>
      <c r="AJ31" s="2">
        <v>-3.2332327324411381E-3</v>
      </c>
      <c r="AK31" s="2">
        <f t="shared" si="9"/>
        <v>1459.3896865844727</v>
      </c>
      <c r="AL31" s="2">
        <v>-1.4420557164157799E-2</v>
      </c>
      <c r="AM31" s="2">
        <f t="shared" si="10"/>
        <v>-1.1469910851368753E-4</v>
      </c>
      <c r="AN31" s="2">
        <f t="shared" si="11"/>
        <v>4.6625017443193552E-5</v>
      </c>
      <c r="AO31" s="2">
        <f t="shared" si="12"/>
        <v>0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0.9699416346848011</v>
      </c>
      <c r="W32" s="2">
        <f t="shared" si="0"/>
        <v>8.0744211317096415E-10</v>
      </c>
      <c r="X32" s="2">
        <f t="shared" si="8"/>
        <v>0.9699416384100914</v>
      </c>
      <c r="Y32" s="2">
        <f t="shared" si="1"/>
        <v>-2.9889382080483529E-9</v>
      </c>
      <c r="Z32" s="2">
        <f t="shared" si="3"/>
        <v>0.96994163654744625</v>
      </c>
      <c r="AA32" s="2">
        <f t="shared" si="2"/>
        <v>-1.0907481584609968E-9</v>
      </c>
      <c r="AB32" s="2">
        <f t="shared" si="4"/>
        <v>-8.8071599800508493E-19</v>
      </c>
      <c r="AC32" s="2">
        <f t="shared" si="5"/>
        <v>3.2601788461824527E-18</v>
      </c>
      <c r="AD32" s="2">
        <f t="shared" si="6"/>
        <v>3.7252902984619141E-9</v>
      </c>
      <c r="AF32" s="2">
        <v>28</v>
      </c>
      <c r="AG32" s="2">
        <f t="shared" si="13"/>
        <v>1459.3896865844727</v>
      </c>
      <c r="AH32" s="2">
        <v>7.9538610892768702E-3</v>
      </c>
      <c r="AI32" s="2">
        <f t="shared" si="14"/>
        <v>1459.3896865844727</v>
      </c>
      <c r="AJ32" s="2">
        <v>-3.2332327324411381E-3</v>
      </c>
      <c r="AK32" s="2">
        <f t="shared" si="9"/>
        <v>1459.3896865844727</v>
      </c>
      <c r="AL32" s="2">
        <v>-1.4420557164157799E-2</v>
      </c>
      <c r="AM32" s="2">
        <f t="shared" si="10"/>
        <v>-1.1469910851368753E-4</v>
      </c>
      <c r="AN32" s="2">
        <f t="shared" si="11"/>
        <v>4.6625017443193552E-5</v>
      </c>
      <c r="AO32" s="2">
        <f t="shared" si="12"/>
        <v>0</v>
      </c>
    </row>
    <row r="33" spans="2:41" x14ac:dyDescent="0.2">
      <c r="F33" s="23" t="s">
        <v>128</v>
      </c>
      <c r="G33" s="22">
        <f xml:space="preserve"> G20</f>
        <v>101.72197414184932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0.9699416346848011</v>
      </c>
      <c r="W33" s="2">
        <f t="shared" si="0"/>
        <v>8.0744211317096415E-10</v>
      </c>
      <c r="X33" s="2">
        <f t="shared" si="8"/>
        <v>0.96994163654744625</v>
      </c>
      <c r="Y33" s="2">
        <f t="shared" si="1"/>
        <v>-1.0907481584609968E-9</v>
      </c>
      <c r="Z33" s="2">
        <f t="shared" si="3"/>
        <v>0.96994163561612368</v>
      </c>
      <c r="AA33" s="2">
        <f t="shared" si="2"/>
        <v>-1.4165302264501634E-10</v>
      </c>
      <c r="AB33" s="2">
        <f t="shared" si="4"/>
        <v>-1.1437661594154643E-19</v>
      </c>
      <c r="AC33" s="2">
        <f t="shared" si="5"/>
        <v>1.5450777359048545E-19</v>
      </c>
      <c r="AD33" s="2">
        <f t="shared" si="6"/>
        <v>1.862645149230957E-9</v>
      </c>
      <c r="AF33" s="2">
        <v>29</v>
      </c>
      <c r="AG33" s="2">
        <f t="shared" si="13"/>
        <v>1459.3896865844727</v>
      </c>
      <c r="AH33" s="2">
        <v>7.9538610892768702E-3</v>
      </c>
      <c r="AI33" s="2">
        <f t="shared" si="14"/>
        <v>1459.3896865844727</v>
      </c>
      <c r="AJ33" s="2">
        <v>-3.2332327324411381E-3</v>
      </c>
      <c r="AK33" s="2">
        <f t="shared" si="9"/>
        <v>1459.3896865844727</v>
      </c>
      <c r="AL33" s="2">
        <v>-1.4420557164157799E-2</v>
      </c>
      <c r="AM33" s="2">
        <f t="shared" si="10"/>
        <v>-1.1469910851368753E-4</v>
      </c>
      <c r="AN33" s="2">
        <f t="shared" si="11"/>
        <v>4.6625017443193552E-5</v>
      </c>
      <c r="AO33" s="2">
        <f t="shared" si="12"/>
        <v>0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41.11</v>
      </c>
      <c r="L34" s="6" t="s">
        <v>59</v>
      </c>
      <c r="U34" s="2">
        <v>30</v>
      </c>
      <c r="V34" s="2">
        <f t="shared" si="7"/>
        <v>0.9699416346848011</v>
      </c>
      <c r="W34" s="2">
        <f t="shared" si="0"/>
        <v>8.0744211317096415E-10</v>
      </c>
      <c r="X34" s="2">
        <f t="shared" si="8"/>
        <v>0.96994163561612368</v>
      </c>
      <c r="Y34" s="2">
        <f t="shared" si="1"/>
        <v>-1.4165302264501634E-10</v>
      </c>
      <c r="Z34" s="2">
        <f t="shared" si="3"/>
        <v>0.96994163515046239</v>
      </c>
      <c r="AA34" s="2">
        <f t="shared" si="2"/>
        <v>3.3289448975182268E-10</v>
      </c>
      <c r="AB34" s="2">
        <f t="shared" si="4"/>
        <v>2.6879303026818157E-19</v>
      </c>
      <c r="AC34" s="2">
        <f t="shared" si="5"/>
        <v>-4.7155510695216096E-20</v>
      </c>
      <c r="AD34" s="2">
        <f t="shared" si="6"/>
        <v>9.3132257461547852E-10</v>
      </c>
      <c r="AF34" s="2">
        <v>30</v>
      </c>
      <c r="AG34" s="2">
        <f t="shared" si="13"/>
        <v>1459.3896865844727</v>
      </c>
      <c r="AH34" s="2">
        <v>7.9538610892768702E-3</v>
      </c>
      <c r="AI34" s="2">
        <f t="shared" si="14"/>
        <v>1459.3896865844727</v>
      </c>
      <c r="AJ34" s="2">
        <v>-3.2332327324411381E-3</v>
      </c>
      <c r="AK34" s="2">
        <f t="shared" si="9"/>
        <v>1459.3896865844727</v>
      </c>
      <c r="AL34" s="2">
        <v>-1.4420557164157799E-2</v>
      </c>
      <c r="AM34" s="2">
        <f t="shared" si="10"/>
        <v>-1.1469910851368753E-4</v>
      </c>
      <c r="AN34" s="2">
        <f t="shared" si="11"/>
        <v>4.6625017443193552E-5</v>
      </c>
      <c r="AO34" s="2">
        <f t="shared" si="12"/>
        <v>0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13.3</v>
      </c>
      <c r="L35" s="6" t="s">
        <v>59</v>
      </c>
      <c r="AF35" s="2">
        <v>31</v>
      </c>
      <c r="AG35" s="2">
        <f t="shared" si="13"/>
        <v>1459.3896865844727</v>
      </c>
      <c r="AH35" s="2">
        <v>7.9538610892768702E-3</v>
      </c>
      <c r="AI35" s="2">
        <f t="shared" si="14"/>
        <v>1459.3896865844727</v>
      </c>
      <c r="AJ35" s="2">
        <v>-3.2332327324411381E-3</v>
      </c>
      <c r="AK35" s="2">
        <f t="shared" si="9"/>
        <v>1459.3896865844727</v>
      </c>
      <c r="AL35" s="2">
        <v>-1.4420557164157799E-2</v>
      </c>
      <c r="AM35" s="2">
        <f t="shared" si="10"/>
        <v>-1.1469910851368753E-4</v>
      </c>
      <c r="AN35" s="2">
        <f t="shared" si="11"/>
        <v>4.6625017443193552E-5</v>
      </c>
      <c r="AO35" s="2">
        <f t="shared" si="12"/>
        <v>0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15.84</v>
      </c>
      <c r="L36" s="6" t="s">
        <v>59</v>
      </c>
      <c r="AF36" s="2">
        <v>32</v>
      </c>
      <c r="AG36" s="2">
        <f t="shared" si="13"/>
        <v>1459.3896865844727</v>
      </c>
      <c r="AH36" s="2">
        <v>7.9538610892768702E-3</v>
      </c>
      <c r="AI36" s="2">
        <f t="shared" si="14"/>
        <v>1459.3896865844727</v>
      </c>
      <c r="AJ36" s="2">
        <v>-3.2332327324411381E-3</v>
      </c>
      <c r="AK36" s="2">
        <f t="shared" si="9"/>
        <v>1459.3896865844727</v>
      </c>
      <c r="AL36" s="2">
        <v>-1.4420557164157799E-2</v>
      </c>
      <c r="AM36" s="2">
        <f t="shared" si="10"/>
        <v>-1.1469910851368753E-4</v>
      </c>
      <c r="AN36" s="2">
        <f t="shared" si="11"/>
        <v>4.6625017443193552E-5</v>
      </c>
      <c r="AO36" s="2">
        <f t="shared" si="12"/>
        <v>0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25.03</v>
      </c>
      <c r="L37" s="6" t="s">
        <v>59</v>
      </c>
      <c r="AF37" s="2">
        <v>33</v>
      </c>
      <c r="AG37" s="2">
        <f t="shared" si="13"/>
        <v>1459.3896865844727</v>
      </c>
      <c r="AH37" s="2">
        <v>7.9538610892768702E-3</v>
      </c>
      <c r="AI37" s="2">
        <f t="shared" si="14"/>
        <v>1459.3896865844727</v>
      </c>
      <c r="AJ37" s="2">
        <v>-3.2332327324411381E-3</v>
      </c>
      <c r="AK37" s="2">
        <f t="shared" si="9"/>
        <v>1459.3896865844727</v>
      </c>
      <c r="AL37" s="2">
        <v>-1.4420557164157799E-2</v>
      </c>
      <c r="AM37" s="2">
        <f t="shared" si="10"/>
        <v>-1.1469910851368753E-4</v>
      </c>
      <c r="AN37" s="2">
        <f t="shared" si="11"/>
        <v>4.6625017443193552E-5</v>
      </c>
      <c r="AO37" s="2">
        <f t="shared" si="12"/>
        <v>0</v>
      </c>
    </row>
    <row r="38" spans="2:41" x14ac:dyDescent="0.2">
      <c r="J38" s="14" t="s">
        <v>71</v>
      </c>
      <c r="K38" s="6">
        <f>ROUND(SUM(K26:K29)/$C$5*100, 2)</f>
        <v>4.72</v>
      </c>
      <c r="L38" s="6" t="s">
        <v>59</v>
      </c>
      <c r="AF38" s="2">
        <v>34</v>
      </c>
      <c r="AG38" s="2">
        <f t="shared" si="13"/>
        <v>1459.3896865844727</v>
      </c>
      <c r="AH38" s="2">
        <v>7.9538610892768702E-3</v>
      </c>
      <c r="AI38" s="2">
        <f t="shared" si="14"/>
        <v>1459.3896865844727</v>
      </c>
      <c r="AJ38" s="2">
        <v>-3.2332327324411381E-3</v>
      </c>
      <c r="AK38" s="2">
        <f t="shared" si="9"/>
        <v>1459.3896865844727</v>
      </c>
      <c r="AL38" s="2">
        <v>-1.4420557164157799E-2</v>
      </c>
      <c r="AM38" s="2">
        <f t="shared" si="10"/>
        <v>-1.1469910851368753E-4</v>
      </c>
      <c r="AN38" s="2">
        <f t="shared" si="11"/>
        <v>4.6625017443193552E-5</v>
      </c>
      <c r="AO38" s="2">
        <f t="shared" si="12"/>
        <v>0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1459.3896865844727</v>
      </c>
      <c r="AH39" s="2">
        <v>7.9538610892768702E-3</v>
      </c>
      <c r="AI39" s="2">
        <f t="shared" si="14"/>
        <v>1459.3896865844727</v>
      </c>
      <c r="AJ39" s="2">
        <v>-3.2332327324411381E-3</v>
      </c>
      <c r="AK39" s="2">
        <f t="shared" si="9"/>
        <v>1459.3896865844727</v>
      </c>
      <c r="AL39" s="2">
        <v>-1.4420557164157799E-2</v>
      </c>
      <c r="AM39" s="2">
        <f t="shared" si="10"/>
        <v>-1.1469910851368753E-4</v>
      </c>
      <c r="AN39" s="2">
        <f t="shared" si="11"/>
        <v>4.6625017443193552E-5</v>
      </c>
      <c r="AO39" s="2">
        <f t="shared" si="12"/>
        <v>0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1459.3896865844727</v>
      </c>
      <c r="AH40" s="2">
        <v>7.9538610892768702E-3</v>
      </c>
      <c r="AI40" s="2">
        <f t="shared" si="14"/>
        <v>1459.3896865844727</v>
      </c>
      <c r="AJ40" s="2">
        <v>-3.2332327324411381E-3</v>
      </c>
      <c r="AK40" s="2">
        <f t="shared" si="9"/>
        <v>1459.3896865844727</v>
      </c>
      <c r="AL40" s="2">
        <v>-1.4420557164157799E-2</v>
      </c>
      <c r="AM40" s="2">
        <f t="shared" si="10"/>
        <v>-1.1469910851368753E-4</v>
      </c>
      <c r="AN40" s="2">
        <f t="shared" si="11"/>
        <v>4.6625017443193552E-5</v>
      </c>
      <c r="AO40" s="2">
        <f t="shared" si="12"/>
        <v>0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1459.3896865844727</v>
      </c>
      <c r="AH41" s="2">
        <v>7.9538610892768702E-3</v>
      </c>
      <c r="AI41" s="2">
        <f t="shared" si="14"/>
        <v>1459.3896865844727</v>
      </c>
      <c r="AJ41" s="2">
        <v>-3.2332327324411381E-3</v>
      </c>
      <c r="AK41" s="2">
        <f t="shared" si="9"/>
        <v>1459.3896865844727</v>
      </c>
      <c r="AL41" s="2">
        <v>-1.4420557164157799E-2</v>
      </c>
      <c r="AM41" s="2">
        <f t="shared" si="10"/>
        <v>-1.1469910851368753E-4</v>
      </c>
      <c r="AN41" s="2">
        <f t="shared" si="11"/>
        <v>4.6625017443193552E-5</v>
      </c>
      <c r="AO41" s="2">
        <f t="shared" si="12"/>
        <v>0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1459.3896865844727</v>
      </c>
      <c r="AH42" s="2">
        <v>7.9538610892768702E-3</v>
      </c>
      <c r="AI42" s="2">
        <f t="shared" si="14"/>
        <v>1459.3896865844727</v>
      </c>
      <c r="AJ42" s="2">
        <v>-3.2332327324411381E-3</v>
      </c>
      <c r="AK42" s="2">
        <f t="shared" si="9"/>
        <v>1459.3896865844727</v>
      </c>
      <c r="AL42" s="2">
        <v>-1.4420557164157799E-2</v>
      </c>
      <c r="AM42" s="2">
        <f t="shared" si="10"/>
        <v>-1.1469910851368753E-4</v>
      </c>
      <c r="AN42" s="2">
        <f t="shared" si="11"/>
        <v>4.6625017443193552E-5</v>
      </c>
      <c r="AO42" s="2">
        <f t="shared" si="12"/>
        <v>0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194.05</v>
      </c>
      <c r="L43" s="6" t="s">
        <v>7</v>
      </c>
      <c r="AF43" s="2">
        <v>39</v>
      </c>
      <c r="AG43" s="2">
        <f t="shared" si="13"/>
        <v>1459.3896865844727</v>
      </c>
      <c r="AH43" s="2">
        <v>7.9538610892768702E-3</v>
      </c>
      <c r="AI43" s="2">
        <f t="shared" si="14"/>
        <v>1459.3896865844727</v>
      </c>
      <c r="AJ43" s="2">
        <v>-3.2332327324411381E-3</v>
      </c>
      <c r="AK43" s="2">
        <f t="shared" si="9"/>
        <v>1459.3896865844727</v>
      </c>
      <c r="AL43" s="2">
        <v>-1.4420557164157799E-2</v>
      </c>
      <c r="AM43" s="2">
        <f t="shared" si="10"/>
        <v>-1.1469910851368753E-4</v>
      </c>
      <c r="AN43" s="2">
        <f t="shared" si="11"/>
        <v>4.6625017443193552E-5</v>
      </c>
      <c r="AO43" s="2">
        <f t="shared" si="12"/>
        <v>0</v>
      </c>
    </row>
    <row r="44" spans="2:41" x14ac:dyDescent="0.2">
      <c r="J44" s="18" t="s">
        <v>74</v>
      </c>
      <c r="K44" s="6">
        <f>ROUND(SUM(K16:K19), 2)</f>
        <v>231.18</v>
      </c>
      <c r="L44" s="6" t="s">
        <v>7</v>
      </c>
      <c r="AF44" s="2">
        <v>40</v>
      </c>
      <c r="AG44" s="2">
        <f t="shared" si="13"/>
        <v>1459.3896865844727</v>
      </c>
      <c r="AH44" s="2">
        <v>7.9538610892768702E-3</v>
      </c>
      <c r="AI44" s="2">
        <f t="shared" si="14"/>
        <v>1459.3896865844727</v>
      </c>
      <c r="AJ44" s="2">
        <v>-3.2332327324411381E-3</v>
      </c>
      <c r="AK44" s="5">
        <f t="shared" si="9"/>
        <v>1459.3896865844727</v>
      </c>
      <c r="AL44" s="2">
        <v>-1.4420557164157799E-2</v>
      </c>
      <c r="AM44" s="2">
        <f t="shared" si="10"/>
        <v>-1.1469910851368753E-4</v>
      </c>
      <c r="AN44" s="2">
        <f t="shared" si="11"/>
        <v>4.6625017443193552E-5</v>
      </c>
      <c r="AO44" s="2">
        <f t="shared" si="12"/>
        <v>0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365.31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68.84</v>
      </c>
      <c r="L46" s="6" t="s">
        <v>7</v>
      </c>
    </row>
    <row r="47" spans="2:41" x14ac:dyDescent="0.2">
      <c r="J47" s="9" t="s">
        <v>60</v>
      </c>
      <c r="K47" s="9">
        <f>SUM(K42:K46)</f>
        <v>1459.3799999999999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700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B1:D1"/>
    <mergeCell ref="B3:D3"/>
    <mergeCell ref="F3:H3"/>
    <mergeCell ref="J3:L3"/>
    <mergeCell ref="N3:P3"/>
  </mergeCells>
  <conditionalFormatting sqref="K31">
    <cfRule type="containsText" dxfId="5" priority="1" operator="containsText" text="FALSE">
      <formula>NOT(ISERROR(SEARCH("FALSE",K31)))</formula>
    </cfRule>
    <cfRule type="containsText" dxfId="4" priority="2" operator="containsText" text="TRUE">
      <formula>NOT(ISERROR(SEARCH("TRUE",K31)))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obj_val</vt:lpstr>
      <vt:lpstr>uniform_250</vt:lpstr>
      <vt:lpstr>uniform_400</vt:lpstr>
      <vt:lpstr>uniform_550</vt:lpstr>
      <vt:lpstr>uniform_700</vt:lpstr>
      <vt:lpstr>linear_250</vt:lpstr>
      <vt:lpstr>linear_400</vt:lpstr>
      <vt:lpstr>linear_550</vt:lpstr>
      <vt:lpstr>linear_700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2025-05-13T14:19:21Z</dcterms:modified>
</cp:coreProperties>
</file>