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sheets/"/>
    </mc:Choice>
  </mc:AlternateContent>
  <xr:revisionPtr revIDLastSave="0" documentId="13_ncr:1_{DBA020CE-D57D-844D-88F4-00FE9109DA56}" xr6:coauthVersionLast="47" xr6:coauthVersionMax="47" xr10:uidLastSave="{00000000-0000-0000-0000-000000000000}"/>
  <bookViews>
    <workbookView xWindow="0" yWindow="740" windowWidth="15080" windowHeight="18900" xr2:uid="{843CD013-835A-1741-B375-CD508AE79BD2}"/>
  </bookViews>
  <sheets>
    <sheet name="multirotor" sheetId="3" r:id="rId1"/>
    <sheet name="lift+cruis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3" l="1"/>
  <c r="G16" i="3"/>
  <c r="G11" i="3"/>
  <c r="G6" i="3"/>
  <c r="G16" i="1" l="1"/>
  <c r="G11" i="1"/>
  <c r="G6" i="1"/>
  <c r="G32" i="1"/>
  <c r="G31" i="1"/>
  <c r="G31" i="3"/>
  <c r="G30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44" i="3"/>
  <c r="AH5" i="3"/>
  <c r="AJ5" i="3"/>
  <c r="AF5" i="3"/>
  <c r="K4" i="3"/>
  <c r="Y4" i="3"/>
  <c r="U4" i="3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F5" i="1"/>
  <c r="AJ5" i="1"/>
  <c r="AI5" i="1"/>
  <c r="AH5" i="1"/>
  <c r="G20" i="1" l="1"/>
  <c r="AD6" i="3"/>
  <c r="AB6" i="3"/>
  <c r="AB6" i="1"/>
  <c r="AD6" i="1"/>
  <c r="AJ6" i="3" l="1"/>
  <c r="AF6" i="3"/>
  <c r="AD7" i="3" s="1"/>
  <c r="AJ6" i="1"/>
  <c r="AF6" i="1"/>
  <c r="AD7" i="1" s="1"/>
  <c r="AB7" i="3" l="1"/>
  <c r="AB7" i="1"/>
  <c r="AF7" i="1" s="1"/>
  <c r="AF7" i="3" l="1"/>
  <c r="AJ7" i="3"/>
  <c r="AD8" i="1"/>
  <c r="AB8" i="1"/>
  <c r="AJ7" i="1"/>
  <c r="AD8" i="3" l="1"/>
  <c r="AB8" i="3"/>
  <c r="AF8" i="1"/>
  <c r="AJ8" i="1"/>
  <c r="AJ8" i="3" l="1"/>
  <c r="AF8" i="3"/>
  <c r="AD9" i="1"/>
  <c r="AB9" i="1"/>
  <c r="AB9" i="3" l="1"/>
  <c r="AD9" i="3"/>
  <c r="AF9" i="1"/>
  <c r="AJ9" i="1"/>
  <c r="AJ9" i="3" l="1"/>
  <c r="AF9" i="3"/>
  <c r="AB10" i="1"/>
  <c r="AD10" i="1"/>
  <c r="AB10" i="3" l="1"/>
  <c r="AD10" i="3"/>
  <c r="AJ10" i="1"/>
  <c r="AF10" i="1"/>
  <c r="AJ10" i="3" l="1"/>
  <c r="AF10" i="3"/>
  <c r="AB11" i="1"/>
  <c r="AD11" i="1"/>
  <c r="AD11" i="3" l="1"/>
  <c r="AB11" i="3"/>
  <c r="AJ11" i="1"/>
  <c r="AF11" i="1"/>
  <c r="AJ11" i="3" l="1"/>
  <c r="AF11" i="3"/>
  <c r="AB12" i="1"/>
  <c r="AD12" i="1"/>
  <c r="AB12" i="3" l="1"/>
  <c r="AD12" i="3"/>
  <c r="AJ12" i="1"/>
  <c r="AF12" i="1"/>
  <c r="AF12" i="3" l="1"/>
  <c r="AB13" i="3" s="1"/>
  <c r="AJ12" i="3"/>
  <c r="AB13" i="1"/>
  <c r="AD13" i="1"/>
  <c r="AD13" i="3" l="1"/>
  <c r="AF13" i="3" s="1"/>
  <c r="AB14" i="3" s="1"/>
  <c r="AF13" i="1"/>
  <c r="AJ13" i="1"/>
  <c r="AJ13" i="3" l="1"/>
  <c r="AD14" i="3"/>
  <c r="AJ14" i="3" s="1"/>
  <c r="AB14" i="1"/>
  <c r="AD14" i="1"/>
  <c r="AF14" i="3" l="1"/>
  <c r="AD15" i="3" s="1"/>
  <c r="AJ14" i="1"/>
  <c r="AF14" i="1"/>
  <c r="AB15" i="3" l="1"/>
  <c r="AJ15" i="3" s="1"/>
  <c r="AD15" i="1"/>
  <c r="AB15" i="1"/>
  <c r="AF15" i="3" l="1"/>
  <c r="AD16" i="3" s="1"/>
  <c r="AF15" i="1"/>
  <c r="AJ15" i="1"/>
  <c r="AB16" i="3" l="1"/>
  <c r="AF16" i="3" s="1"/>
  <c r="AD17" i="3" s="1"/>
  <c r="AD16" i="1"/>
  <c r="AB16" i="1"/>
  <c r="AJ16" i="3" l="1"/>
  <c r="AB17" i="3"/>
  <c r="AJ17" i="3" s="1"/>
  <c r="AF16" i="1"/>
  <c r="AB17" i="1" s="1"/>
  <c r="AJ16" i="1"/>
  <c r="AF17" i="3" l="1"/>
  <c r="AB18" i="3" s="1"/>
  <c r="AD17" i="1"/>
  <c r="AF17" i="1" s="1"/>
  <c r="AD18" i="1" s="1"/>
  <c r="AD18" i="3" l="1"/>
  <c r="AJ18" i="3" s="1"/>
  <c r="AJ17" i="1"/>
  <c r="AB18" i="1"/>
  <c r="AJ18" i="1" s="1"/>
  <c r="AF18" i="3" l="1"/>
  <c r="AB19" i="3" s="1"/>
  <c r="AF18" i="1"/>
  <c r="AD19" i="1" s="1"/>
  <c r="AD19" i="3" l="1"/>
  <c r="AF19" i="3" s="1"/>
  <c r="AB19" i="1"/>
  <c r="AF19" i="1" s="1"/>
  <c r="AB20" i="3" l="1"/>
  <c r="AD20" i="3"/>
  <c r="AJ19" i="3"/>
  <c r="AJ19" i="1"/>
  <c r="AB20" i="1"/>
  <c r="AD20" i="1"/>
  <c r="AJ20" i="3" l="1"/>
  <c r="AF20" i="3"/>
  <c r="AB21" i="3" s="1"/>
  <c r="AF20" i="1"/>
  <c r="AD21" i="1" s="1"/>
  <c r="AJ20" i="1"/>
  <c r="AD21" i="3" l="1"/>
  <c r="AJ21" i="3" s="1"/>
  <c r="AB21" i="1"/>
  <c r="AF21" i="1" s="1"/>
  <c r="AB22" i="1" s="1"/>
  <c r="AF21" i="3" l="1"/>
  <c r="AD22" i="3" s="1"/>
  <c r="AD22" i="1"/>
  <c r="AF22" i="1" s="1"/>
  <c r="AD23" i="1" s="1"/>
  <c r="AJ21" i="1"/>
  <c r="AB22" i="3" l="1"/>
  <c r="AJ22" i="3" s="1"/>
  <c r="AB23" i="1"/>
  <c r="AF23" i="1" s="1"/>
  <c r="AD24" i="1" s="1"/>
  <c r="AJ22" i="1"/>
  <c r="AF22" i="3" l="1"/>
  <c r="AD23" i="3" s="1"/>
  <c r="AJ23" i="1"/>
  <c r="AB24" i="1"/>
  <c r="AJ24" i="1" s="1"/>
  <c r="AB23" i="3" l="1"/>
  <c r="AJ23" i="3" s="1"/>
  <c r="AF24" i="1"/>
  <c r="AD25" i="1" s="1"/>
  <c r="AF23" i="3" l="1"/>
  <c r="AD24" i="3" s="1"/>
  <c r="AB25" i="1"/>
  <c r="AF25" i="1" s="1"/>
  <c r="AB26" i="1" s="1"/>
  <c r="AB24" i="3" l="1"/>
  <c r="AF24" i="3" s="1"/>
  <c r="AD25" i="3" s="1"/>
  <c r="AD26" i="1"/>
  <c r="AF26" i="1" s="1"/>
  <c r="AB27" i="1" s="1"/>
  <c r="AJ25" i="1"/>
  <c r="AJ24" i="3" l="1"/>
  <c r="AB25" i="3"/>
  <c r="AJ25" i="3" s="1"/>
  <c r="AD27" i="1"/>
  <c r="AF27" i="1" s="1"/>
  <c r="AD28" i="1" s="1"/>
  <c r="AJ26" i="1"/>
  <c r="AF25" i="3" l="1"/>
  <c r="AB26" i="3" s="1"/>
  <c r="AJ27" i="1"/>
  <c r="AB28" i="1"/>
  <c r="AJ28" i="1" s="1"/>
  <c r="AD26" i="3" l="1"/>
  <c r="AJ26" i="3" s="1"/>
  <c r="AF28" i="1"/>
  <c r="AB29" i="1" s="1"/>
  <c r="AF26" i="3" l="1"/>
  <c r="AB27" i="3" s="1"/>
  <c r="AD29" i="1"/>
  <c r="AF29" i="1" s="1"/>
  <c r="AD27" i="3" l="1"/>
  <c r="AF27" i="3" s="1"/>
  <c r="AB28" i="3" s="1"/>
  <c r="AJ29" i="1"/>
  <c r="AB30" i="1"/>
  <c r="AD30" i="1"/>
  <c r="AD28" i="3" l="1"/>
  <c r="AF28" i="3" s="1"/>
  <c r="AB29" i="3" s="1"/>
  <c r="AJ27" i="3"/>
  <c r="AJ30" i="1"/>
  <c r="AF30" i="1"/>
  <c r="AJ28" i="3" l="1"/>
  <c r="AD29" i="3"/>
  <c r="AJ29" i="3" s="1"/>
  <c r="AD31" i="1"/>
  <c r="AB31" i="1"/>
  <c r="AF29" i="3" l="1"/>
  <c r="AB30" i="3" s="1"/>
  <c r="AF31" i="1"/>
  <c r="AD32" i="1" s="1"/>
  <c r="AJ31" i="1"/>
  <c r="AD30" i="3" l="1"/>
  <c r="AF30" i="3" s="1"/>
  <c r="AB32" i="1"/>
  <c r="AF32" i="1" s="1"/>
  <c r="AB33" i="1" s="1"/>
  <c r="AJ30" i="3" l="1"/>
  <c r="AD31" i="3"/>
  <c r="AB31" i="3"/>
  <c r="AD33" i="1"/>
  <c r="AF33" i="1" s="1"/>
  <c r="AB34" i="1" s="1"/>
  <c r="AJ32" i="1"/>
  <c r="AF31" i="3" l="1"/>
  <c r="AD32" i="3" s="1"/>
  <c r="AJ31" i="3"/>
  <c r="AJ33" i="1"/>
  <c r="AD34" i="1"/>
  <c r="AF34" i="1" s="1"/>
  <c r="AB32" i="3" l="1"/>
  <c r="AF32" i="3" s="1"/>
  <c r="AB33" i="3" s="1"/>
  <c r="AJ34" i="1"/>
  <c r="AB35" i="1"/>
  <c r="AD35" i="1"/>
  <c r="AJ32" i="3" l="1"/>
  <c r="AD33" i="3"/>
  <c r="AJ33" i="3" s="1"/>
  <c r="AF35" i="1"/>
  <c r="AJ35" i="1"/>
  <c r="AF33" i="3" l="1"/>
  <c r="AB34" i="3" s="1"/>
  <c r="AB36" i="1"/>
  <c r="AD36" i="1"/>
  <c r="AD34" i="3" l="1"/>
  <c r="AF34" i="3" s="1"/>
  <c r="AF36" i="1"/>
  <c r="AJ36" i="1"/>
  <c r="AJ34" i="3" l="1"/>
  <c r="AB35" i="3"/>
  <c r="AD35" i="3"/>
  <c r="AB37" i="1"/>
  <c r="AD37" i="1"/>
  <c r="Y4" i="1"/>
  <c r="U4" i="1"/>
  <c r="K19" i="1"/>
  <c r="K17" i="1"/>
  <c r="K9" i="1"/>
  <c r="K5" i="1"/>
  <c r="AJ35" i="3" l="1"/>
  <c r="AF35" i="3"/>
  <c r="AD36" i="3" s="1"/>
  <c r="AF37" i="1"/>
  <c r="AJ37" i="1"/>
  <c r="K20" i="1"/>
  <c r="K23" i="1" s="1"/>
  <c r="AB36" i="3" l="1"/>
  <c r="AF36" i="3" s="1"/>
  <c r="AD38" i="1"/>
  <c r="AB38" i="1"/>
  <c r="AD37" i="3" l="1"/>
  <c r="AB37" i="3"/>
  <c r="AJ36" i="3"/>
  <c r="AF38" i="1"/>
  <c r="AB39" i="1" s="1"/>
  <c r="AJ38" i="1"/>
  <c r="AJ37" i="3" l="1"/>
  <c r="AF37" i="3"/>
  <c r="AD39" i="1"/>
  <c r="AF39" i="1" s="1"/>
  <c r="AB38" i="3" l="1"/>
  <c r="AD38" i="3"/>
  <c r="AJ39" i="1"/>
  <c r="AB40" i="1"/>
  <c r="AD40" i="1"/>
  <c r="AF38" i="3" l="1"/>
  <c r="AJ38" i="3"/>
  <c r="AJ40" i="1"/>
  <c r="AF40" i="1"/>
  <c r="AB39" i="3" l="1"/>
  <c r="AD39" i="3"/>
  <c r="AD41" i="1"/>
  <c r="AB41" i="1"/>
  <c r="AJ39" i="3" l="1"/>
  <c r="AF39" i="3"/>
  <c r="AD40" i="3" s="1"/>
  <c r="AF41" i="1"/>
  <c r="AB42" i="1" s="1"/>
  <c r="AJ41" i="1"/>
  <c r="AB40" i="3" l="1"/>
  <c r="AF40" i="3" s="1"/>
  <c r="AB41" i="3" s="1"/>
  <c r="AD42" i="1"/>
  <c r="AJ42" i="1" s="1"/>
  <c r="AD41" i="3" l="1"/>
  <c r="AF41" i="3" s="1"/>
  <c r="AJ40" i="3"/>
  <c r="AF42" i="1"/>
  <c r="AD43" i="1" s="1"/>
  <c r="AJ41" i="3" l="1"/>
  <c r="AB42" i="3"/>
  <c r="AD42" i="3"/>
  <c r="AB43" i="1"/>
  <c r="AJ43" i="1" s="1"/>
  <c r="AJ42" i="3" l="1"/>
  <c r="AF42" i="3"/>
  <c r="AF43" i="1"/>
  <c r="AB44" i="1" s="1"/>
  <c r="AB43" i="3" l="1"/>
  <c r="AD43" i="3"/>
  <c r="AD44" i="1"/>
  <c r="AJ44" i="1" s="1"/>
  <c r="AF43" i="3" l="1"/>
  <c r="AJ43" i="3"/>
  <c r="AF44" i="1"/>
  <c r="C17" i="1" l="1"/>
  <c r="G14" i="1" s="1"/>
  <c r="AD44" i="3"/>
  <c r="AB44" i="3"/>
  <c r="G36" i="1" l="1"/>
  <c r="G15" i="1"/>
  <c r="G4" i="1"/>
  <c r="G34" i="1"/>
  <c r="G35" i="1"/>
  <c r="G30" i="1"/>
  <c r="G33" i="1"/>
  <c r="G28" i="1"/>
  <c r="G29" i="1"/>
  <c r="K6" i="1"/>
  <c r="G23" i="1"/>
  <c r="AF44" i="3"/>
  <c r="C15" i="3" s="1"/>
  <c r="G14" i="3" s="1"/>
  <c r="AJ44" i="3"/>
  <c r="G5" i="1"/>
  <c r="K4" i="1"/>
  <c r="K10" i="1" s="1"/>
  <c r="G41" i="1"/>
  <c r="G15" i="3" l="1"/>
  <c r="G4" i="3"/>
  <c r="G34" i="3"/>
  <c r="G35" i="3"/>
  <c r="G32" i="3"/>
  <c r="G33" i="3"/>
  <c r="G28" i="3"/>
  <c r="G29" i="3"/>
  <c r="G5" i="3"/>
  <c r="G23" i="3"/>
  <c r="G41" i="3"/>
  <c r="K5" i="3"/>
  <c r="K7" i="3" s="1"/>
  <c r="K8" i="3" s="1"/>
  <c r="K12" i="3" s="1"/>
  <c r="K7" i="1"/>
  <c r="K8" i="1" s="1"/>
  <c r="G45" i="1"/>
  <c r="G44" i="1"/>
  <c r="G26" i="3" l="1"/>
  <c r="G25" i="3"/>
  <c r="G27" i="3"/>
  <c r="G44" i="3"/>
  <c r="K6" i="3"/>
  <c r="G45" i="3"/>
  <c r="K18" i="3"/>
  <c r="K13" i="3"/>
  <c r="K17" i="3" s="1"/>
  <c r="K11" i="1"/>
  <c r="G43" i="3" l="1"/>
  <c r="K19" i="3"/>
  <c r="K22" i="3" s="1"/>
  <c r="K12" i="1"/>
  <c r="K18" i="1" s="1"/>
  <c r="K21" i="1" s="1"/>
  <c r="T4" i="1" s="1"/>
  <c r="K13" i="1"/>
  <c r="K25" i="3" l="1"/>
  <c r="K27" i="3" s="1"/>
  <c r="K20" i="3"/>
  <c r="T4" i="3" s="1"/>
  <c r="V4" i="1"/>
  <c r="X4" i="1" s="1"/>
  <c r="S5" i="1" s="1"/>
  <c r="T5" i="1" s="1"/>
  <c r="R4" i="1"/>
  <c r="K26" i="1"/>
  <c r="K28" i="1" s="1"/>
  <c r="V4" i="3" l="1"/>
  <c r="X4" i="3" s="1"/>
  <c r="S5" i="3" s="1"/>
  <c r="R4" i="3"/>
  <c r="W4" i="1"/>
  <c r="Q5" i="1" s="1"/>
  <c r="U5" i="1" s="1"/>
  <c r="V5" i="1" s="1"/>
  <c r="X5" i="1" s="1"/>
  <c r="S6" i="1" s="1"/>
  <c r="T6" i="1" s="1"/>
  <c r="W4" i="3" l="1"/>
  <c r="Q5" i="3" s="1"/>
  <c r="R5" i="3" s="1"/>
  <c r="T5" i="3"/>
  <c r="R5" i="1"/>
  <c r="W5" i="1" s="1"/>
  <c r="Q6" i="1" s="1"/>
  <c r="Y5" i="1"/>
  <c r="Y5" i="3" l="1"/>
  <c r="U5" i="3"/>
  <c r="V5" i="3" s="1"/>
  <c r="W5" i="3" s="1"/>
  <c r="Q6" i="3" s="1"/>
  <c r="R6" i="3" s="1"/>
  <c r="R6" i="1"/>
  <c r="Y6" i="1"/>
  <c r="U6" i="1"/>
  <c r="V6" i="1" s="1"/>
  <c r="X5" i="3" l="1"/>
  <c r="S6" i="3" s="1"/>
  <c r="U6" i="3" s="1"/>
  <c r="V6" i="3" s="1"/>
  <c r="W6" i="3" s="1"/>
  <c r="Q7" i="3" s="1"/>
  <c r="R7" i="3" s="1"/>
  <c r="W6" i="1"/>
  <c r="Q7" i="1" s="1"/>
  <c r="R7" i="1" s="1"/>
  <c r="X6" i="1"/>
  <c r="S7" i="1" s="1"/>
  <c r="T7" i="1" s="1"/>
  <c r="T6" i="3" l="1"/>
  <c r="X6" i="3" s="1"/>
  <c r="S7" i="3" s="1"/>
  <c r="Y6" i="3"/>
  <c r="U7" i="1"/>
  <c r="V7" i="1" s="1"/>
  <c r="W7" i="1" s="1"/>
  <c r="Q8" i="1" s="1"/>
  <c r="R8" i="1" s="1"/>
  <c r="Y7" i="1"/>
  <c r="U7" i="3" l="1"/>
  <c r="V7" i="3" s="1"/>
  <c r="W7" i="3" s="1"/>
  <c r="Q8" i="3" s="1"/>
  <c r="R8" i="3" s="1"/>
  <c r="Y7" i="3"/>
  <c r="T7" i="3"/>
  <c r="X7" i="1"/>
  <c r="S8" i="1" s="1"/>
  <c r="T8" i="1" s="1"/>
  <c r="X7" i="3" l="1"/>
  <c r="S8" i="3" s="1"/>
  <c r="Y8" i="3" s="1"/>
  <c r="Y8" i="1"/>
  <c r="U8" i="1"/>
  <c r="V8" i="1" s="1"/>
  <c r="X8" i="1" s="1"/>
  <c r="S9" i="1" s="1"/>
  <c r="T9" i="1" s="1"/>
  <c r="U8" i="3" l="1"/>
  <c r="V8" i="3" s="1"/>
  <c r="W8" i="3" s="1"/>
  <c r="Q9" i="3" s="1"/>
  <c r="R9" i="3" s="1"/>
  <c r="T8" i="3"/>
  <c r="W8" i="1"/>
  <c r="Q9" i="1" s="1"/>
  <c r="R9" i="1" s="1"/>
  <c r="X8" i="3" l="1"/>
  <c r="S9" i="3" s="1"/>
  <c r="U9" i="3" s="1"/>
  <c r="V9" i="3" s="1"/>
  <c r="W9" i="3" s="1"/>
  <c r="Q10" i="3" s="1"/>
  <c r="R10" i="3" s="1"/>
  <c r="Y9" i="1"/>
  <c r="U9" i="1"/>
  <c r="V9" i="1" s="1"/>
  <c r="W9" i="1" s="1"/>
  <c r="Q10" i="1" s="1"/>
  <c r="R10" i="1" s="1"/>
  <c r="Y9" i="3" l="1"/>
  <c r="T9" i="3"/>
  <c r="X9" i="3" s="1"/>
  <c r="S10" i="3" s="1"/>
  <c r="T10" i="3" s="1"/>
  <c r="X9" i="1"/>
  <c r="S10" i="1" s="1"/>
  <c r="U10" i="1" s="1"/>
  <c r="V10" i="1" s="1"/>
  <c r="W10" i="1" s="1"/>
  <c r="Q11" i="1" s="1"/>
  <c r="R11" i="1" s="1"/>
  <c r="Y10" i="3" l="1"/>
  <c r="U10" i="3"/>
  <c r="V10" i="3" s="1"/>
  <c r="W10" i="3" s="1"/>
  <c r="Q11" i="3" s="1"/>
  <c r="R11" i="3" s="1"/>
  <c r="T10" i="1"/>
  <c r="X10" i="1" s="1"/>
  <c r="S11" i="1" s="1"/>
  <c r="U11" i="1" s="1"/>
  <c r="V11" i="1" s="1"/>
  <c r="W11" i="1" s="1"/>
  <c r="Q12" i="1" s="1"/>
  <c r="Y10" i="1"/>
  <c r="X10" i="3" l="1"/>
  <c r="S11" i="3" s="1"/>
  <c r="T11" i="3" s="1"/>
  <c r="T11" i="1"/>
  <c r="X11" i="1" s="1"/>
  <c r="S12" i="1" s="1"/>
  <c r="T12" i="1" s="1"/>
  <c r="Y11" i="1"/>
  <c r="R12" i="1"/>
  <c r="Y11" i="3" l="1"/>
  <c r="U11" i="3"/>
  <c r="V11" i="3" s="1"/>
  <c r="W11" i="3" s="1"/>
  <c r="Q12" i="3" s="1"/>
  <c r="R12" i="3" s="1"/>
  <c r="U12" i="1"/>
  <c r="V12" i="1" s="1"/>
  <c r="X12" i="1" s="1"/>
  <c r="S13" i="1" s="1"/>
  <c r="Y12" i="1"/>
  <c r="X11" i="3" l="1"/>
  <c r="S12" i="3" s="1"/>
  <c r="T12" i="3" s="1"/>
  <c r="T13" i="1"/>
  <c r="W12" i="1"/>
  <c r="Q13" i="1" s="1"/>
  <c r="Y13" i="1" s="1"/>
  <c r="U12" i="3" l="1"/>
  <c r="V12" i="3" s="1"/>
  <c r="W12" i="3" s="1"/>
  <c r="Q13" i="3" s="1"/>
  <c r="R13" i="3" s="1"/>
  <c r="Y12" i="3"/>
  <c r="R13" i="1"/>
  <c r="U13" i="1"/>
  <c r="V13" i="1" s="1"/>
  <c r="X13" i="1" s="1"/>
  <c r="S14" i="1" s="1"/>
  <c r="X12" i="3" l="1"/>
  <c r="S13" i="3" s="1"/>
  <c r="T13" i="3" s="1"/>
  <c r="T14" i="1"/>
  <c r="W13" i="1"/>
  <c r="Q14" i="1" s="1"/>
  <c r="U13" i="3" l="1"/>
  <c r="V13" i="3" s="1"/>
  <c r="X13" i="3" s="1"/>
  <c r="S14" i="3" s="1"/>
  <c r="T14" i="3" s="1"/>
  <c r="Y13" i="3"/>
  <c r="U14" i="1"/>
  <c r="V14" i="1" s="1"/>
  <c r="X14" i="1" s="1"/>
  <c r="S15" i="1" s="1"/>
  <c r="R14" i="1"/>
  <c r="Y14" i="1"/>
  <c r="W13" i="3" l="1"/>
  <c r="Q14" i="3" s="1"/>
  <c r="Y14" i="3" s="1"/>
  <c r="W14" i="1"/>
  <c r="Q15" i="1" s="1"/>
  <c r="Y15" i="1" s="1"/>
  <c r="T15" i="1"/>
  <c r="U14" i="3" l="1"/>
  <c r="V14" i="3" s="1"/>
  <c r="X14" i="3" s="1"/>
  <c r="S15" i="3" s="1"/>
  <c r="T15" i="3" s="1"/>
  <c r="R14" i="3"/>
  <c r="U15" i="1"/>
  <c r="V15" i="1" s="1"/>
  <c r="X15" i="1" s="1"/>
  <c r="S16" i="1" s="1"/>
  <c r="R15" i="1"/>
  <c r="W14" i="3" l="1"/>
  <c r="Q15" i="3" s="1"/>
  <c r="R15" i="3" s="1"/>
  <c r="T16" i="1"/>
  <c r="W15" i="1"/>
  <c r="Q16" i="1" s="1"/>
  <c r="Y15" i="3" l="1"/>
  <c r="U15" i="3"/>
  <c r="V15" i="3" s="1"/>
  <c r="W15" i="3" s="1"/>
  <c r="Q16" i="3" s="1"/>
  <c r="R16" i="3" s="1"/>
  <c r="R16" i="1"/>
  <c r="U16" i="1"/>
  <c r="V16" i="1" s="1"/>
  <c r="X16" i="1" s="1"/>
  <c r="S17" i="1" s="1"/>
  <c r="Y16" i="1"/>
  <c r="X15" i="3" l="1"/>
  <c r="S16" i="3" s="1"/>
  <c r="Y16" i="3" s="1"/>
  <c r="T17" i="1"/>
  <c r="W16" i="1"/>
  <c r="Q17" i="1" s="1"/>
  <c r="T16" i="3" l="1"/>
  <c r="U16" i="3"/>
  <c r="V16" i="3" s="1"/>
  <c r="W16" i="3" s="1"/>
  <c r="Q17" i="3" s="1"/>
  <c r="R17" i="1"/>
  <c r="U17" i="1"/>
  <c r="V17" i="1" s="1"/>
  <c r="Y17" i="1"/>
  <c r="R17" i="3" l="1"/>
  <c r="X16" i="3"/>
  <c r="S17" i="3" s="1"/>
  <c r="W17" i="1"/>
  <c r="Q18" i="1" s="1"/>
  <c r="R18" i="1" s="1"/>
  <c r="X17" i="1"/>
  <c r="S18" i="1" s="1"/>
  <c r="T17" i="3" l="1"/>
  <c r="Y17" i="3"/>
  <c r="U17" i="3"/>
  <c r="T18" i="1"/>
  <c r="Y18" i="1"/>
  <c r="U18" i="1"/>
  <c r="V18" i="1" s="1"/>
  <c r="W18" i="1" s="1"/>
  <c r="Q19" i="1" s="1"/>
  <c r="V17" i="3" l="1"/>
  <c r="W17" i="3" s="1"/>
  <c r="Q18" i="3" s="1"/>
  <c r="X18" i="1"/>
  <c r="S19" i="1" s="1"/>
  <c r="U19" i="1" s="1"/>
  <c r="V19" i="1" s="1"/>
  <c r="R19" i="1"/>
  <c r="X17" i="3" l="1"/>
  <c r="S18" i="3" s="1"/>
  <c r="U18" i="3" s="1"/>
  <c r="R18" i="3"/>
  <c r="T19" i="1"/>
  <c r="X19" i="1" s="1"/>
  <c r="S20" i="1" s="1"/>
  <c r="T20" i="1" s="1"/>
  <c r="Y19" i="1"/>
  <c r="W19" i="1"/>
  <c r="Q20" i="1" s="1"/>
  <c r="Y18" i="3" l="1"/>
  <c r="T18" i="3"/>
  <c r="V18" i="3"/>
  <c r="R20" i="1"/>
  <c r="U20" i="1"/>
  <c r="V20" i="1" s="1"/>
  <c r="Y20" i="1"/>
  <c r="X18" i="3" l="1"/>
  <c r="S19" i="3" s="1"/>
  <c r="T19" i="3" s="1"/>
  <c r="W18" i="3"/>
  <c r="Q19" i="3" s="1"/>
  <c r="W20" i="1"/>
  <c r="Q21" i="1" s="1"/>
  <c r="R21" i="1" s="1"/>
  <c r="X20" i="1"/>
  <c r="S21" i="1" s="1"/>
  <c r="R19" i="3" l="1"/>
  <c r="U19" i="3"/>
  <c r="Y19" i="3"/>
  <c r="U21" i="1"/>
  <c r="V21" i="1" s="1"/>
  <c r="W21" i="1" s="1"/>
  <c r="Q22" i="1" s="1"/>
  <c r="R22" i="1" s="1"/>
  <c r="T21" i="1"/>
  <c r="Y21" i="1"/>
  <c r="V19" i="3" l="1"/>
  <c r="X19" i="3" s="1"/>
  <c r="S20" i="3" s="1"/>
  <c r="X21" i="1"/>
  <c r="S22" i="1" s="1"/>
  <c r="Y22" i="1" s="1"/>
  <c r="W19" i="3" l="1"/>
  <c r="Q20" i="3" s="1"/>
  <c r="Y20" i="3" s="1"/>
  <c r="T20" i="3"/>
  <c r="U22" i="1"/>
  <c r="V22" i="1" s="1"/>
  <c r="W22" i="1" s="1"/>
  <c r="Q23" i="1" s="1"/>
  <c r="R23" i="1" s="1"/>
  <c r="T22" i="1"/>
  <c r="U20" i="3" l="1"/>
  <c r="V20" i="3" s="1"/>
  <c r="R20" i="3"/>
  <c r="X22" i="1"/>
  <c r="S23" i="1" s="1"/>
  <c r="Y23" i="1" s="1"/>
  <c r="W20" i="3" l="1"/>
  <c r="Q21" i="3" s="1"/>
  <c r="R21" i="3" s="1"/>
  <c r="X20" i="3"/>
  <c r="S21" i="3" s="1"/>
  <c r="T21" i="3" s="1"/>
  <c r="U23" i="1"/>
  <c r="V23" i="1" s="1"/>
  <c r="W23" i="1" s="1"/>
  <c r="Q24" i="1" s="1"/>
  <c r="R24" i="1" s="1"/>
  <c r="T23" i="1"/>
  <c r="U21" i="3" l="1"/>
  <c r="V21" i="3" s="1"/>
  <c r="W21" i="3" s="1"/>
  <c r="Q22" i="3" s="1"/>
  <c r="Y21" i="3"/>
  <c r="X23" i="1"/>
  <c r="S24" i="1" s="1"/>
  <c r="Y24" i="1" s="1"/>
  <c r="R22" i="3" l="1"/>
  <c r="X21" i="3"/>
  <c r="S22" i="3" s="1"/>
  <c r="U22" i="3" s="1"/>
  <c r="V22" i="3" s="1"/>
  <c r="U24" i="1"/>
  <c r="V24" i="1" s="1"/>
  <c r="W24" i="1" s="1"/>
  <c r="Q25" i="1" s="1"/>
  <c r="R25" i="1" s="1"/>
  <c r="T24" i="1"/>
  <c r="T22" i="3" l="1"/>
  <c r="X22" i="3" s="1"/>
  <c r="S23" i="3" s="1"/>
  <c r="Y22" i="3"/>
  <c r="W22" i="3"/>
  <c r="Q23" i="3" s="1"/>
  <c r="X24" i="1"/>
  <c r="S25" i="1" s="1"/>
  <c r="T25" i="1" s="1"/>
  <c r="R23" i="3" l="1"/>
  <c r="U23" i="3"/>
  <c r="T23" i="3"/>
  <c r="Y23" i="3"/>
  <c r="U25" i="1"/>
  <c r="V25" i="1" s="1"/>
  <c r="W25" i="1" s="1"/>
  <c r="Q26" i="1" s="1"/>
  <c r="R26" i="1" s="1"/>
  <c r="Y25" i="1"/>
  <c r="V23" i="3" l="1"/>
  <c r="X23" i="3" s="1"/>
  <c r="S24" i="3" s="1"/>
  <c r="X25" i="1"/>
  <c r="S26" i="1" s="1"/>
  <c r="U26" i="1" s="1"/>
  <c r="V26" i="1" s="1"/>
  <c r="W26" i="1" s="1"/>
  <c r="Q27" i="1" s="1"/>
  <c r="T24" i="3" l="1"/>
  <c r="W23" i="3"/>
  <c r="Q24" i="3" s="1"/>
  <c r="Y24" i="3" s="1"/>
  <c r="T26" i="1"/>
  <c r="X26" i="1" s="1"/>
  <c r="S27" i="1" s="1"/>
  <c r="U27" i="1" s="1"/>
  <c r="V27" i="1" s="1"/>
  <c r="Y26" i="1"/>
  <c r="R27" i="1"/>
  <c r="R24" i="3" l="1"/>
  <c r="U24" i="3"/>
  <c r="W27" i="1"/>
  <c r="Q28" i="1" s="1"/>
  <c r="R28" i="1" s="1"/>
  <c r="T27" i="1"/>
  <c r="X27" i="1" s="1"/>
  <c r="S28" i="1" s="1"/>
  <c r="Y27" i="1"/>
  <c r="V24" i="3" l="1"/>
  <c r="X24" i="3" s="1"/>
  <c r="S25" i="3" s="1"/>
  <c r="T28" i="1"/>
  <c r="Y28" i="1"/>
  <c r="U28" i="1"/>
  <c r="V28" i="1" s="1"/>
  <c r="W28" i="1" s="1"/>
  <c r="Q29" i="1" s="1"/>
  <c r="R29" i="1" s="1"/>
  <c r="T25" i="3" l="1"/>
  <c r="W24" i="3"/>
  <c r="Q25" i="3" s="1"/>
  <c r="X28" i="1"/>
  <c r="S29" i="1" s="1"/>
  <c r="R25" i="3" l="1"/>
  <c r="U25" i="3"/>
  <c r="Y25" i="3"/>
  <c r="Y29" i="1"/>
  <c r="T29" i="1"/>
  <c r="U29" i="1"/>
  <c r="V29" i="1" s="1"/>
  <c r="W29" i="1" s="1"/>
  <c r="Q30" i="1" s="1"/>
  <c r="R30" i="1" s="1"/>
  <c r="V25" i="3" l="1"/>
  <c r="X25" i="3" s="1"/>
  <c r="S26" i="3" s="1"/>
  <c r="X29" i="1"/>
  <c r="S30" i="1" s="1"/>
  <c r="T26" i="3" l="1"/>
  <c r="W25" i="3"/>
  <c r="Q26" i="3" s="1"/>
  <c r="T30" i="1"/>
  <c r="Y30" i="1"/>
  <c r="U30" i="1"/>
  <c r="V30" i="1" s="1"/>
  <c r="R26" i="3" l="1"/>
  <c r="U26" i="3"/>
  <c r="V26" i="3" s="1"/>
  <c r="X26" i="3" s="1"/>
  <c r="S27" i="3" s="1"/>
  <c r="Y26" i="3"/>
  <c r="X30" i="1"/>
  <c r="S31" i="1" s="1"/>
  <c r="W30" i="1"/>
  <c r="Q31" i="1" s="1"/>
  <c r="T27" i="3" l="1"/>
  <c r="W26" i="3"/>
  <c r="Q27" i="3" s="1"/>
  <c r="R31" i="1"/>
  <c r="U31" i="1"/>
  <c r="V31" i="1" s="1"/>
  <c r="T31" i="1"/>
  <c r="Y31" i="1"/>
  <c r="R27" i="3" l="1"/>
  <c r="U27" i="3"/>
  <c r="Y27" i="3"/>
  <c r="X31" i="1"/>
  <c r="S32" i="1" s="1"/>
  <c r="T32" i="1" s="1"/>
  <c r="W31" i="1"/>
  <c r="Q32" i="1" s="1"/>
  <c r="V27" i="3" l="1"/>
  <c r="X27" i="3" s="1"/>
  <c r="S28" i="3" s="1"/>
  <c r="R32" i="1"/>
  <c r="U32" i="1"/>
  <c r="V32" i="1" s="1"/>
  <c r="X32" i="1" s="1"/>
  <c r="S33" i="1" s="1"/>
  <c r="T33" i="1" s="1"/>
  <c r="Y32" i="1"/>
  <c r="T28" i="3" l="1"/>
  <c r="W27" i="3"/>
  <c r="Q28" i="3" s="1"/>
  <c r="Y28" i="3" s="1"/>
  <c r="W32" i="1"/>
  <c r="Q33" i="1" s="1"/>
  <c r="R28" i="3" l="1"/>
  <c r="U28" i="3"/>
  <c r="R33" i="1"/>
  <c r="U33" i="1"/>
  <c r="V33" i="1" s="1"/>
  <c r="X33" i="1" s="1"/>
  <c r="S34" i="1" s="1"/>
  <c r="T34" i="1" s="1"/>
  <c r="Y33" i="1"/>
  <c r="V28" i="3" l="1"/>
  <c r="X28" i="3" s="1"/>
  <c r="S29" i="3" s="1"/>
  <c r="W33" i="1"/>
  <c r="Q34" i="1" s="1"/>
  <c r="T29" i="3" l="1"/>
  <c r="W28" i="3"/>
  <c r="Q29" i="3" s="1"/>
  <c r="Y29" i="3" s="1"/>
  <c r="R34" i="1"/>
  <c r="U34" i="1"/>
  <c r="Y34" i="1"/>
  <c r="R29" i="3" l="1"/>
  <c r="U29" i="3"/>
  <c r="K24" i="1"/>
  <c r="K25" i="1" s="1"/>
  <c r="G9" i="1" s="1"/>
  <c r="G27" i="1" s="1"/>
  <c r="V34" i="1"/>
  <c r="G10" i="1" l="1"/>
  <c r="G19" i="1" s="1"/>
  <c r="G24" i="1" s="1"/>
  <c r="V29" i="3"/>
  <c r="X29" i="3" s="1"/>
  <c r="S30" i="3" s="1"/>
  <c r="W34" i="1"/>
  <c r="X34" i="1"/>
  <c r="G25" i="1" l="1"/>
  <c r="G42" i="1"/>
  <c r="G26" i="1"/>
  <c r="T30" i="3"/>
  <c r="W29" i="3"/>
  <c r="Q30" i="3" s="1"/>
  <c r="G43" i="1" l="1"/>
  <c r="G46" i="1" s="1"/>
  <c r="G37" i="1"/>
  <c r="AG4" i="1" s="1"/>
  <c r="R30" i="3"/>
  <c r="U30" i="3"/>
  <c r="Y30" i="3"/>
  <c r="G38" i="1" l="1"/>
  <c r="AC4" i="1"/>
  <c r="AE4" i="1"/>
  <c r="V30" i="3"/>
  <c r="X30" i="3" s="1"/>
  <c r="S31" i="3" s="1"/>
  <c r="T31" i="3" l="1"/>
  <c r="W30" i="3"/>
  <c r="Q31" i="3" s="1"/>
  <c r="R31" i="3" l="1"/>
  <c r="U31" i="3"/>
  <c r="Y31" i="3"/>
  <c r="V31" i="3" l="1"/>
  <c r="X31" i="3" s="1"/>
  <c r="S32" i="3" s="1"/>
  <c r="T32" i="3" l="1"/>
  <c r="W31" i="3"/>
  <c r="Q32" i="3" s="1"/>
  <c r="R32" i="3" l="1"/>
  <c r="U32" i="3"/>
  <c r="Y32" i="3"/>
  <c r="V32" i="3" l="1"/>
  <c r="X32" i="3" s="1"/>
  <c r="S33" i="3" s="1"/>
  <c r="T33" i="3" l="1"/>
  <c r="W32" i="3"/>
  <c r="Q33" i="3" s="1"/>
  <c r="R33" i="3" l="1"/>
  <c r="U33" i="3"/>
  <c r="Y33" i="3"/>
  <c r="V33" i="3" l="1"/>
  <c r="X33" i="3" s="1"/>
  <c r="S34" i="3" s="1"/>
  <c r="T34" i="3" l="1"/>
  <c r="W33" i="3"/>
  <c r="Q34" i="3" s="1"/>
  <c r="R34" i="3" l="1"/>
  <c r="U34" i="3"/>
  <c r="K23" i="3" s="1"/>
  <c r="K24" i="3" s="1"/>
  <c r="G9" i="3" s="1"/>
  <c r="Y34" i="3"/>
  <c r="G10" i="3" l="1"/>
  <c r="G19" i="3" s="1"/>
  <c r="V34" i="3"/>
  <c r="X34" i="3" s="1"/>
  <c r="W34" i="3" l="1"/>
  <c r="G24" i="3" l="1"/>
  <c r="G42" i="3" l="1"/>
  <c r="G46" i="3" s="1"/>
  <c r="G36" i="3"/>
  <c r="AG4" i="3" l="1"/>
  <c r="AE4" i="3"/>
  <c r="AC4" i="3"/>
  <c r="G37" i="3"/>
</calcChain>
</file>

<file path=xl/sharedStrings.xml><?xml version="1.0" encoding="utf-8"?>
<sst xmlns="http://schemas.openxmlformats.org/spreadsheetml/2006/main" count="342" uniqueCount="134">
  <si>
    <t>!!! Press F9 to recalculate !!!</t>
  </si>
  <si>
    <t>lift+cruise</t>
  </si>
  <si>
    <t>rotor_lift_solidity</t>
  </si>
  <si>
    <t>rotor_cruise_solidity</t>
  </si>
  <si>
    <t>hover_FM</t>
  </si>
  <si>
    <t>Cd0</t>
  </si>
  <si>
    <t>wing_AR</t>
  </si>
  <si>
    <t>Battery parameters</t>
  </si>
  <si>
    <t>battery_rho</t>
  </si>
  <si>
    <t>Wh/kg</t>
  </si>
  <si>
    <t>battery_eff</t>
  </si>
  <si>
    <t>battery_max_discharge</t>
  </si>
  <si>
    <t>Design parameters</t>
  </si>
  <si>
    <t>kg</t>
  </si>
  <si>
    <t>r_rotor_lift</t>
  </si>
  <si>
    <t>m</t>
  </si>
  <si>
    <t>r_rotor_cruise</t>
  </si>
  <si>
    <t>cruise_speed</t>
  </si>
  <si>
    <t>m/s</t>
  </si>
  <si>
    <t>wing_area</t>
  </si>
  <si>
    <t>m^2</t>
  </si>
  <si>
    <t>Rotor|J</t>
  </si>
  <si>
    <t>Mission requirements</t>
  </si>
  <si>
    <t>flight_range</t>
  </si>
  <si>
    <t>hover_time</t>
  </si>
  <si>
    <t>s</t>
  </si>
  <si>
    <t>rho_air</t>
  </si>
  <si>
    <t>kg/m^3</t>
  </si>
  <si>
    <t>gravitational_accel</t>
  </si>
  <si>
    <t>m/s^2</t>
  </si>
  <si>
    <t>Softmax</t>
  </si>
  <si>
    <t>rho</t>
  </si>
  <si>
    <t>W</t>
  </si>
  <si>
    <t>thrust_each</t>
  </si>
  <si>
    <t>N</t>
  </si>
  <si>
    <t>Cruise segment modeling</t>
  </si>
  <si>
    <t>power_fwd_each</t>
  </si>
  <si>
    <t>power_forward</t>
  </si>
  <si>
    <t>Energy and time</t>
  </si>
  <si>
    <t>energy_cnsmp</t>
  </si>
  <si>
    <t>Wh</t>
  </si>
  <si>
    <t>flight_time</t>
  </si>
  <si>
    <t>Aerodynamics</t>
  </si>
  <si>
    <t>lift</t>
  </si>
  <si>
    <t>dyn_pressure</t>
  </si>
  <si>
    <t>N/m^2</t>
  </si>
  <si>
    <t>CL_cruise</t>
  </si>
  <si>
    <t>Rotor performance</t>
  </si>
  <si>
    <t>alpha</t>
  </si>
  <si>
    <t>rad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</si>
  <si>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</si>
  <si>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</si>
  <si>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</si>
  <si>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</si>
  <si>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</si>
  <si>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</si>
  <si>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</si>
  <si>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</si>
  <si>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</si>
  <si>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</si>
  <si>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N_rotors_lift</t>
  </si>
  <si>
    <t>N_rotors_cruise</t>
  </si>
  <si>
    <t>evtol_config</t>
  </si>
  <si>
    <t>W_total_takeoff</t>
  </si>
  <si>
    <t>f</t>
  </si>
  <si>
    <t>CD0</t>
  </si>
  <si>
    <t>Parasite_drag</t>
  </si>
  <si>
    <t>Oswald_e</t>
  </si>
  <si>
    <t>CD_cruise</t>
  </si>
  <si>
    <t>Total_drag</t>
  </si>
  <si>
    <t>AoA</t>
  </si>
  <si>
    <t>deg</t>
  </si>
  <si>
    <t>Bisection method for solving RotorInflow lambda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</si>
  <si>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</si>
  <si>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</si>
  <si>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</si>
  <si>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</si>
  <si>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</si>
  <si>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</si>
  <si>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</si>
  <si>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</si>
  <si>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</si>
  <si>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</si>
  <si>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</si>
  <si>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</si>
  <si>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W_rotors</t>
  </si>
  <si>
    <t>W_motors</t>
  </si>
  <si>
    <t>W_wing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</si>
  <si>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</si>
  <si>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</si>
  <si>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</si>
  <si>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</si>
  <si>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</si>
  <si>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</si>
  <si>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</si>
  <si>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</si>
  <si>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</si>
  <si>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</si>
  <si>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</si>
  <si>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</si>
  <si>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</si>
  <si>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</si>
  <si>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</si>
  <si>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Bisection method for solving W_total</t>
  </si>
  <si>
    <t>W_powerplant</t>
  </si>
  <si>
    <t>W_structure</t>
  </si>
  <si>
    <t>W_equipment</t>
  </si>
  <si>
    <t>Constants</t>
  </si>
  <si>
    <t>eVTOL general parameters</t>
  </si>
  <si>
    <t>multirotor</t>
  </si>
  <si>
    <t>Rotor|mu</t>
  </si>
  <si>
    <t>Stability (trim)</t>
  </si>
  <si>
    <t>Thrust_all</t>
  </si>
  <si>
    <t>sin_beta</t>
  </si>
  <si>
    <t>Bisection method for solving W_total_takeoff</t>
  </si>
  <si>
    <t>technology_factor</t>
  </si>
  <si>
    <t>L/D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</si>
  <si>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</si>
  <si>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</si>
  <si>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</si>
  <si>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</si>
  <si>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</si>
  <si>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</si>
  <si>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power_cruise</t>
  </si>
  <si>
    <t>power_each_motor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</si>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</sst>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4" borderId="0" xfId="0" applyFill="1"/>
    <xf numFmtId="0" fontId="2" fillId="3" borderId="0" xfId="0" applyFont="1" applyFill="1" applyAlignment="1">
      <alignment horizontal="left"/>
    </xf>
    <xf numFmtId="0" fontId="0" fillId="5" borderId="0" xfId="0" applyFill="1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7" borderId="0" xfId="0" applyFont="1" applyFill="1"/>
    <xf numFmtId="0" fontId="3" fillId="10" borderId="0" xfId="0" applyFont="1" applyFill="1"/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2" fillId="3" borderId="0" xfId="0" applyFont="1" applyFill="1"/>
    <xf numFmtId="0" fontId="0" fillId="3" borderId="0" xfId="0" applyFill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0" fillId="0" borderId="0" xfId="0"/>
    <xf numFmtId="0" fontId="0" fillId="3" borderId="0" xfId="0" applyFill="1" applyAlignment="1">
      <alignment horizontal="left" vertical="center"/>
    </xf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65-E84A-B883-6FDC7CEE418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E65-E84A-B883-6FDC7CEE418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E65-E84A-B883-6FDC7CEE418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E65-E84A-B883-6FDC7CEE418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E65-E84A-B883-6FDC7CEE418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multirotor!$F$41:$F$45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W_powerplant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multirotor!$G$41:$G$45</c:f>
              <c:numCache>
                <c:formatCode>General</c:formatCode>
                <c:ptCount val="5"/>
                <c:pt idx="0">
                  <c:v>45.54</c:v>
                </c:pt>
                <c:pt idx="1">
                  <c:v>24.41</c:v>
                </c:pt>
                <c:pt idx="2">
                  <c:v>10.63</c:v>
                </c:pt>
                <c:pt idx="3">
                  <c:v>14.75</c:v>
                </c:pt>
                <c:pt idx="4">
                  <c:v>4.67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E65-E84A-B883-6FDC7CEE418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BBE-1C49-AF66-55E3903E226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BBE-1C49-AF66-55E3903E226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BBE-1C49-AF66-55E3903E226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BBE-1C49-AF66-55E3903E226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BBE-1C49-AF66-55E3903E22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'lift+cruise'!$F$41:$F$45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'lift+cruise'!$G$41:$G$45</c:f>
              <c:numCache>
                <c:formatCode>General</c:formatCode>
                <c:ptCount val="5"/>
                <c:pt idx="0">
                  <c:v>42.32</c:v>
                </c:pt>
                <c:pt idx="1">
                  <c:v>10.83</c:v>
                </c:pt>
                <c:pt idx="2">
                  <c:v>13.47</c:v>
                </c:pt>
                <c:pt idx="3">
                  <c:v>28.71</c:v>
                </c:pt>
                <c:pt idx="4">
                  <c:v>4.67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45-D548-80A9-F0A77DB7226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355600</xdr:colOff>
      <xdr:row>28</xdr:row>
      <xdr:rowOff>165100</xdr:rowOff>
    </xdr:from>
    <xdr:to>
      <xdr:col>14</xdr:col>
      <xdr:colOff>165100</xdr:colOff>
      <xdr:row>40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19D55D-791F-714A-8E56-8D10C7171E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29</xdr:row>
      <xdr:rowOff>114300</xdr:rowOff>
    </xdr:from>
    <xdr:to>
      <xdr:col>14</xdr:col>
      <xdr:colOff>0</xdr:colOff>
      <xdr:row>41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547BA0-5BDD-EFD7-530F-6F79C8E17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71EB-89B6-F54E-A7EC-520F7563A407}">
  <dimension ref="B1:AJ57"/>
  <sheetViews>
    <sheetView tabSelected="1" workbookViewId="0">
      <selection activeCell="F15" sqref="F15"/>
    </sheetView>
  </sheetViews>
  <sheetFormatPr baseColWidth="10" defaultRowHeight="16" x14ac:dyDescent="0.2"/>
  <cols>
    <col min="1" max="1" width="4.1640625" style="20" customWidth="1"/>
    <col min="2" max="2" width="20.5" style="20" customWidth="1"/>
    <col min="3" max="3" width="10.83203125" style="20"/>
    <col min="4" max="4" width="7.1640625" style="20" customWidth="1"/>
    <col min="5" max="5" width="5.6640625" style="20" customWidth="1"/>
    <col min="6" max="6" width="19.33203125" style="20" customWidth="1"/>
    <col min="7" max="7" width="13.1640625" style="20" customWidth="1"/>
    <col min="8" max="8" width="4.1640625" style="20" customWidth="1"/>
    <col min="9" max="9" width="6" style="20" customWidth="1"/>
    <col min="10" max="10" width="12" style="20" customWidth="1"/>
    <col min="11" max="11" width="10.83203125" style="20"/>
    <col min="12" max="12" width="6.33203125" style="20" customWidth="1"/>
    <col min="13" max="13" width="4" style="20" customWidth="1"/>
    <col min="14" max="15" width="3.83203125" style="20" customWidth="1"/>
    <col min="16" max="16" width="5.5" style="20" customWidth="1"/>
    <col min="17" max="18" width="6.1640625" style="20" customWidth="1"/>
    <col min="19" max="19" width="6.6640625" style="20" customWidth="1"/>
    <col min="20" max="20" width="7" style="20" customWidth="1"/>
    <col min="21" max="21" width="14.6640625" style="20" customWidth="1"/>
    <col min="22" max="22" width="7.83203125" style="20" customWidth="1"/>
    <col min="23" max="23" width="10" style="20" customWidth="1"/>
    <col min="24" max="24" width="9.5" style="20" customWidth="1"/>
    <col min="25" max="25" width="13.6640625" style="20" customWidth="1"/>
    <col min="26" max="26" width="10.83203125" style="20"/>
    <col min="27" max="27" width="5.1640625" style="20" customWidth="1"/>
    <col min="28" max="31" width="10.83203125" style="20"/>
    <col min="32" max="32" width="18.33203125" style="20" customWidth="1"/>
    <col min="33" max="16384" width="10.83203125" style="20"/>
  </cols>
  <sheetData>
    <row r="1" spans="2:36" x14ac:dyDescent="0.2">
      <c r="B1" s="23" t="s">
        <v>0</v>
      </c>
      <c r="C1" s="23"/>
      <c r="D1" s="23"/>
    </row>
    <row r="2" spans="2:36" x14ac:dyDescent="0.2">
      <c r="P2" s="42" t="s">
        <v>72</v>
      </c>
      <c r="AA2" s="42" t="s">
        <v>114</v>
      </c>
    </row>
    <row r="3" spans="2:36" x14ac:dyDescent="0.2">
      <c r="B3" s="24" t="s">
        <v>108</v>
      </c>
      <c r="C3" s="25"/>
      <c r="D3" s="25"/>
      <c r="F3" s="24" t="s">
        <v>120</v>
      </c>
      <c r="G3" s="25"/>
      <c r="H3" s="25"/>
      <c r="J3" s="26" t="s">
        <v>42</v>
      </c>
      <c r="K3" s="26"/>
      <c r="L3" s="26"/>
      <c r="P3" s="33" t="s">
        <v>73</v>
      </c>
      <c r="Q3" s="33" t="s">
        <v>74</v>
      </c>
      <c r="R3" s="33" t="s">
        <v>75</v>
      </c>
      <c r="S3" s="33" t="s">
        <v>76</v>
      </c>
      <c r="T3" s="33" t="s">
        <v>77</v>
      </c>
      <c r="U3" s="33" t="s">
        <v>78</v>
      </c>
      <c r="V3" s="33" t="s">
        <v>79</v>
      </c>
      <c r="W3" s="33" t="s">
        <v>80</v>
      </c>
      <c r="X3" s="33" t="s">
        <v>81</v>
      </c>
      <c r="Y3" s="33" t="s">
        <v>82</v>
      </c>
      <c r="AA3" s="33" t="s">
        <v>73</v>
      </c>
      <c r="AB3" s="33" t="s">
        <v>74</v>
      </c>
      <c r="AC3" s="33" t="s">
        <v>75</v>
      </c>
      <c r="AD3" s="33" t="s">
        <v>76</v>
      </c>
      <c r="AE3" s="33" t="s">
        <v>77</v>
      </c>
      <c r="AF3" s="33" t="s">
        <v>78</v>
      </c>
      <c r="AG3" s="33" t="s">
        <v>79</v>
      </c>
      <c r="AH3" s="33" t="s">
        <v>80</v>
      </c>
      <c r="AI3" s="33" t="s">
        <v>81</v>
      </c>
      <c r="AJ3" s="33" t="s">
        <v>82</v>
      </c>
    </row>
    <row r="4" spans="2:36" x14ac:dyDescent="0.2">
      <c r="B4" s="20" t="s">
        <v>62</v>
      </c>
      <c r="C4" s="43" t="s">
        <v>109</v>
      </c>
      <c r="F4" s="20" t="s">
        <v>122</v>
      </c>
      <c r="G4" s="20">
        <f xml:space="preserve"> ($C$15*$C$31)/$C$7 * ( ($C$24/2) + SQRT( ($C$24/2)^2 + ($C$15*$C$31)/(2*$C$30*$C$5*PI()*$C$16*$C$16 ) ) )</f>
        <v>160635.57229467967</v>
      </c>
      <c r="H4" s="20" t="s">
        <v>32</v>
      </c>
      <c r="J4" s="20" t="s">
        <v>44</v>
      </c>
      <c r="K4" s="20">
        <f xml:space="preserve"> 0.5 * $C$30 * $C$17^2</f>
        <v>551.25</v>
      </c>
      <c r="L4" s="20" t="s">
        <v>45</v>
      </c>
      <c r="P4" s="8">
        <v>0</v>
      </c>
      <c r="Q4" s="9">
        <v>0</v>
      </c>
      <c r="R4" s="8">
        <f xml:space="preserve"> $C$18 * TAN($K$17) + $K$20 / (2 * SQRT($C$18^2 + Q4^2)) - Q4</f>
        <v>0.10469935964721744</v>
      </c>
      <c r="S4" s="9">
        <v>1</v>
      </c>
      <c r="T4" s="8">
        <f xml:space="preserve"> $C$18 * TAN($K$17) + $K$20 / (2 * SQRT($C$18^2 + S4^2)) - S4</f>
        <v>-0.93483959532091043</v>
      </c>
      <c r="U4" s="8">
        <f xml:space="preserve"> (Q4 + S4)/2</f>
        <v>0.5</v>
      </c>
      <c r="V4" s="8">
        <f xml:space="preserve"> $C$18 * TAN($K$17) + $K$20 / (2 * SQRT($C$18^2 + U4^2)) - U4</f>
        <v>-0.42223710777383461</v>
      </c>
      <c r="W4" s="8">
        <f>R4*V4</f>
        <v>-4.4207954803213621E-2</v>
      </c>
      <c r="X4" s="8">
        <f>T4*V4</f>
        <v>0.39472396696076317</v>
      </c>
      <c r="Y4" s="8">
        <f>S4-Q4</f>
        <v>1</v>
      </c>
      <c r="AA4" s="8">
        <v>0</v>
      </c>
      <c r="AB4" s="8"/>
      <c r="AC4" s="8">
        <f>G36</f>
        <v>-4.6225068217609078E-10</v>
      </c>
      <c r="AD4" s="8"/>
      <c r="AE4" s="8">
        <f>G36</f>
        <v>-4.6225068217609078E-10</v>
      </c>
      <c r="AF4" s="8"/>
      <c r="AG4" s="8">
        <f>G36</f>
        <v>-4.6225068217609078E-10</v>
      </c>
      <c r="AH4" s="8"/>
      <c r="AI4" s="8"/>
      <c r="AJ4" s="8"/>
    </row>
    <row r="5" spans="2:36" x14ac:dyDescent="0.2">
      <c r="B5" s="20" t="s">
        <v>60</v>
      </c>
      <c r="C5" s="43">
        <v>7</v>
      </c>
      <c r="F5" s="20" t="s">
        <v>33</v>
      </c>
      <c r="G5" s="20">
        <f xml:space="preserve"> $C$15 * $C$31 / $C$5</f>
        <v>1231.0698232229099</v>
      </c>
      <c r="H5" s="20" t="s">
        <v>34</v>
      </c>
      <c r="J5" s="20" t="s">
        <v>64</v>
      </c>
      <c r="K5" s="20">
        <f xml:space="preserve"> 0.0327 * ($C$15*2.20462)^0.8903 * 0.3048^2</f>
        <v>2.5646863018340929</v>
      </c>
      <c r="L5" s="20" t="s">
        <v>20</v>
      </c>
      <c r="P5" s="8">
        <v>1</v>
      </c>
      <c r="Q5" s="8">
        <f>IF(W4&gt;0, U4, Q4)</f>
        <v>0</v>
      </c>
      <c r="R5" s="8">
        <f t="shared" ref="R5:R34" si="0" xml:space="preserve"> $C$18 * TAN($K$17) + $K$20 / (2 * SQRT($C$18^2 + Q5^2)) - Q5</f>
        <v>0.10469935964721744</v>
      </c>
      <c r="S5" s="8">
        <f>IF(X4&gt;0, U4, S4)</f>
        <v>0.5</v>
      </c>
      <c r="T5" s="8">
        <f t="shared" ref="T5:T34" si="1" xml:space="preserve"> $C$18 * TAN($K$17) + $K$20 / (2 * SQRT($C$18^2 + S5^2)) - S5</f>
        <v>-0.42223710777383461</v>
      </c>
      <c r="U5" s="8">
        <f t="shared" ref="U5:U34" si="2" xml:space="preserve"> (Q5 + S5)/2</f>
        <v>0.25</v>
      </c>
      <c r="V5" s="8">
        <f t="shared" ref="V5:V34" si="3" xml:space="preserve"> $C$18 * TAN($K$17) + $K$20 / (2 * SQRT($C$18^2 + U5^2)) - U5</f>
        <v>-0.158160054087705</v>
      </c>
      <c r="W5" s="8">
        <f t="shared" ref="W5:W34" si="4">R5*V5</f>
        <v>-1.6559256384751989E-2</v>
      </c>
      <c r="X5" s="8">
        <f t="shared" ref="X5:X34" si="5">T5*V5</f>
        <v>6.6781043803345805E-2</v>
      </c>
      <c r="Y5" s="8">
        <f t="shared" ref="Y5:Y34" si="6">S5-Q5</f>
        <v>0.5</v>
      </c>
      <c r="AA5" s="8">
        <v>1</v>
      </c>
      <c r="AB5" s="9">
        <v>500</v>
      </c>
      <c r="AC5" s="8">
        <f t="dataTable" ref="AC5:AC44" dt2D="0" dtr="0" r1="C15" ca="1"/>
        <v>-183.26806206823142</v>
      </c>
      <c r="AD5" s="9">
        <v>2500</v>
      </c>
      <c r="AE5" s="8">
        <f t="dataTable" ref="AE5:AE44" dt2D="0" dtr="0" r1="C15" ca="1"/>
        <v>344.58393362632614</v>
      </c>
      <c r="AF5" s="8">
        <f>(AB5+AD5)/2</f>
        <v>1500</v>
      </c>
      <c r="AG5" s="8">
        <f t="dataTable" ref="AG5:AG44" dt2D="0" dtr="0" r1="C15"/>
        <v>210.53753753571721</v>
      </c>
      <c r="AH5" s="8">
        <f>AC5*AG5</f>
        <v>-38584.80649678842</v>
      </c>
      <c r="AI5" s="8">
        <f>AE5*AG5</f>
        <v>72547.852860057727</v>
      </c>
      <c r="AJ5" s="8">
        <f>AD5-AB5</f>
        <v>2000</v>
      </c>
    </row>
    <row r="6" spans="2:36" x14ac:dyDescent="0.2">
      <c r="B6" s="20" t="s">
        <v>2</v>
      </c>
      <c r="C6" s="43">
        <v>0.13</v>
      </c>
      <c r="F6" s="20" t="s">
        <v>130</v>
      </c>
      <c r="G6" s="34">
        <f xml:space="preserve"> $C$25/$C$24</f>
        <v>60</v>
      </c>
      <c r="H6" s="20" t="s">
        <v>25</v>
      </c>
      <c r="J6" s="20" t="s">
        <v>65</v>
      </c>
      <c r="K6" s="20">
        <f xml:space="preserve"> K5 / ($C$5 * PI() * $C$16^2)</f>
        <v>0.11662357211913388</v>
      </c>
      <c r="P6" s="8">
        <v>2</v>
      </c>
      <c r="Q6" s="8">
        <f t="shared" ref="Q6:Q34" si="7">IF(W5&gt;0, U5, Q5)</f>
        <v>0</v>
      </c>
      <c r="R6" s="8">
        <f t="shared" si="0"/>
        <v>0.10469935964721744</v>
      </c>
      <c r="S6" s="8">
        <f t="shared" ref="S6:S34" si="8">IF(X5&gt;0, U5, S5)</f>
        <v>0.25</v>
      </c>
      <c r="T6" s="8">
        <f t="shared" si="1"/>
        <v>-0.158160054087705</v>
      </c>
      <c r="U6" s="8">
        <f t="shared" si="2"/>
        <v>0.125</v>
      </c>
      <c r="V6" s="8">
        <f t="shared" si="3"/>
        <v>-2.4568442289900821E-2</v>
      </c>
      <c r="W6" s="8">
        <f t="shared" si="4"/>
        <v>-2.5723001752822323E-3</v>
      </c>
      <c r="X6" s="8">
        <f t="shared" si="5"/>
        <v>3.885746161421373E-3</v>
      </c>
      <c r="Y6" s="8">
        <f t="shared" si="6"/>
        <v>0.25</v>
      </c>
      <c r="AA6" s="8">
        <v>2</v>
      </c>
      <c r="AB6" s="8">
        <f>IF(AH5&gt;0, AF5, AB5)</f>
        <v>500</v>
      </c>
      <c r="AC6" s="8">
        <v>-183.26806206823142</v>
      </c>
      <c r="AD6" s="8">
        <f>IF(AI5&gt;0, AF5, AD5)</f>
        <v>1500</v>
      </c>
      <c r="AE6" s="8">
        <v>210.53753753571721</v>
      </c>
      <c r="AF6" s="8">
        <f t="shared" ref="AF6:AF44" si="9">(AB6+AD6)/2</f>
        <v>1000</v>
      </c>
      <c r="AG6" s="8">
        <v>49.726369705221714</v>
      </c>
      <c r="AH6" s="8">
        <f t="shared" ref="AH6:AH44" si="10">AC6*AG6</f>
        <v>-9113.2554095643954</v>
      </c>
      <c r="AI6" s="8">
        <f t="shared" ref="AI6:AI44" si="11">AE6*AG6</f>
        <v>10469.267428328067</v>
      </c>
      <c r="AJ6" s="8">
        <f t="shared" ref="AJ6:AJ44" si="12">AD6-AB6</f>
        <v>1000</v>
      </c>
    </row>
    <row r="7" spans="2:36" x14ac:dyDescent="0.2">
      <c r="B7" s="20" t="s">
        <v>4</v>
      </c>
      <c r="C7" s="43">
        <v>0.75</v>
      </c>
      <c r="J7" s="20" t="s">
        <v>66</v>
      </c>
      <c r="K7" s="20">
        <f xml:space="preserve"> K4 * K5</f>
        <v>1413.7833238860437</v>
      </c>
      <c r="L7" s="20" t="s">
        <v>34</v>
      </c>
      <c r="P7" s="8">
        <v>3</v>
      </c>
      <c r="Q7" s="8">
        <f t="shared" si="7"/>
        <v>0</v>
      </c>
      <c r="R7" s="8">
        <f t="shared" si="0"/>
        <v>0.10469935964721744</v>
      </c>
      <c r="S7" s="8">
        <f t="shared" si="8"/>
        <v>0.125</v>
      </c>
      <c r="T7" s="8">
        <f t="shared" si="1"/>
        <v>-2.4568442289900821E-2</v>
      </c>
      <c r="U7" s="8">
        <f t="shared" si="2"/>
        <v>6.25E-2</v>
      </c>
      <c r="V7" s="8">
        <f t="shared" si="3"/>
        <v>4.1033163377521026E-2</v>
      </c>
      <c r="W7" s="8">
        <f t="shared" si="4"/>
        <v>4.2961459299261052E-3</v>
      </c>
      <c r="X7" s="8">
        <f t="shared" si="5"/>
        <v>-1.0081209064126972E-3</v>
      </c>
      <c r="Y7" s="8">
        <f t="shared" si="6"/>
        <v>0.125</v>
      </c>
      <c r="AA7" s="8">
        <v>3</v>
      </c>
      <c r="AB7" s="8">
        <f t="shared" ref="AB7:AB44" si="13">IF(AH6&gt;0, AF6, AB6)</f>
        <v>500</v>
      </c>
      <c r="AC7" s="8">
        <v>-183.26806206823142</v>
      </c>
      <c r="AD7" s="8">
        <f t="shared" ref="AD7:AD44" si="14">IF(AI6&gt;0, AF6, AD6)</f>
        <v>1000</v>
      </c>
      <c r="AE7" s="8">
        <v>49.726369705221714</v>
      </c>
      <c r="AF7" s="8">
        <f t="shared" si="9"/>
        <v>750</v>
      </c>
      <c r="AG7" s="8">
        <v>-57.296649768320606</v>
      </c>
      <c r="AH7" s="8">
        <f t="shared" si="10"/>
        <v>10500.645966042299</v>
      </c>
      <c r="AI7" s="8">
        <f t="shared" si="11"/>
        <v>-2849.1543892501163</v>
      </c>
      <c r="AJ7" s="8">
        <f t="shared" si="12"/>
        <v>500</v>
      </c>
    </row>
    <row r="8" spans="2:36" x14ac:dyDescent="0.2">
      <c r="F8" s="24" t="s">
        <v>35</v>
      </c>
      <c r="G8" s="25"/>
      <c r="H8" s="25"/>
      <c r="J8" s="20" t="s">
        <v>69</v>
      </c>
      <c r="K8" s="20">
        <f xml:space="preserve"> K7</f>
        <v>1413.7833238860437</v>
      </c>
      <c r="L8" s="20" t="s">
        <v>34</v>
      </c>
      <c r="P8" s="8">
        <v>4</v>
      </c>
      <c r="Q8" s="8">
        <f t="shared" si="7"/>
        <v>6.25E-2</v>
      </c>
      <c r="R8" s="8">
        <f t="shared" si="0"/>
        <v>4.1033163377521026E-2</v>
      </c>
      <c r="S8" s="8">
        <f t="shared" si="8"/>
        <v>0.125</v>
      </c>
      <c r="T8" s="8">
        <f t="shared" si="1"/>
        <v>-2.4568442289900821E-2</v>
      </c>
      <c r="U8" s="8">
        <f t="shared" si="2"/>
        <v>9.375E-2</v>
      </c>
      <c r="V8" s="8">
        <f t="shared" si="3"/>
        <v>8.4238439542604904E-3</v>
      </c>
      <c r="W8" s="8">
        <f t="shared" si="4"/>
        <v>3.4565696524191348E-4</v>
      </c>
      <c r="X8" s="8">
        <f t="shared" si="5"/>
        <v>-2.0696072404937879E-4</v>
      </c>
      <c r="Y8" s="8">
        <f t="shared" si="6"/>
        <v>6.25E-2</v>
      </c>
      <c r="AA8" s="8">
        <v>4</v>
      </c>
      <c r="AB8" s="8">
        <f t="shared" si="13"/>
        <v>750</v>
      </c>
      <c r="AC8" s="8">
        <v>-57.296649768320606</v>
      </c>
      <c r="AD8" s="8">
        <f t="shared" si="14"/>
        <v>1000</v>
      </c>
      <c r="AE8" s="8">
        <v>49.726369705221714</v>
      </c>
      <c r="AF8" s="8">
        <f t="shared" si="9"/>
        <v>875</v>
      </c>
      <c r="AG8" s="8">
        <v>-1.4700469380446748</v>
      </c>
      <c r="AH8" s="8">
        <f t="shared" si="10"/>
        <v>84.228764552137832</v>
      </c>
      <c r="AI8" s="8">
        <f t="shared" si="11"/>
        <v>-73.100097525238652</v>
      </c>
      <c r="AJ8" s="8">
        <f t="shared" si="12"/>
        <v>250</v>
      </c>
    </row>
    <row r="9" spans="2:36" x14ac:dyDescent="0.2">
      <c r="B9" s="24" t="s">
        <v>7</v>
      </c>
      <c r="C9" s="25"/>
      <c r="D9" s="25"/>
      <c r="F9" s="35" t="s">
        <v>36</v>
      </c>
      <c r="G9" s="20">
        <f xml:space="preserve"> K22 + K18 * (K24 * K27 + $C$17 * SIN(K17))</f>
        <v>15295.654272434074</v>
      </c>
      <c r="H9" s="20" t="s">
        <v>32</v>
      </c>
      <c r="P9" s="8">
        <v>5</v>
      </c>
      <c r="Q9" s="8">
        <f t="shared" si="7"/>
        <v>9.375E-2</v>
      </c>
      <c r="R9" s="8">
        <f t="shared" si="0"/>
        <v>8.4238439542604904E-3</v>
      </c>
      <c r="S9" s="8">
        <f t="shared" si="8"/>
        <v>0.125</v>
      </c>
      <c r="T9" s="8">
        <f t="shared" si="1"/>
        <v>-2.4568442289900821E-2</v>
      </c>
      <c r="U9" s="8">
        <f t="shared" si="2"/>
        <v>0.109375</v>
      </c>
      <c r="V9" s="8">
        <f t="shared" si="3"/>
        <v>-8.0318584140231519E-3</v>
      </c>
      <c r="W9" s="8">
        <f t="shared" si="4"/>
        <v>-6.7659121942445179E-5</v>
      </c>
      <c r="X9" s="8">
        <f t="shared" si="5"/>
        <v>1.9733024992558214E-4</v>
      </c>
      <c r="Y9" s="8">
        <f t="shared" si="6"/>
        <v>3.125E-2</v>
      </c>
      <c r="AA9" s="8">
        <v>5</v>
      </c>
      <c r="AB9" s="8">
        <f t="shared" si="13"/>
        <v>875</v>
      </c>
      <c r="AC9" s="8">
        <v>-1.4700469380446748</v>
      </c>
      <c r="AD9" s="8">
        <f t="shared" si="14"/>
        <v>1000</v>
      </c>
      <c r="AE9" s="8">
        <v>49.726369705221714</v>
      </c>
      <c r="AF9" s="8">
        <f t="shared" si="9"/>
        <v>937.5</v>
      </c>
      <c r="AG9" s="8">
        <v>24.69999238993114</v>
      </c>
      <c r="AH9" s="8">
        <f t="shared" si="10"/>
        <v>-36.310148182545042</v>
      </c>
      <c r="AI9" s="8">
        <f t="shared" si="11"/>
        <v>1228.2409532978786</v>
      </c>
      <c r="AJ9" s="8">
        <f t="shared" si="12"/>
        <v>125</v>
      </c>
    </row>
    <row r="10" spans="2:36" x14ac:dyDescent="0.2">
      <c r="B10" s="20" t="s">
        <v>8</v>
      </c>
      <c r="C10" s="43">
        <v>250</v>
      </c>
      <c r="D10" s="20" t="s">
        <v>9</v>
      </c>
      <c r="F10" s="35" t="s">
        <v>37</v>
      </c>
      <c r="G10" s="20">
        <f>$C$5 * G9</f>
        <v>107069.57990703853</v>
      </c>
      <c r="H10" s="20" t="s">
        <v>32</v>
      </c>
      <c r="P10" s="8">
        <v>6</v>
      </c>
      <c r="Q10" s="8">
        <f t="shared" si="7"/>
        <v>9.375E-2</v>
      </c>
      <c r="R10" s="8">
        <f t="shared" si="0"/>
        <v>8.4238439542604904E-3</v>
      </c>
      <c r="S10" s="8">
        <f t="shared" si="8"/>
        <v>0.109375</v>
      </c>
      <c r="T10" s="8">
        <f t="shared" si="1"/>
        <v>-8.0318584140231519E-3</v>
      </c>
      <c r="U10" s="8">
        <f t="shared" si="2"/>
        <v>0.1015625</v>
      </c>
      <c r="V10" s="8">
        <f t="shared" si="3"/>
        <v>2.0704754654471413E-4</v>
      </c>
      <c r="W10" s="8">
        <f t="shared" si="4"/>
        <v>1.7441362232051577E-6</v>
      </c>
      <c r="X10" s="8">
        <f t="shared" si="5"/>
        <v>-1.6629765788180125E-6</v>
      </c>
      <c r="Y10" s="8">
        <f t="shared" si="6"/>
        <v>1.5625E-2</v>
      </c>
      <c r="AA10" s="8">
        <v>6</v>
      </c>
      <c r="AB10" s="8">
        <f t="shared" si="13"/>
        <v>875</v>
      </c>
      <c r="AC10" s="8">
        <v>-1.4700469380446748</v>
      </c>
      <c r="AD10" s="8">
        <f t="shared" si="14"/>
        <v>937.5</v>
      </c>
      <c r="AE10" s="8">
        <v>24.69999238993114</v>
      </c>
      <c r="AF10" s="8">
        <f t="shared" si="9"/>
        <v>906.25</v>
      </c>
      <c r="AG10" s="8">
        <v>11.758819743851518</v>
      </c>
      <c r="AH10" s="8">
        <f t="shared" si="10"/>
        <v>-17.286016959468192</v>
      </c>
      <c r="AI10" s="8">
        <f t="shared" si="11"/>
        <v>290.44275818770456</v>
      </c>
      <c r="AJ10" s="8">
        <f t="shared" si="12"/>
        <v>62.5</v>
      </c>
    </row>
    <row r="11" spans="2:36" x14ac:dyDescent="0.2">
      <c r="B11" s="20" t="s">
        <v>10</v>
      </c>
      <c r="C11" s="43">
        <v>0.85</v>
      </c>
      <c r="F11" s="35" t="s">
        <v>131</v>
      </c>
      <c r="G11" s="20">
        <f xml:space="preserve"> $C$22/$C$17</f>
        <v>1000</v>
      </c>
      <c r="H11" s="20" t="s">
        <v>25</v>
      </c>
      <c r="J11" s="24" t="s">
        <v>111</v>
      </c>
      <c r="K11" s="27"/>
      <c r="L11" s="27"/>
      <c r="P11" s="8">
        <v>7</v>
      </c>
      <c r="Q11" s="8">
        <f t="shared" si="7"/>
        <v>0.1015625</v>
      </c>
      <c r="R11" s="8">
        <f t="shared" si="0"/>
        <v>2.0704754654471413E-4</v>
      </c>
      <c r="S11" s="8">
        <f t="shared" si="8"/>
        <v>0.109375</v>
      </c>
      <c r="T11" s="8">
        <f t="shared" si="1"/>
        <v>-8.0318584140231519E-3</v>
      </c>
      <c r="U11" s="8">
        <f t="shared" si="2"/>
        <v>0.10546875</v>
      </c>
      <c r="V11" s="8">
        <f t="shared" si="3"/>
        <v>-3.909759673373342E-3</v>
      </c>
      <c r="W11" s="8">
        <f t="shared" si="4"/>
        <v>-8.0950614795141335E-7</v>
      </c>
      <c r="X11" s="8">
        <f t="shared" si="5"/>
        <v>3.1402636129392084E-5</v>
      </c>
      <c r="Y11" s="8">
        <f t="shared" si="6"/>
        <v>7.8125E-3</v>
      </c>
      <c r="AA11" s="8">
        <v>7</v>
      </c>
      <c r="AB11" s="8">
        <f t="shared" si="13"/>
        <v>875</v>
      </c>
      <c r="AC11" s="8">
        <v>-1.4700469380446748</v>
      </c>
      <c r="AD11" s="8">
        <f t="shared" si="14"/>
        <v>906.25</v>
      </c>
      <c r="AE11" s="8">
        <v>11.758819743851518</v>
      </c>
      <c r="AF11" s="8">
        <f t="shared" si="9"/>
        <v>890.625</v>
      </c>
      <c r="AG11" s="8">
        <v>5.1804580046700721</v>
      </c>
      <c r="AH11" s="8">
        <f t="shared" si="10"/>
        <v>-7.6155164274342653</v>
      </c>
      <c r="AI11" s="8">
        <f t="shared" si="11"/>
        <v>60.916071867508087</v>
      </c>
      <c r="AJ11" s="8">
        <f t="shared" si="12"/>
        <v>31.25</v>
      </c>
    </row>
    <row r="12" spans="2:36" x14ac:dyDescent="0.2">
      <c r="B12" s="20" t="s">
        <v>11</v>
      </c>
      <c r="C12" s="43">
        <v>0.8</v>
      </c>
      <c r="J12" s="20" t="s">
        <v>112</v>
      </c>
      <c r="K12" s="20">
        <f xml:space="preserve"> SQRT( ($C$15*$C$31)^2 + K8^2)</f>
        <v>8732.6912151840406</v>
      </c>
      <c r="L12" s="20" t="s">
        <v>34</v>
      </c>
      <c r="P12" s="8">
        <v>8</v>
      </c>
      <c r="Q12" s="8">
        <f t="shared" si="7"/>
        <v>0.1015625</v>
      </c>
      <c r="R12" s="8">
        <f t="shared" si="0"/>
        <v>2.0704754654471413E-4</v>
      </c>
      <c r="S12" s="8">
        <f t="shared" si="8"/>
        <v>0.10546875</v>
      </c>
      <c r="T12" s="8">
        <f t="shared" si="1"/>
        <v>-3.909759673373342E-3</v>
      </c>
      <c r="U12" s="8">
        <f t="shared" si="2"/>
        <v>0.103515625</v>
      </c>
      <c r="V12" s="8">
        <f t="shared" si="3"/>
        <v>-1.8506798479405451E-3</v>
      </c>
      <c r="W12" s="8">
        <f t="shared" si="4"/>
        <v>-3.8317872195583447E-7</v>
      </c>
      <c r="X12" s="8">
        <f t="shared" si="5"/>
        <v>7.2357134378026513E-6</v>
      </c>
      <c r="Y12" s="8">
        <f t="shared" si="6"/>
        <v>3.90625E-3</v>
      </c>
      <c r="AA12" s="8">
        <v>8</v>
      </c>
      <c r="AB12" s="8">
        <f t="shared" si="13"/>
        <v>875</v>
      </c>
      <c r="AC12" s="8">
        <v>-1.4700469380446748</v>
      </c>
      <c r="AD12" s="8">
        <f t="shared" si="14"/>
        <v>890.625</v>
      </c>
      <c r="AE12" s="8">
        <v>5.1804580046700721</v>
      </c>
      <c r="AF12" s="8">
        <f t="shared" si="9"/>
        <v>882.8125</v>
      </c>
      <c r="AG12" s="8">
        <v>1.8642358113410751</v>
      </c>
      <c r="AH12" s="8">
        <f t="shared" si="10"/>
        <v>-2.7405141462551774</v>
      </c>
      <c r="AI12" s="8">
        <f t="shared" si="11"/>
        <v>9.6575953314544787</v>
      </c>
      <c r="AJ12" s="8">
        <f t="shared" si="12"/>
        <v>15.625</v>
      </c>
    </row>
    <row r="13" spans="2:36" x14ac:dyDescent="0.2">
      <c r="F13" s="24" t="s">
        <v>121</v>
      </c>
      <c r="G13" s="25"/>
      <c r="H13" s="25"/>
      <c r="J13" s="20" t="s">
        <v>113</v>
      </c>
      <c r="K13" s="20">
        <f>$C$15*$C$31/K12</f>
        <v>0.98680790952239761</v>
      </c>
      <c r="P13" s="8">
        <v>9</v>
      </c>
      <c r="Q13" s="8">
        <f t="shared" si="7"/>
        <v>0.1015625</v>
      </c>
      <c r="R13" s="8">
        <f t="shared" si="0"/>
        <v>2.0704754654471413E-4</v>
      </c>
      <c r="S13" s="8">
        <f t="shared" si="8"/>
        <v>0.103515625</v>
      </c>
      <c r="T13" s="8">
        <f t="shared" si="1"/>
        <v>-1.8506798479405451E-3</v>
      </c>
      <c r="U13" s="8">
        <f t="shared" si="2"/>
        <v>0.1025390625</v>
      </c>
      <c r="V13" s="8">
        <f t="shared" si="3"/>
        <v>-8.2164525192347793E-4</v>
      </c>
      <c r="W13" s="8">
        <f t="shared" si="4"/>
        <v>-1.7011963354086967E-7</v>
      </c>
      <c r="X13" s="8">
        <f t="shared" si="5"/>
        <v>1.520602309890813E-6</v>
      </c>
      <c r="Y13" s="8">
        <f t="shared" si="6"/>
        <v>1.953125E-3</v>
      </c>
      <c r="AA13" s="8">
        <v>9</v>
      </c>
      <c r="AB13" s="8">
        <f t="shared" si="13"/>
        <v>875</v>
      </c>
      <c r="AC13" s="8">
        <v>-1.4700469380446748</v>
      </c>
      <c r="AD13" s="8">
        <f t="shared" si="14"/>
        <v>882.8125</v>
      </c>
      <c r="AE13" s="8">
        <v>1.8642358113410751</v>
      </c>
      <c r="AF13" s="8">
        <f t="shared" si="9"/>
        <v>878.90625</v>
      </c>
      <c r="AG13" s="8">
        <v>0.19935412517969553</v>
      </c>
      <c r="AH13" s="8">
        <f t="shared" si="10"/>
        <v>-0.29305992130698622</v>
      </c>
      <c r="AI13" s="8">
        <f t="shared" si="11"/>
        <v>0.37164309929855993</v>
      </c>
      <c r="AJ13" s="8">
        <f t="shared" si="12"/>
        <v>7.8125</v>
      </c>
    </row>
    <row r="14" spans="2:36" x14ac:dyDescent="0.2">
      <c r="B14" s="26" t="s">
        <v>12</v>
      </c>
      <c r="C14" s="26"/>
      <c r="D14" s="26"/>
      <c r="F14" s="20" t="s">
        <v>125</v>
      </c>
      <c r="G14" s="20">
        <f xml:space="preserve"> IF( $C$26&gt;=2*SQRT(($C$15*$C$31)/(2*$C$30*$C$5*PI()*$C$16*$C$16)), ($C$15*$C$31)/$C$7 * ( ($C$26/2) - SQRT( ($C$26/2)^2 - ($C$15*$C$31)/(2*$C$30*$C$5*PI()*$C$16*$C$16 ) ) ), 1/$C$7 * SQRT(($C$15*$C$31)^3/(2*$C$30*$C$5*PI()*$C$16*$C$16)) )</f>
        <v>145312.45052172983</v>
      </c>
      <c r="H14" s="20" t="s">
        <v>32</v>
      </c>
      <c r="P14" s="8">
        <v>10</v>
      </c>
      <c r="Q14" s="8">
        <f t="shared" si="7"/>
        <v>0.1015625</v>
      </c>
      <c r="R14" s="8">
        <f t="shared" si="0"/>
        <v>2.0704754654471413E-4</v>
      </c>
      <c r="S14" s="8">
        <f t="shared" si="8"/>
        <v>0.1025390625</v>
      </c>
      <c r="T14" s="8">
        <f t="shared" si="1"/>
        <v>-8.2164525192347793E-4</v>
      </c>
      <c r="U14" s="8">
        <f t="shared" si="2"/>
        <v>0.10205078125</v>
      </c>
      <c r="V14" s="8">
        <f t="shared" si="3"/>
        <v>-3.0725589755629945E-4</v>
      </c>
      <c r="W14" s="8">
        <f t="shared" si="4"/>
        <v>-6.3616579750425823E-8</v>
      </c>
      <c r="X14" s="8">
        <f t="shared" si="5"/>
        <v>2.5245534935261996E-7</v>
      </c>
      <c r="Y14" s="8">
        <f t="shared" si="6"/>
        <v>9.765625E-4</v>
      </c>
      <c r="AA14" s="8">
        <v>10</v>
      </c>
      <c r="AB14" s="8">
        <f t="shared" si="13"/>
        <v>875</v>
      </c>
      <c r="AC14" s="8">
        <v>-1.4700469380446748</v>
      </c>
      <c r="AD14" s="8">
        <f t="shared" si="14"/>
        <v>878.90625</v>
      </c>
      <c r="AE14" s="8">
        <v>0.19935412517969553</v>
      </c>
      <c r="AF14" s="8">
        <f t="shared" si="9"/>
        <v>876.953125</v>
      </c>
      <c r="AG14" s="8">
        <v>-0.63478078082050615</v>
      </c>
      <c r="AH14" s="8">
        <f t="shared" si="10"/>
        <v>0.93315754317479294</v>
      </c>
      <c r="AI14" s="8">
        <f t="shared" si="11"/>
        <v>-0.12654616724135606</v>
      </c>
      <c r="AJ14" s="8">
        <f t="shared" si="12"/>
        <v>3.90625</v>
      </c>
    </row>
    <row r="15" spans="2:36" x14ac:dyDescent="0.2">
      <c r="B15" s="36" t="s">
        <v>63</v>
      </c>
      <c r="C15" s="36">
        <f>AF44</f>
        <v>878.43922146385012</v>
      </c>
      <c r="D15" s="36" t="s">
        <v>13</v>
      </c>
      <c r="F15" s="20" t="s">
        <v>33</v>
      </c>
      <c r="G15" s="20">
        <f xml:space="preserve"> $C$15 * $C$31 / $C$5</f>
        <v>1231.0698232229099</v>
      </c>
      <c r="H15" s="20" t="s">
        <v>34</v>
      </c>
      <c r="P15" s="8">
        <v>11</v>
      </c>
      <c r="Q15" s="8">
        <f t="shared" si="7"/>
        <v>0.1015625</v>
      </c>
      <c r="R15" s="8">
        <f t="shared" si="0"/>
        <v>2.0704754654471413E-4</v>
      </c>
      <c r="S15" s="8">
        <f t="shared" si="8"/>
        <v>0.10205078125</v>
      </c>
      <c r="T15" s="8">
        <f t="shared" si="1"/>
        <v>-3.0725589755629945E-4</v>
      </c>
      <c r="U15" s="8">
        <f t="shared" si="2"/>
        <v>0.101806640625</v>
      </c>
      <c r="V15" s="8">
        <f t="shared" si="3"/>
        <v>-5.0093407929954759E-5</v>
      </c>
      <c r="W15" s="8">
        <f t="shared" si="4"/>
        <v>-1.037171720996066E-8</v>
      </c>
      <c r="X15" s="8">
        <f t="shared" si="5"/>
        <v>1.5391495015172098E-8</v>
      </c>
      <c r="Y15" s="8">
        <f t="shared" si="6"/>
        <v>4.8828125E-4</v>
      </c>
      <c r="AA15" s="8">
        <v>11</v>
      </c>
      <c r="AB15" s="8">
        <f t="shared" si="13"/>
        <v>876.953125</v>
      </c>
      <c r="AC15" s="8">
        <v>-0.63478078082050615</v>
      </c>
      <c r="AD15" s="8">
        <f t="shared" si="14"/>
        <v>878.90625</v>
      </c>
      <c r="AE15" s="8">
        <v>0.19935412517969553</v>
      </c>
      <c r="AF15" s="8">
        <f t="shared" si="9"/>
        <v>877.9296875</v>
      </c>
      <c r="AG15" s="8">
        <v>-0.21757151482376003</v>
      </c>
      <c r="AH15" s="8">
        <f t="shared" si="10"/>
        <v>0.13811021606412671</v>
      </c>
      <c r="AI15" s="8">
        <f t="shared" si="11"/>
        <v>-4.337377900171184E-2</v>
      </c>
      <c r="AJ15" s="8">
        <f t="shared" si="12"/>
        <v>1.953125</v>
      </c>
    </row>
    <row r="16" spans="2:36" x14ac:dyDescent="0.2">
      <c r="B16" s="20" t="s">
        <v>14</v>
      </c>
      <c r="C16" s="43">
        <v>1</v>
      </c>
      <c r="D16" s="20" t="s">
        <v>15</v>
      </c>
      <c r="F16" s="20" t="s">
        <v>132</v>
      </c>
      <c r="G16" s="34">
        <f xml:space="preserve"> $C$27/$C$26</f>
        <v>100</v>
      </c>
      <c r="H16" s="20" t="s">
        <v>25</v>
      </c>
      <c r="J16" s="24" t="s">
        <v>47</v>
      </c>
      <c r="K16" s="27"/>
      <c r="L16" s="27"/>
      <c r="P16" s="8">
        <v>12</v>
      </c>
      <c r="Q16" s="8">
        <f t="shared" si="7"/>
        <v>0.1015625</v>
      </c>
      <c r="R16" s="8">
        <f t="shared" si="0"/>
        <v>2.0704754654471413E-4</v>
      </c>
      <c r="S16" s="8">
        <f t="shared" si="8"/>
        <v>0.101806640625</v>
      </c>
      <c r="T16" s="8">
        <f t="shared" si="1"/>
        <v>-5.0093407929954759E-5</v>
      </c>
      <c r="U16" s="8">
        <f t="shared" si="2"/>
        <v>0.1016845703125</v>
      </c>
      <c r="V16" s="8">
        <f t="shared" si="3"/>
        <v>7.8479764799591067E-5</v>
      </c>
      <c r="W16" s="8">
        <f t="shared" si="4"/>
        <v>1.6249042755161549E-8</v>
      </c>
      <c r="X16" s="8">
        <f t="shared" si="5"/>
        <v>-3.9313188723528195E-9</v>
      </c>
      <c r="Y16" s="8">
        <f t="shared" si="6"/>
        <v>2.44140625E-4</v>
      </c>
      <c r="AA16" s="8">
        <v>12</v>
      </c>
      <c r="AB16" s="8">
        <f t="shared" si="13"/>
        <v>877.9296875</v>
      </c>
      <c r="AC16" s="8">
        <v>-0.21757151482376003</v>
      </c>
      <c r="AD16" s="8">
        <f t="shared" si="14"/>
        <v>878.90625</v>
      </c>
      <c r="AE16" s="8">
        <v>0.19935412517969553</v>
      </c>
      <c r="AF16" s="8">
        <f t="shared" si="9"/>
        <v>878.41796875</v>
      </c>
      <c r="AG16" s="8">
        <v>-9.0742833325521133E-3</v>
      </c>
      <c r="AH16" s="8">
        <f t="shared" si="10"/>
        <v>1.9743055706033606E-3</v>
      </c>
      <c r="AI16" s="8">
        <f t="shared" si="11"/>
        <v>-1.8089958153936186E-3</v>
      </c>
      <c r="AJ16" s="8">
        <f t="shared" si="12"/>
        <v>0.9765625</v>
      </c>
    </row>
    <row r="17" spans="2:36" x14ac:dyDescent="0.2">
      <c r="B17" s="20" t="s">
        <v>17</v>
      </c>
      <c r="C17" s="43">
        <v>30</v>
      </c>
      <c r="D17" s="20" t="s">
        <v>18</v>
      </c>
      <c r="J17" s="20" t="s">
        <v>48</v>
      </c>
      <c r="K17" s="20">
        <f xml:space="preserve"> ACOS(K13)</f>
        <v>0.16261118139904118</v>
      </c>
      <c r="L17" s="20" t="s">
        <v>49</v>
      </c>
      <c r="P17" s="8">
        <v>13</v>
      </c>
      <c r="Q17" s="8">
        <f t="shared" si="7"/>
        <v>0.1016845703125</v>
      </c>
      <c r="R17" s="8">
        <f t="shared" si="0"/>
        <v>7.8479764799591067E-5</v>
      </c>
      <c r="S17" s="8">
        <f t="shared" si="8"/>
        <v>0.101806640625</v>
      </c>
      <c r="T17" s="8">
        <f t="shared" si="1"/>
        <v>-5.0093407929954759E-5</v>
      </c>
      <c r="U17" s="8">
        <f t="shared" si="2"/>
        <v>0.10174560546875</v>
      </c>
      <c r="V17" s="8">
        <f t="shared" si="3"/>
        <v>1.4193851858135265E-5</v>
      </c>
      <c r="W17" s="8">
        <f t="shared" si="4"/>
        <v>1.1139301554266942E-9</v>
      </c>
      <c r="X17" s="8">
        <f t="shared" si="5"/>
        <v>-7.110184112269161E-10</v>
      </c>
      <c r="Y17" s="8">
        <f t="shared" si="6"/>
        <v>1.220703125E-4</v>
      </c>
      <c r="AA17" s="8">
        <v>13</v>
      </c>
      <c r="AB17" s="8">
        <f t="shared" si="13"/>
        <v>878.41796875</v>
      </c>
      <c r="AC17" s="8">
        <v>-9.0742833325521133E-3</v>
      </c>
      <c r="AD17" s="8">
        <f t="shared" si="14"/>
        <v>878.90625</v>
      </c>
      <c r="AE17" s="8">
        <v>0.19935412517969553</v>
      </c>
      <c r="AF17" s="8">
        <f t="shared" si="9"/>
        <v>878.662109375</v>
      </c>
      <c r="AG17" s="8">
        <v>9.5148731653353025E-2</v>
      </c>
      <c r="AH17" s="8">
        <f t="shared" si="10"/>
        <v>-8.6340654975549508E-4</v>
      </c>
      <c r="AI17" s="8">
        <f t="shared" si="11"/>
        <v>1.8968292160711796E-2</v>
      </c>
      <c r="AJ17" s="8">
        <f t="shared" si="12"/>
        <v>0.48828125</v>
      </c>
    </row>
    <row r="18" spans="2:36" x14ac:dyDescent="0.2">
      <c r="B18" s="20" t="s">
        <v>110</v>
      </c>
      <c r="C18" s="43">
        <v>0.3</v>
      </c>
      <c r="F18" s="26" t="s">
        <v>38</v>
      </c>
      <c r="G18" s="26"/>
      <c r="H18" s="26"/>
      <c r="J18" s="20" t="s">
        <v>33</v>
      </c>
      <c r="K18" s="20">
        <f xml:space="preserve"> K12 / $C$5</f>
        <v>1247.527316454863</v>
      </c>
      <c r="L18" s="20" t="s">
        <v>34</v>
      </c>
      <c r="P18" s="8">
        <v>14</v>
      </c>
      <c r="Q18" s="8">
        <f t="shared" si="7"/>
        <v>0.10174560546875</v>
      </c>
      <c r="R18" s="8">
        <f t="shared" si="0"/>
        <v>1.4193851858135265E-5</v>
      </c>
      <c r="S18" s="8">
        <f t="shared" si="8"/>
        <v>0.101806640625</v>
      </c>
      <c r="T18" s="8">
        <f t="shared" si="1"/>
        <v>-5.0093407929954759E-5</v>
      </c>
      <c r="U18" s="8">
        <f t="shared" si="2"/>
        <v>0.101776123046875</v>
      </c>
      <c r="V18" s="8">
        <f t="shared" si="3"/>
        <v>-1.7949609736306327E-5</v>
      </c>
      <c r="W18" s="8">
        <f t="shared" si="4"/>
        <v>-2.5477410150847438E-10</v>
      </c>
      <c r="X18" s="8">
        <f t="shared" si="5"/>
        <v>8.991571227042805E-10</v>
      </c>
      <c r="Y18" s="8">
        <f t="shared" si="6"/>
        <v>6.103515625E-5</v>
      </c>
      <c r="AA18" s="8">
        <v>14</v>
      </c>
      <c r="AB18" s="8">
        <f t="shared" si="13"/>
        <v>878.41796875</v>
      </c>
      <c r="AC18" s="8">
        <v>-9.0742833325521133E-3</v>
      </c>
      <c r="AD18" s="8">
        <f t="shared" si="14"/>
        <v>878.662109375</v>
      </c>
      <c r="AE18" s="8">
        <v>9.5148731653353025E-2</v>
      </c>
      <c r="AF18" s="8">
        <f t="shared" si="9"/>
        <v>878.5400390625</v>
      </c>
      <c r="AG18" s="8">
        <v>4.3039426864254438E-2</v>
      </c>
      <c r="AH18" s="8">
        <f t="shared" si="10"/>
        <v>-3.905519538368997E-4</v>
      </c>
      <c r="AI18" s="8">
        <f t="shared" si="11"/>
        <v>4.0951468772210588E-3</v>
      </c>
      <c r="AJ18" s="8">
        <f t="shared" si="12"/>
        <v>0.244140625</v>
      </c>
    </row>
    <row r="19" spans="2:36" x14ac:dyDescent="0.2">
      <c r="F19" s="20" t="s">
        <v>39</v>
      </c>
      <c r="G19" s="20">
        <f xml:space="preserve"> (G4*G6 + G10*G11 + G14*G16)/3600</f>
        <v>36455.266471358969</v>
      </c>
      <c r="H19" s="20" t="s">
        <v>40</v>
      </c>
      <c r="J19" s="20" t="s">
        <v>50</v>
      </c>
      <c r="K19" s="20">
        <f xml:space="preserve"> $C$17 * COS(K17) / ($C$18 * $C$16)</f>
        <v>98.680790952239761</v>
      </c>
      <c r="L19" s="20" t="s">
        <v>51</v>
      </c>
      <c r="P19" s="8">
        <v>15</v>
      </c>
      <c r="Q19" s="8">
        <f t="shared" si="7"/>
        <v>0.10174560546875</v>
      </c>
      <c r="R19" s="8">
        <f t="shared" si="0"/>
        <v>1.4193851858135265E-5</v>
      </c>
      <c r="S19" s="8">
        <f t="shared" si="8"/>
        <v>0.101776123046875</v>
      </c>
      <c r="T19" s="8">
        <f t="shared" si="1"/>
        <v>-1.7949609736306327E-5</v>
      </c>
      <c r="U19" s="8">
        <f t="shared" si="2"/>
        <v>0.1017608642578125</v>
      </c>
      <c r="V19" s="8">
        <f t="shared" si="3"/>
        <v>-1.8778368571642501E-6</v>
      </c>
      <c r="W19" s="8">
        <f t="shared" si="4"/>
        <v>-2.6653738164335677E-11</v>
      </c>
      <c r="X19" s="8">
        <f t="shared" si="5"/>
        <v>3.3706438734550295E-11</v>
      </c>
      <c r="Y19" s="8">
        <f t="shared" si="6"/>
        <v>3.0517578125E-5</v>
      </c>
      <c r="AA19" s="8">
        <v>15</v>
      </c>
      <c r="AB19" s="8">
        <f t="shared" si="13"/>
        <v>878.41796875</v>
      </c>
      <c r="AC19" s="8">
        <v>-9.0742833325521133E-3</v>
      </c>
      <c r="AD19" s="8">
        <f t="shared" si="14"/>
        <v>878.5400390625</v>
      </c>
      <c r="AE19" s="8">
        <v>4.3039426864254438E-2</v>
      </c>
      <c r="AF19" s="8">
        <f t="shared" si="9"/>
        <v>878.47900390625</v>
      </c>
      <c r="AG19" s="8">
        <v>1.698312244451472E-2</v>
      </c>
      <c r="AH19" s="8">
        <f t="shared" si="10"/>
        <v>-1.5410966493295162E-4</v>
      </c>
      <c r="AI19" s="8">
        <f t="shared" si="11"/>
        <v>7.3094385637736937E-4</v>
      </c>
      <c r="AJ19" s="8">
        <f t="shared" si="12"/>
        <v>0.1220703125</v>
      </c>
    </row>
    <row r="20" spans="2:36" x14ac:dyDescent="0.2">
      <c r="B20" s="26" t="s">
        <v>22</v>
      </c>
      <c r="C20" s="26"/>
      <c r="D20" s="26"/>
      <c r="F20" s="20" t="s">
        <v>41</v>
      </c>
      <c r="G20" s="20">
        <f xml:space="preserve"> G6 + G11 + G16</f>
        <v>1160</v>
      </c>
      <c r="H20" s="20" t="s">
        <v>25</v>
      </c>
      <c r="J20" s="20" t="s">
        <v>53</v>
      </c>
      <c r="K20" s="20">
        <f xml:space="preserve"> K18 / ($C$30 * PI() * $C$16^2 * K19^2 * $C$16^2)</f>
        <v>3.3288855109522432E-2</v>
      </c>
      <c r="P20" s="8">
        <v>16</v>
      </c>
      <c r="Q20" s="8">
        <f t="shared" si="7"/>
        <v>0.10174560546875</v>
      </c>
      <c r="R20" s="8">
        <f t="shared" si="0"/>
        <v>1.4193851858135265E-5</v>
      </c>
      <c r="S20" s="8">
        <f t="shared" si="8"/>
        <v>0.1017608642578125</v>
      </c>
      <c r="T20" s="8">
        <f t="shared" si="1"/>
        <v>-1.8778368571642501E-6</v>
      </c>
      <c r="U20" s="8">
        <f t="shared" si="2"/>
        <v>0.10175323486328125</v>
      </c>
      <c r="V20" s="8">
        <f t="shared" si="3"/>
        <v>6.1580180218401281E-6</v>
      </c>
      <c r="W20" s="8">
        <f t="shared" si="4"/>
        <v>8.7405995541725953E-11</v>
      </c>
      <c r="X20" s="8">
        <f t="shared" si="5"/>
        <v>-1.1563753208493079E-11</v>
      </c>
      <c r="Y20" s="8">
        <f t="shared" si="6"/>
        <v>1.52587890625E-5</v>
      </c>
      <c r="AA20" s="8">
        <v>16</v>
      </c>
      <c r="AB20" s="8">
        <f t="shared" si="13"/>
        <v>878.41796875</v>
      </c>
      <c r="AC20" s="8">
        <v>-9.0742833325521133E-3</v>
      </c>
      <c r="AD20" s="8">
        <f t="shared" si="14"/>
        <v>878.47900390625</v>
      </c>
      <c r="AE20" s="8">
        <v>1.698312244451472E-2</v>
      </c>
      <c r="AF20" s="8">
        <f t="shared" si="9"/>
        <v>878.448486328125</v>
      </c>
      <c r="AG20" s="8">
        <v>3.9553898677695543E-3</v>
      </c>
      <c r="AH20" s="8">
        <f t="shared" si="10"/>
        <v>-3.5892328350846771E-5</v>
      </c>
      <c r="AI20" s="8">
        <f t="shared" si="11"/>
        <v>6.7174870440123223E-5</v>
      </c>
      <c r="AJ20" s="8">
        <f t="shared" si="12"/>
        <v>6.103515625E-2</v>
      </c>
    </row>
    <row r="21" spans="2:36" x14ac:dyDescent="0.2">
      <c r="B21" s="20" t="s">
        <v>102</v>
      </c>
      <c r="C21" s="43">
        <v>400</v>
      </c>
      <c r="D21" s="20" t="s">
        <v>13</v>
      </c>
      <c r="J21" s="20" t="s">
        <v>5</v>
      </c>
      <c r="K21" s="43">
        <v>1.2E-2</v>
      </c>
      <c r="P21" s="8">
        <v>17</v>
      </c>
      <c r="Q21" s="8">
        <f t="shared" si="7"/>
        <v>0.10175323486328125</v>
      </c>
      <c r="R21" s="8">
        <f t="shared" si="0"/>
        <v>6.1580180218401281E-6</v>
      </c>
      <c r="S21" s="8">
        <f t="shared" si="8"/>
        <v>0.1017608642578125</v>
      </c>
      <c r="T21" s="8">
        <f t="shared" si="1"/>
        <v>-1.8778368571642501E-6</v>
      </c>
      <c r="U21" s="8">
        <f t="shared" si="2"/>
        <v>0.10175704956054688</v>
      </c>
      <c r="V21" s="8">
        <f t="shared" si="3"/>
        <v>2.1400932125603678E-6</v>
      </c>
      <c r="W21" s="8">
        <f t="shared" si="4"/>
        <v>1.3178732571364481E-11</v>
      </c>
      <c r="X21" s="8">
        <f t="shared" si="5"/>
        <v>-4.0187459123129042E-12</v>
      </c>
      <c r="Y21" s="8">
        <f t="shared" si="6"/>
        <v>7.62939453125E-6</v>
      </c>
      <c r="AA21" s="8">
        <v>17</v>
      </c>
      <c r="AB21" s="8">
        <f t="shared" si="13"/>
        <v>878.41796875</v>
      </c>
      <c r="AC21" s="8">
        <v>-9.0742833325521133E-3</v>
      </c>
      <c r="AD21" s="8">
        <f t="shared" si="14"/>
        <v>878.448486328125</v>
      </c>
      <c r="AE21" s="8">
        <v>3.9553898677695543E-3</v>
      </c>
      <c r="AF21" s="8">
        <f t="shared" si="9"/>
        <v>878.4332275390625</v>
      </c>
      <c r="AG21" s="8">
        <v>-2.5585796964264773E-3</v>
      </c>
      <c r="AH21" s="8">
        <f t="shared" si="10"/>
        <v>2.321727709428903E-5</v>
      </c>
      <c r="AI21" s="8">
        <f t="shared" si="11"/>
        <v>-1.012018020712619E-5</v>
      </c>
      <c r="AJ21" s="8">
        <f t="shared" si="12"/>
        <v>3.0517578125E-2</v>
      </c>
    </row>
    <row r="22" spans="2:36" x14ac:dyDescent="0.2">
      <c r="B22" s="20" t="s">
        <v>23</v>
      </c>
      <c r="C22" s="43">
        <v>30000</v>
      </c>
      <c r="D22" s="20" t="s">
        <v>15</v>
      </c>
      <c r="F22" s="24" t="s">
        <v>83</v>
      </c>
      <c r="G22" s="24"/>
      <c r="H22" s="24"/>
      <c r="J22" s="20" t="s">
        <v>54</v>
      </c>
      <c r="K22" s="20">
        <f xml:space="preserve"> ($C$6 * K21 / 8) * (1 + 4.65 *$C$18^ 2) * ( PI() * $C$30 * K19^3 *$C$16^ 5)</f>
        <v>1022.9343875203535</v>
      </c>
      <c r="L22" s="20" t="s">
        <v>32</v>
      </c>
      <c r="P22" s="8">
        <v>18</v>
      </c>
      <c r="Q22" s="8">
        <f t="shared" si="7"/>
        <v>0.10175704956054688</v>
      </c>
      <c r="R22" s="8">
        <f t="shared" si="0"/>
        <v>2.1400932125603678E-6</v>
      </c>
      <c r="S22" s="8">
        <f t="shared" si="8"/>
        <v>0.1017608642578125</v>
      </c>
      <c r="T22" s="8">
        <f t="shared" si="1"/>
        <v>-1.8778368571642501E-6</v>
      </c>
      <c r="U22" s="8">
        <f t="shared" si="2"/>
        <v>0.10175895690917969</v>
      </c>
      <c r="V22" s="8">
        <f t="shared" si="3"/>
        <v>1.3112883526233965E-7</v>
      </c>
      <c r="W22" s="8">
        <f t="shared" si="4"/>
        <v>2.8062793031587969E-13</v>
      </c>
      <c r="X22" s="8">
        <f t="shared" si="5"/>
        <v>-2.4623855989264058E-13</v>
      </c>
      <c r="Y22" s="8">
        <f t="shared" si="6"/>
        <v>3.814697265625E-6</v>
      </c>
      <c r="AA22" s="8">
        <v>18</v>
      </c>
      <c r="AB22" s="8">
        <f t="shared" si="13"/>
        <v>878.4332275390625</v>
      </c>
      <c r="AC22" s="8">
        <v>-2.5585796964264773E-3</v>
      </c>
      <c r="AD22" s="8">
        <f t="shared" si="14"/>
        <v>878.448486328125</v>
      </c>
      <c r="AE22" s="8">
        <v>3.9553898677695543E-3</v>
      </c>
      <c r="AF22" s="8">
        <f t="shared" si="9"/>
        <v>878.44085693359375</v>
      </c>
      <c r="AG22" s="8">
        <v>6.97581057863772E-4</v>
      </c>
      <c r="AH22" s="8">
        <f t="shared" si="10"/>
        <v>-1.7848167312619507E-6</v>
      </c>
      <c r="AI22" s="8">
        <f t="shared" si="11"/>
        <v>2.7592050482223308E-6</v>
      </c>
      <c r="AJ22" s="8">
        <f t="shared" si="12"/>
        <v>1.52587890625E-2</v>
      </c>
    </row>
    <row r="23" spans="2:36" x14ac:dyDescent="0.2">
      <c r="B23" s="20" t="s">
        <v>24</v>
      </c>
      <c r="C23" s="43">
        <v>240</v>
      </c>
      <c r="D23" s="20" t="s">
        <v>25</v>
      </c>
      <c r="F23" s="36" t="s">
        <v>119</v>
      </c>
      <c r="G23" s="20">
        <f>C15</f>
        <v>878.43922146385012</v>
      </c>
      <c r="H23" s="20" t="s">
        <v>13</v>
      </c>
      <c r="J23" s="20" t="s">
        <v>55</v>
      </c>
      <c r="K23" s="44">
        <f>U34</f>
        <v>0.1017590812407434</v>
      </c>
      <c r="P23" s="8">
        <v>19</v>
      </c>
      <c r="Q23" s="8">
        <f t="shared" si="7"/>
        <v>0.10175895690917969</v>
      </c>
      <c r="R23" s="8">
        <f t="shared" si="0"/>
        <v>1.3112883526233965E-7</v>
      </c>
      <c r="S23" s="8">
        <f t="shared" si="8"/>
        <v>0.1017608642578125</v>
      </c>
      <c r="T23" s="8">
        <f t="shared" si="1"/>
        <v>-1.8778368571642501E-6</v>
      </c>
      <c r="U23" s="8">
        <f t="shared" si="2"/>
        <v>0.10175991058349609</v>
      </c>
      <c r="V23" s="8">
        <f t="shared" si="3"/>
        <v>-8.7335384657549753E-7</v>
      </c>
      <c r="W23" s="8">
        <f t="shared" si="4"/>
        <v>-1.1452187267332907E-13</v>
      </c>
      <c r="X23" s="8">
        <f t="shared" si="5"/>
        <v>1.6400160424456408E-12</v>
      </c>
      <c r="Y23" s="8">
        <f t="shared" si="6"/>
        <v>1.9073486328125E-6</v>
      </c>
      <c r="AA23" s="8">
        <v>19</v>
      </c>
      <c r="AB23" s="8">
        <f t="shared" si="13"/>
        <v>878.4332275390625</v>
      </c>
      <c r="AC23" s="8">
        <v>-2.5585796964264773E-3</v>
      </c>
      <c r="AD23" s="8">
        <f t="shared" si="14"/>
        <v>878.44085693359375</v>
      </c>
      <c r="AE23" s="8">
        <v>6.97581057863772E-4</v>
      </c>
      <c r="AF23" s="8">
        <f t="shared" si="9"/>
        <v>878.43704223632812</v>
      </c>
      <c r="AG23" s="8">
        <v>-9.3049716565474228E-4</v>
      </c>
      <c r="AH23" s="8">
        <f t="shared" si="10"/>
        <v>2.380751155626608E-6</v>
      </c>
      <c r="AI23" s="8">
        <f t="shared" si="11"/>
        <v>-6.4909719715667659E-7</v>
      </c>
      <c r="AJ23" s="8">
        <f t="shared" si="12"/>
        <v>7.62939453125E-3</v>
      </c>
    </row>
    <row r="24" spans="2:36" x14ac:dyDescent="0.2">
      <c r="B24" s="20" t="s">
        <v>126</v>
      </c>
      <c r="C24" s="43">
        <v>2.54</v>
      </c>
      <c r="D24" s="20" t="s">
        <v>18</v>
      </c>
      <c r="F24" s="37" t="s">
        <v>84</v>
      </c>
      <c r="G24" s="20">
        <f xml:space="preserve"> G19 / ($C$10 * $C$11 * $C$12)</f>
        <v>214.44274394917042</v>
      </c>
      <c r="H24" s="20" t="s">
        <v>13</v>
      </c>
      <c r="J24" s="20" t="s">
        <v>56</v>
      </c>
      <c r="K24" s="20">
        <f xml:space="preserve"> K19 * $C$16 * K23 - $C$17 * SIN(K17)</f>
        <v>5.1848019213996528</v>
      </c>
      <c r="L24" s="20" t="s">
        <v>18</v>
      </c>
      <c r="P24" s="8">
        <v>20</v>
      </c>
      <c r="Q24" s="8">
        <f t="shared" si="7"/>
        <v>0.10175895690917969</v>
      </c>
      <c r="R24" s="8">
        <f t="shared" si="0"/>
        <v>1.3112883526233965E-7</v>
      </c>
      <c r="S24" s="8">
        <f t="shared" si="8"/>
        <v>0.10175991058349609</v>
      </c>
      <c r="T24" s="8">
        <f t="shared" si="1"/>
        <v>-8.7335384657549753E-7</v>
      </c>
      <c r="U24" s="8">
        <f t="shared" si="2"/>
        <v>0.10175943374633789</v>
      </c>
      <c r="V24" s="8">
        <f t="shared" si="3"/>
        <v>-3.7111246456444924E-7</v>
      </c>
      <c r="W24" s="8">
        <f t="shared" si="4"/>
        <v>-4.8663545229672527E-14</v>
      </c>
      <c r="X24" s="8">
        <f t="shared" si="5"/>
        <v>3.2411249843947475E-13</v>
      </c>
      <c r="Y24" s="8">
        <f t="shared" si="6"/>
        <v>9.5367431640625E-7</v>
      </c>
      <c r="AA24" s="8">
        <v>20</v>
      </c>
      <c r="AB24" s="8">
        <f t="shared" si="13"/>
        <v>878.43704223632812</v>
      </c>
      <c r="AC24" s="8">
        <v>-9.3049716565474228E-4</v>
      </c>
      <c r="AD24" s="8">
        <f t="shared" si="14"/>
        <v>878.44085693359375</v>
      </c>
      <c r="AE24" s="8">
        <v>6.97581057863772E-4</v>
      </c>
      <c r="AF24" s="8">
        <f t="shared" si="9"/>
        <v>878.43894958496094</v>
      </c>
      <c r="AG24" s="8">
        <v>-1.1562488322169884E-4</v>
      </c>
      <c r="AH24" s="8">
        <f t="shared" si="10"/>
        <v>1.0758862611695134E-7</v>
      </c>
      <c r="AI24" s="8">
        <f t="shared" si="11"/>
        <v>-8.0657728353167779E-8</v>
      </c>
      <c r="AJ24" s="8">
        <f t="shared" si="12"/>
        <v>3.814697265625E-3</v>
      </c>
    </row>
    <row r="25" spans="2:36" x14ac:dyDescent="0.2">
      <c r="B25" s="20" t="s">
        <v>129</v>
      </c>
      <c r="C25" s="43">
        <v>152.4</v>
      </c>
      <c r="D25" s="20" t="s">
        <v>15</v>
      </c>
      <c r="F25" s="38" t="s">
        <v>85</v>
      </c>
      <c r="G25" s="20">
        <f xml:space="preserve"> $C$32 * ($C$5 * 0.144 * (2*$C$16*3.28084 * (G4*0.00134102/$C$5) * 4^0.5)^0.782 * 0.453592)</f>
        <v>39.928505916094537</v>
      </c>
      <c r="H25" s="20" t="s">
        <v>13</v>
      </c>
      <c r="J25" s="20" t="s">
        <v>57</v>
      </c>
      <c r="K25" s="20">
        <f xml:space="preserve"> 1/$C$7 - K22 * SQRT( (2*$C$30*PI()*$C$16^2) / K18^3 )</f>
        <v>1.2689266907018282</v>
      </c>
      <c r="P25" s="8">
        <v>21</v>
      </c>
      <c r="Q25" s="8">
        <f t="shared" si="7"/>
        <v>0.10175895690917969</v>
      </c>
      <c r="R25" s="8">
        <f t="shared" si="0"/>
        <v>1.3112883526233965E-7</v>
      </c>
      <c r="S25" s="8">
        <f t="shared" si="8"/>
        <v>0.10175943374633789</v>
      </c>
      <c r="T25" s="8">
        <f t="shared" si="1"/>
        <v>-3.7111246456444924E-7</v>
      </c>
      <c r="U25" s="8">
        <f t="shared" si="2"/>
        <v>0.10175919532775879</v>
      </c>
      <c r="V25" s="8">
        <f t="shared" si="3"/>
        <v>-1.1999180438149182E-7</v>
      </c>
      <c r="W25" s="8">
        <f t="shared" si="4"/>
        <v>-1.5734385549571526E-14</v>
      </c>
      <c r="X25" s="8">
        <f t="shared" si="5"/>
        <v>4.453045425155071E-14</v>
      </c>
      <c r="Y25" s="8">
        <f t="shared" si="6"/>
        <v>4.76837158203125E-7</v>
      </c>
      <c r="AA25" s="8">
        <v>21</v>
      </c>
      <c r="AB25" s="8">
        <f t="shared" si="13"/>
        <v>878.43894958496094</v>
      </c>
      <c r="AC25" s="8">
        <v>-1.1562488322169884E-4</v>
      </c>
      <c r="AD25" s="8">
        <f t="shared" si="14"/>
        <v>878.44085693359375</v>
      </c>
      <c r="AE25" s="8">
        <v>6.97581057863772E-4</v>
      </c>
      <c r="AF25" s="8">
        <f t="shared" si="9"/>
        <v>878.43990325927734</v>
      </c>
      <c r="AG25" s="8">
        <v>2.909782223809998E-4</v>
      </c>
      <c r="AH25" s="8">
        <f t="shared" si="10"/>
        <v>-3.364432298286062E-8</v>
      </c>
      <c r="AI25" s="8">
        <f t="shared" si="11"/>
        <v>2.0298089618385774E-7</v>
      </c>
      <c r="AJ25" s="8">
        <f t="shared" si="12"/>
        <v>1.9073486328125E-3</v>
      </c>
    </row>
    <row r="26" spans="2:36" x14ac:dyDescent="0.2">
      <c r="B26" s="20" t="s">
        <v>127</v>
      </c>
      <c r="C26" s="43">
        <v>1.524</v>
      </c>
      <c r="D26" s="20" t="s">
        <v>18</v>
      </c>
      <c r="F26" s="39" t="s">
        <v>86</v>
      </c>
      <c r="G26" s="20">
        <f xml:space="preserve"> 0.2138 * (G4/1000)</f>
        <v>34.343885356602513</v>
      </c>
      <c r="H26" s="20" t="s">
        <v>13</v>
      </c>
      <c r="J26" s="20" t="s">
        <v>58</v>
      </c>
      <c r="K26" s="43">
        <v>1.1499999999999999</v>
      </c>
      <c r="P26" s="8">
        <v>22</v>
      </c>
      <c r="Q26" s="8">
        <f t="shared" si="7"/>
        <v>0.10175895690917969</v>
      </c>
      <c r="R26" s="8">
        <f t="shared" si="0"/>
        <v>1.3112883526233965E-7</v>
      </c>
      <c r="S26" s="8">
        <f t="shared" si="8"/>
        <v>0.10175919532775879</v>
      </c>
      <c r="T26" s="8">
        <f t="shared" si="1"/>
        <v>-1.1999180438149182E-7</v>
      </c>
      <c r="U26" s="8">
        <f t="shared" si="2"/>
        <v>0.10175907611846924</v>
      </c>
      <c r="V26" s="8">
        <f t="shared" si="3"/>
        <v>5.5685179939368723E-9</v>
      </c>
      <c r="W26" s="8">
        <f t="shared" si="4"/>
        <v>7.3019327868232218E-16</v>
      </c>
      <c r="X26" s="8">
        <f t="shared" si="5"/>
        <v>-6.6817652182329044E-16</v>
      </c>
      <c r="Y26" s="8">
        <f t="shared" si="6"/>
        <v>2.384185791015625E-7</v>
      </c>
      <c r="AA26" s="8">
        <v>22</v>
      </c>
      <c r="AB26" s="8">
        <f t="shared" si="13"/>
        <v>878.43894958496094</v>
      </c>
      <c r="AC26" s="8">
        <v>-1.1562488322169884E-4</v>
      </c>
      <c r="AD26" s="8">
        <f t="shared" si="14"/>
        <v>878.43990325927734</v>
      </c>
      <c r="AE26" s="8">
        <v>2.909782223809998E-4</v>
      </c>
      <c r="AF26" s="8">
        <f t="shared" si="9"/>
        <v>878.43942642211914</v>
      </c>
      <c r="AG26" s="8">
        <v>8.7676703401484701E-5</v>
      </c>
      <c r="AH26" s="8">
        <f t="shared" si="10"/>
        <v>-1.0137608592060193E-8</v>
      </c>
      <c r="AI26" s="8">
        <f t="shared" si="11"/>
        <v>2.5512011299990175E-8</v>
      </c>
      <c r="AJ26" s="8">
        <f t="shared" si="12"/>
        <v>9.5367431640625E-4</v>
      </c>
    </row>
    <row r="27" spans="2:36" x14ac:dyDescent="0.2">
      <c r="B27" s="20" t="s">
        <v>133</v>
      </c>
      <c r="C27" s="43">
        <v>152.4</v>
      </c>
      <c r="D27" s="20" t="s">
        <v>15</v>
      </c>
      <c r="F27" s="39" t="s">
        <v>117</v>
      </c>
      <c r="G27" s="20">
        <f xml:space="preserve"> 2.20462 * (49.9/398 * (G4/$C$5/1000 - 2) + 0.1) * 0.453592 * $C$5</f>
        <v>19.084672935677524</v>
      </c>
      <c r="H27" s="20" t="s">
        <v>13</v>
      </c>
      <c r="J27" s="20" t="s">
        <v>59</v>
      </c>
      <c r="K27" s="20">
        <f xml:space="preserve"> 1/$C$35 * LN( EXP($C$35 * K25) + EXP($C$35 * K26) )</f>
        <v>1.2698542592177262</v>
      </c>
      <c r="P27" s="8">
        <v>23</v>
      </c>
      <c r="Q27" s="8">
        <f t="shared" si="7"/>
        <v>0.10175907611846924</v>
      </c>
      <c r="R27" s="8">
        <f t="shared" si="0"/>
        <v>5.5685179939368723E-9</v>
      </c>
      <c r="S27" s="8">
        <f t="shared" si="8"/>
        <v>0.10175919532775879</v>
      </c>
      <c r="T27" s="8">
        <f t="shared" si="1"/>
        <v>-1.1999180438149182E-7</v>
      </c>
      <c r="U27" s="8">
        <f t="shared" si="2"/>
        <v>0.10175913572311401</v>
      </c>
      <c r="V27" s="8">
        <f t="shared" si="3"/>
        <v>-5.721164254846034E-8</v>
      </c>
      <c r="W27" s="8">
        <f t="shared" si="4"/>
        <v>-3.1858406099378577E-16</v>
      </c>
      <c r="X27" s="8">
        <f t="shared" si="5"/>
        <v>6.8649282210186873E-15</v>
      </c>
      <c r="Y27" s="8">
        <f t="shared" si="6"/>
        <v>1.1920928955078125E-7</v>
      </c>
      <c r="AA27" s="8">
        <v>23</v>
      </c>
      <c r="AB27" s="8">
        <f t="shared" si="13"/>
        <v>878.43894958496094</v>
      </c>
      <c r="AC27" s="8">
        <v>-1.1562488322169884E-4</v>
      </c>
      <c r="AD27" s="8">
        <f t="shared" si="14"/>
        <v>878.43942642211914</v>
      </c>
      <c r="AE27" s="8">
        <v>8.7676703401484701E-5</v>
      </c>
      <c r="AF27" s="8">
        <f t="shared" si="9"/>
        <v>878.43918800354004</v>
      </c>
      <c r="AG27" s="8">
        <v>-1.3974081525702786E-5</v>
      </c>
      <c r="AH27" s="8">
        <f t="shared" si="10"/>
        <v>1.6157515445398838E-9</v>
      </c>
      <c r="AI27" s="8">
        <f t="shared" si="11"/>
        <v>-1.22520140123721E-9</v>
      </c>
      <c r="AJ27" s="8">
        <f t="shared" si="12"/>
        <v>4.76837158203125E-4</v>
      </c>
    </row>
    <row r="28" spans="2:36" x14ac:dyDescent="0.2">
      <c r="F28" s="40" t="s">
        <v>94</v>
      </c>
      <c r="G28" s="20">
        <f xml:space="preserve"> $C$32 * (14.86 * ($C$15*2.20462)^0.144 * (6.7/(PI()*1.8))^0.778 * (6.7*3.28084)^0.383 * 4^0.455 * 0.453592)</f>
        <v>112.29399581528214</v>
      </c>
      <c r="H28" s="20" t="s">
        <v>13</v>
      </c>
      <c r="P28" s="8">
        <v>24</v>
      </c>
      <c r="Q28" s="8">
        <f t="shared" si="7"/>
        <v>0.10175907611846924</v>
      </c>
      <c r="R28" s="8">
        <f t="shared" si="0"/>
        <v>5.5685179939368723E-9</v>
      </c>
      <c r="S28" s="8">
        <f t="shared" si="8"/>
        <v>0.10175913572311401</v>
      </c>
      <c r="T28" s="8">
        <f t="shared" si="1"/>
        <v>-5.721164254846034E-8</v>
      </c>
      <c r="U28" s="8">
        <f t="shared" si="2"/>
        <v>0.10175910592079163</v>
      </c>
      <c r="V28" s="8">
        <f t="shared" si="3"/>
        <v>-2.582156211072828E-8</v>
      </c>
      <c r="W28" s="8">
        <f t="shared" si="4"/>
        <v>-1.43787833245149E-16</v>
      </c>
      <c r="X28" s="8">
        <f t="shared" si="5"/>
        <v>1.4772939815218534E-15</v>
      </c>
      <c r="Y28" s="8">
        <f t="shared" si="6"/>
        <v>5.9604644775390625E-8</v>
      </c>
      <c r="AA28" s="8">
        <v>24</v>
      </c>
      <c r="AB28" s="8">
        <f t="shared" si="13"/>
        <v>878.43918800354004</v>
      </c>
      <c r="AC28" s="8">
        <v>-1.3974081525702786E-5</v>
      </c>
      <c r="AD28" s="8">
        <f t="shared" si="14"/>
        <v>878.43942642211914</v>
      </c>
      <c r="AE28" s="8">
        <v>8.7676703401484701E-5</v>
      </c>
      <c r="AF28" s="8">
        <f t="shared" si="9"/>
        <v>878.43930721282959</v>
      </c>
      <c r="AG28" s="8">
        <v>3.6018680361848965E-5</v>
      </c>
      <c r="AH28" s="8">
        <f t="shared" si="10"/>
        <v>-5.0332797582470738E-10</v>
      </c>
      <c r="AI28" s="8">
        <f t="shared" si="11"/>
        <v>3.1579991549987134E-9</v>
      </c>
      <c r="AJ28" s="8">
        <f t="shared" si="12"/>
        <v>2.384185791015625E-4</v>
      </c>
    </row>
    <row r="29" spans="2:36" x14ac:dyDescent="0.2">
      <c r="B29" s="26" t="s">
        <v>107</v>
      </c>
      <c r="C29" s="31"/>
      <c r="D29" s="31"/>
      <c r="F29" s="40" t="s">
        <v>95</v>
      </c>
      <c r="G29" s="20">
        <f xml:space="preserve"> $C$32 * (0.054 * (0.7*3.28084)^0.501 * ($C$15*2.20462*5.7)^0.684 * 0.453592)</f>
        <v>17.314472249451377</v>
      </c>
      <c r="H29" s="20" t="s">
        <v>13</v>
      </c>
      <c r="P29" s="8">
        <v>25</v>
      </c>
      <c r="Q29" s="8">
        <f t="shared" si="7"/>
        <v>0.10175907611846924</v>
      </c>
      <c r="R29" s="8">
        <f t="shared" si="0"/>
        <v>5.5685179939368723E-9</v>
      </c>
      <c r="S29" s="8">
        <f t="shared" si="8"/>
        <v>0.10175910592079163</v>
      </c>
      <c r="T29" s="8">
        <f t="shared" si="1"/>
        <v>-2.582156211072828E-8</v>
      </c>
      <c r="U29" s="8">
        <f t="shared" si="2"/>
        <v>0.10175909101963043</v>
      </c>
      <c r="V29" s="8">
        <f t="shared" si="3"/>
        <v>-1.0126522009823447E-8</v>
      </c>
      <c r="W29" s="8">
        <f t="shared" si="4"/>
        <v>-5.6389720027699647E-17</v>
      </c>
      <c r="X29" s="8">
        <f t="shared" si="5"/>
        <v>2.6148261704231309E-16</v>
      </c>
      <c r="Y29" s="8">
        <f t="shared" si="6"/>
        <v>2.9802322387695312E-8</v>
      </c>
      <c r="AA29" s="8">
        <v>25</v>
      </c>
      <c r="AB29" s="8">
        <f t="shared" si="13"/>
        <v>878.43918800354004</v>
      </c>
      <c r="AC29" s="8">
        <v>-1.3974081525702786E-5</v>
      </c>
      <c r="AD29" s="8">
        <f t="shared" si="14"/>
        <v>878.43930721282959</v>
      </c>
      <c r="AE29" s="8">
        <v>3.6018680361848965E-5</v>
      </c>
      <c r="AF29" s="8">
        <f t="shared" si="9"/>
        <v>878.43924760818481</v>
      </c>
      <c r="AG29" s="8">
        <v>1.0189667534632463E-5</v>
      </c>
      <c r="AH29" s="8">
        <f t="shared" si="10"/>
        <v>-1.4239124484876096E-10</v>
      </c>
      <c r="AI29" s="8">
        <f t="shared" si="11"/>
        <v>3.6701837792343624E-10</v>
      </c>
      <c r="AJ29" s="8">
        <f t="shared" si="12"/>
        <v>1.1920928955078125E-4</v>
      </c>
    </row>
    <row r="30" spans="2:36" x14ac:dyDescent="0.2">
      <c r="B30" s="20" t="s">
        <v>26</v>
      </c>
      <c r="C30" s="43">
        <v>1.2250000000000001</v>
      </c>
      <c r="D30" s="20" t="s">
        <v>27</v>
      </c>
      <c r="F30" s="40" t="s">
        <v>96</v>
      </c>
      <c r="G30" s="20">
        <f xml:space="preserve"> $C$32 * 0</f>
        <v>0</v>
      </c>
      <c r="H30" s="20" t="s">
        <v>13</v>
      </c>
      <c r="P30" s="8">
        <v>26</v>
      </c>
      <c r="Q30" s="8">
        <f t="shared" si="7"/>
        <v>0.10175907611846924</v>
      </c>
      <c r="R30" s="8">
        <f t="shared" si="0"/>
        <v>5.5685179939368723E-9</v>
      </c>
      <c r="S30" s="8">
        <f t="shared" si="8"/>
        <v>0.10175909101963043</v>
      </c>
      <c r="T30" s="8">
        <f t="shared" si="1"/>
        <v>-1.0126522009823447E-8</v>
      </c>
      <c r="U30" s="8">
        <f t="shared" si="2"/>
        <v>0.10175908356904984</v>
      </c>
      <c r="V30" s="8">
        <f t="shared" si="3"/>
        <v>-2.2790019871266054E-9</v>
      </c>
      <c r="W30" s="8">
        <f t="shared" si="4"/>
        <v>-1.269066357353239E-17</v>
      </c>
      <c r="X30" s="8">
        <f t="shared" si="5"/>
        <v>2.3078363783068941E-17</v>
      </c>
      <c r="Y30" s="8">
        <f t="shared" si="6"/>
        <v>1.4901161193847656E-8</v>
      </c>
      <c r="AA30" s="8">
        <v>26</v>
      </c>
      <c r="AB30" s="8">
        <f t="shared" si="13"/>
        <v>878.43918800354004</v>
      </c>
      <c r="AC30" s="8">
        <v>-1.3974081525702786E-5</v>
      </c>
      <c r="AD30" s="8">
        <f t="shared" si="14"/>
        <v>878.43924760818481</v>
      </c>
      <c r="AE30" s="8">
        <v>1.0189667534632463E-5</v>
      </c>
      <c r="AF30" s="8">
        <f t="shared" si="9"/>
        <v>878.43921780586243</v>
      </c>
      <c r="AG30" s="8">
        <v>-1.8922068534266145E-6</v>
      </c>
      <c r="AH30" s="8">
        <f t="shared" si="10"/>
        <v>2.6441852833277054E-11</v>
      </c>
      <c r="AI30" s="8">
        <f t="shared" si="11"/>
        <v>-1.9280958743170221E-11</v>
      </c>
      <c r="AJ30" s="8">
        <f t="shared" si="12"/>
        <v>5.9604644775390625E-5</v>
      </c>
    </row>
    <row r="31" spans="2:36" x14ac:dyDescent="0.2">
      <c r="B31" s="20" t="s">
        <v>28</v>
      </c>
      <c r="C31" s="43">
        <v>9.81</v>
      </c>
      <c r="D31" s="20" t="s">
        <v>29</v>
      </c>
      <c r="F31" s="40" t="s">
        <v>97</v>
      </c>
      <c r="G31" s="20">
        <f xml:space="preserve"> $C$32 * 0</f>
        <v>0</v>
      </c>
      <c r="H31" s="20" t="s">
        <v>13</v>
      </c>
      <c r="P31" s="8">
        <v>27</v>
      </c>
      <c r="Q31" s="8">
        <f t="shared" si="7"/>
        <v>0.10175907611846924</v>
      </c>
      <c r="R31" s="8">
        <f t="shared" si="0"/>
        <v>5.5685179939368723E-9</v>
      </c>
      <c r="S31" s="8">
        <f t="shared" si="8"/>
        <v>0.10175908356904984</v>
      </c>
      <c r="T31" s="8">
        <f t="shared" si="1"/>
        <v>-2.2790019871266054E-9</v>
      </c>
      <c r="U31" s="8">
        <f t="shared" si="2"/>
        <v>0.10175907984375954</v>
      </c>
      <c r="V31" s="8">
        <f t="shared" si="3"/>
        <v>1.6447579964662395E-9</v>
      </c>
      <c r="W31" s="8">
        <f t="shared" si="4"/>
        <v>9.1588644989938135E-18</v>
      </c>
      <c r="X31" s="8">
        <f t="shared" si="5"/>
        <v>-3.7484067422889341E-18</v>
      </c>
      <c r="Y31" s="8">
        <f t="shared" si="6"/>
        <v>7.4505805969238281E-9</v>
      </c>
      <c r="AA31" s="8">
        <v>27</v>
      </c>
      <c r="AB31" s="8">
        <f t="shared" si="13"/>
        <v>878.43921780586243</v>
      </c>
      <c r="AC31" s="8">
        <v>-1.8922068534266145E-6</v>
      </c>
      <c r="AD31" s="8">
        <f t="shared" si="14"/>
        <v>878.43924760818481</v>
      </c>
      <c r="AE31" s="8">
        <v>1.0189667534632463E-5</v>
      </c>
      <c r="AF31" s="8">
        <f t="shared" si="9"/>
        <v>878.43923270702362</v>
      </c>
      <c r="AG31" s="8">
        <v>4.1487304542897618E-6</v>
      </c>
      <c r="AH31" s="8">
        <f t="shared" si="10"/>
        <v>-7.8502561986267993E-12</v>
      </c>
      <c r="AI31" s="8">
        <f t="shared" si="11"/>
        <v>4.2274184020017375E-11</v>
      </c>
      <c r="AJ31" s="8">
        <f t="shared" si="12"/>
        <v>2.9802322387695312E-5</v>
      </c>
    </row>
    <row r="32" spans="2:36" x14ac:dyDescent="0.2">
      <c r="B32" s="20" t="s">
        <v>115</v>
      </c>
      <c r="C32" s="43">
        <v>0.8</v>
      </c>
      <c r="F32" s="41" t="s">
        <v>98</v>
      </c>
      <c r="G32" s="20">
        <f xml:space="preserve"> $C$32 * (0.0268 * $C$15)</f>
        <v>18.833736908184946</v>
      </c>
      <c r="H32" s="20" t="s">
        <v>13</v>
      </c>
      <c r="P32" s="8">
        <v>28</v>
      </c>
      <c r="Q32" s="8">
        <f t="shared" si="7"/>
        <v>0.10175907984375954</v>
      </c>
      <c r="R32" s="8">
        <f t="shared" si="0"/>
        <v>1.6447579964662395E-9</v>
      </c>
      <c r="S32" s="8">
        <f t="shared" si="8"/>
        <v>0.10175908356904984</v>
      </c>
      <c r="T32" s="8">
        <f t="shared" si="1"/>
        <v>-2.2790019871266054E-9</v>
      </c>
      <c r="U32" s="8">
        <f t="shared" si="2"/>
        <v>0.10175908170640469</v>
      </c>
      <c r="V32" s="8">
        <f t="shared" si="3"/>
        <v>-3.1712199533018293E-10</v>
      </c>
      <c r="W32" s="8">
        <f t="shared" si="4"/>
        <v>-5.2158893767464784E-19</v>
      </c>
      <c r="X32" s="8">
        <f t="shared" si="5"/>
        <v>7.2272165751904097E-19</v>
      </c>
      <c r="Y32" s="8">
        <f t="shared" si="6"/>
        <v>3.7252902984619141E-9</v>
      </c>
      <c r="AA32" s="8">
        <v>28</v>
      </c>
      <c r="AB32" s="8">
        <f t="shared" si="13"/>
        <v>878.43921780586243</v>
      </c>
      <c r="AC32" s="8">
        <v>-1.8922068534266145E-6</v>
      </c>
      <c r="AD32" s="8">
        <f t="shared" si="14"/>
        <v>878.43923270702362</v>
      </c>
      <c r="AE32" s="8">
        <v>4.1487304542897618E-6</v>
      </c>
      <c r="AF32" s="8">
        <f t="shared" si="9"/>
        <v>878.43922525644302</v>
      </c>
      <c r="AG32" s="8">
        <v>1.9608941670412605E-6</v>
      </c>
      <c r="AH32" s="8">
        <f t="shared" si="10"/>
        <v>-3.7104173817197459E-12</v>
      </c>
      <c r="AI32" s="8">
        <f t="shared" si="11"/>
        <v>8.1352213484432329E-12</v>
      </c>
      <c r="AJ32" s="8">
        <f t="shared" si="12"/>
        <v>1.4901161193847656E-5</v>
      </c>
    </row>
    <row r="33" spans="2:36" x14ac:dyDescent="0.2">
      <c r="F33" s="41" t="s">
        <v>99</v>
      </c>
      <c r="G33" s="20">
        <f xml:space="preserve"> $C$32 * (11.5 * ($C$15*2.20462/1000)^0.4 * 0.453592)</f>
        <v>5.435899241729385</v>
      </c>
      <c r="H33" s="20" t="s">
        <v>13</v>
      </c>
      <c r="P33" s="8">
        <v>29</v>
      </c>
      <c r="Q33" s="8">
        <f t="shared" si="7"/>
        <v>0.10175907984375954</v>
      </c>
      <c r="R33" s="8">
        <f t="shared" si="0"/>
        <v>1.6447579964662395E-9</v>
      </c>
      <c r="S33" s="8">
        <f t="shared" si="8"/>
        <v>0.10175908170640469</v>
      </c>
      <c r="T33" s="8">
        <f t="shared" si="1"/>
        <v>-3.1712199533018293E-10</v>
      </c>
      <c r="U33" s="8">
        <f t="shared" si="2"/>
        <v>0.10175908077508211</v>
      </c>
      <c r="V33" s="8">
        <f t="shared" si="3"/>
        <v>6.6381800056802831E-10</v>
      </c>
      <c r="W33" s="8">
        <f t="shared" si="4"/>
        <v>1.0918199646324953E-18</v>
      </c>
      <c r="X33" s="8">
        <f t="shared" si="5"/>
        <v>-2.1051128887622564E-19</v>
      </c>
      <c r="Y33" s="8">
        <f t="shared" si="6"/>
        <v>1.862645149230957E-9</v>
      </c>
      <c r="AA33" s="8">
        <v>29</v>
      </c>
      <c r="AB33" s="8">
        <f t="shared" si="13"/>
        <v>878.43921780586243</v>
      </c>
      <c r="AC33" s="8">
        <v>-1.8922068534266145E-6</v>
      </c>
      <c r="AD33" s="8">
        <f t="shared" si="14"/>
        <v>878.43922525644302</v>
      </c>
      <c r="AE33" s="8">
        <v>1.9608941670412605E-6</v>
      </c>
      <c r="AF33" s="8">
        <f t="shared" si="9"/>
        <v>878.43922153115273</v>
      </c>
      <c r="AG33" s="8">
        <v>3.4343713650741847E-8</v>
      </c>
      <c r="AH33" s="8">
        <f t="shared" si="10"/>
        <v>-6.49854103420549E-14</v>
      </c>
      <c r="AI33" s="8">
        <f t="shared" si="11"/>
        <v>6.7344387772275003E-14</v>
      </c>
      <c r="AJ33" s="8">
        <f t="shared" si="12"/>
        <v>7.4505805969238281E-6</v>
      </c>
    </row>
    <row r="34" spans="2:36" x14ac:dyDescent="0.2">
      <c r="B34" s="26" t="s">
        <v>30</v>
      </c>
      <c r="C34" s="26"/>
      <c r="D34" s="26"/>
      <c r="F34" s="41" t="s">
        <v>100</v>
      </c>
      <c r="G34" s="20">
        <f xml:space="preserve"> $C$32 * (8 * ($C$15/1000))</f>
        <v>5.6220110173686413</v>
      </c>
      <c r="H34" s="20" t="s">
        <v>13</v>
      </c>
      <c r="P34" s="8">
        <v>30</v>
      </c>
      <c r="Q34" s="8">
        <f t="shared" si="7"/>
        <v>0.10175908077508211</v>
      </c>
      <c r="R34" s="8">
        <f t="shared" si="0"/>
        <v>6.6381800056802831E-10</v>
      </c>
      <c r="S34" s="8">
        <f t="shared" si="8"/>
        <v>0.10175908170640469</v>
      </c>
      <c r="T34" s="8">
        <f t="shared" si="1"/>
        <v>-3.1712199533018293E-10</v>
      </c>
      <c r="U34" s="8">
        <f t="shared" si="2"/>
        <v>0.1017590812407434</v>
      </c>
      <c r="V34" s="8">
        <f t="shared" si="3"/>
        <v>1.7334800261892269E-10</v>
      </c>
      <c r="W34" s="8">
        <f t="shared" si="4"/>
        <v>1.150715245009546E-19</v>
      </c>
      <c r="X34" s="8">
        <f t="shared" si="5"/>
        <v>-5.497246447701454E-20</v>
      </c>
      <c r="Y34" s="8">
        <f t="shared" si="6"/>
        <v>9.3132257461547852E-10</v>
      </c>
      <c r="AA34" s="8">
        <v>30</v>
      </c>
      <c r="AB34" s="8">
        <f t="shared" si="13"/>
        <v>878.43921780586243</v>
      </c>
      <c r="AC34" s="8">
        <v>-1.8922068534266145E-6</v>
      </c>
      <c r="AD34" s="8">
        <f t="shared" si="14"/>
        <v>878.43922153115273</v>
      </c>
      <c r="AE34" s="8">
        <v>3.4343713650741847E-8</v>
      </c>
      <c r="AF34" s="8">
        <f t="shared" si="9"/>
        <v>878.43921966850758</v>
      </c>
      <c r="AG34" s="8">
        <v>-9.2893168357477407E-7</v>
      </c>
      <c r="AH34" s="8">
        <f t="shared" si="10"/>
        <v>1.7577308980253108E-12</v>
      </c>
      <c r="AI34" s="8">
        <f t="shared" si="11"/>
        <v>-3.1902963741793574E-14</v>
      </c>
      <c r="AJ34" s="8">
        <f t="shared" si="12"/>
        <v>3.7252902984619141E-6</v>
      </c>
    </row>
    <row r="35" spans="2:36" x14ac:dyDescent="0.2">
      <c r="B35" s="20" t="s">
        <v>31</v>
      </c>
      <c r="C35" s="43">
        <v>30</v>
      </c>
      <c r="F35" s="41" t="s">
        <v>101</v>
      </c>
      <c r="G35" s="20">
        <f xml:space="preserve"> $C$32 * (13 * ($C$15*2.20462/1000)^1.3 * 0.453592)</f>
        <v>11.139298074750839</v>
      </c>
      <c r="H35" s="20" t="s">
        <v>13</v>
      </c>
      <c r="AA35" s="8">
        <v>31</v>
      </c>
      <c r="AB35" s="8">
        <f t="shared" si="13"/>
        <v>878.43921966850758</v>
      </c>
      <c r="AC35" s="20">
        <v>-9.2893168357477407E-7</v>
      </c>
      <c r="AD35" s="8">
        <f t="shared" si="14"/>
        <v>878.43922153115273</v>
      </c>
      <c r="AE35" s="20">
        <v>3.4343713650741847E-8</v>
      </c>
      <c r="AF35" s="8">
        <f t="shared" si="9"/>
        <v>878.43922059983015</v>
      </c>
      <c r="AG35" s="20">
        <v>-4.4729398496201611E-7</v>
      </c>
      <c r="AH35" s="8">
        <f t="shared" si="10"/>
        <v>4.155055545036353E-13</v>
      </c>
      <c r="AI35" s="8">
        <f t="shared" si="11"/>
        <v>-1.5361736537234711E-14</v>
      </c>
      <c r="AJ35" s="8">
        <f t="shared" si="12"/>
        <v>1.862645149230957E-6</v>
      </c>
    </row>
    <row r="36" spans="2:36" x14ac:dyDescent="0.2">
      <c r="F36" s="36" t="s">
        <v>88</v>
      </c>
      <c r="G36" s="36">
        <f>$C$15 - $C$21 - SUM(G24:G35)</f>
        <v>-4.6225068217609078E-10</v>
      </c>
      <c r="H36" s="36" t="s">
        <v>13</v>
      </c>
      <c r="AA36" s="8">
        <v>32</v>
      </c>
      <c r="AB36" s="8">
        <f t="shared" si="13"/>
        <v>878.43922059983015</v>
      </c>
      <c r="AC36" s="20">
        <v>-4.4729398496201611E-7</v>
      </c>
      <c r="AD36" s="8">
        <f t="shared" si="14"/>
        <v>878.43922153115273</v>
      </c>
      <c r="AE36" s="20">
        <v>3.4343713650741847E-8</v>
      </c>
      <c r="AF36" s="8">
        <f t="shared" si="9"/>
        <v>878.43922106549144</v>
      </c>
      <c r="AG36" s="20">
        <v>-2.0647513565563713E-7</v>
      </c>
      <c r="AH36" s="8">
        <f t="shared" si="10"/>
        <v>9.2355086222982792E-14</v>
      </c>
      <c r="AI36" s="8">
        <f t="shared" si="11"/>
        <v>-7.0911229349552797E-15</v>
      </c>
      <c r="AJ36" s="8">
        <f t="shared" si="12"/>
        <v>9.3132257461547852E-7</v>
      </c>
    </row>
    <row r="37" spans="2:36" x14ac:dyDescent="0.2">
      <c r="F37" s="20" t="s">
        <v>89</v>
      </c>
      <c r="G37" s="10" t="str">
        <f>IF(ABS(G36)&lt;0.00001, "TRUE", "FALSE")</f>
        <v>TRUE</v>
      </c>
      <c r="AA37" s="8">
        <v>33</v>
      </c>
      <c r="AB37" s="8">
        <f t="shared" si="13"/>
        <v>878.43922106549144</v>
      </c>
      <c r="AC37" s="20">
        <v>-2.0647513565563713E-7</v>
      </c>
      <c r="AD37" s="8">
        <f t="shared" si="14"/>
        <v>878.43922153115273</v>
      </c>
      <c r="AE37" s="20">
        <v>3.4343713650741847E-8</v>
      </c>
      <c r="AF37" s="8">
        <f t="shared" si="9"/>
        <v>878.43922129832208</v>
      </c>
      <c r="AG37" s="20">
        <v>-8.6065767845866503E-8</v>
      </c>
      <c r="AH37" s="8">
        <f t="shared" si="10"/>
        <v>1.7770441091281859E-14</v>
      </c>
      <c r="AI37" s="8">
        <f t="shared" si="11"/>
        <v>-2.9558180860296642E-15</v>
      </c>
      <c r="AJ37" s="8">
        <f t="shared" si="12"/>
        <v>4.6566128730773926E-7</v>
      </c>
    </row>
    <row r="38" spans="2:36" x14ac:dyDescent="0.2">
      <c r="AA38" s="8">
        <v>34</v>
      </c>
      <c r="AB38" s="8">
        <f t="shared" si="13"/>
        <v>878.43922129832208</v>
      </c>
      <c r="AC38" s="20">
        <v>-8.6065767845866503E-8</v>
      </c>
      <c r="AD38" s="8">
        <f t="shared" si="14"/>
        <v>878.43922153115273</v>
      </c>
      <c r="AE38" s="20">
        <v>3.4343713650741847E-8</v>
      </c>
      <c r="AF38" s="8">
        <f t="shared" si="9"/>
        <v>878.4392214147374</v>
      </c>
      <c r="AG38" s="20">
        <v>-2.5861027097562328E-8</v>
      </c>
      <c r="AH38" s="8">
        <f t="shared" si="10"/>
        <v>2.2257491544344621E-15</v>
      </c>
      <c r="AI38" s="8">
        <f t="shared" si="11"/>
        <v>-8.8816370935275614E-16</v>
      </c>
      <c r="AJ38" s="8">
        <f t="shared" si="12"/>
        <v>2.3283064365386963E-7</v>
      </c>
    </row>
    <row r="39" spans="2:36" x14ac:dyDescent="0.2">
      <c r="AA39" s="8">
        <v>35</v>
      </c>
      <c r="AB39" s="8">
        <f t="shared" si="13"/>
        <v>878.4392214147374</v>
      </c>
      <c r="AC39" s="20">
        <v>-2.5861027097562328E-8</v>
      </c>
      <c r="AD39" s="8">
        <f t="shared" si="14"/>
        <v>878.43922153115273</v>
      </c>
      <c r="AE39" s="20">
        <v>3.4343713650741847E-8</v>
      </c>
      <c r="AF39" s="8">
        <f t="shared" si="9"/>
        <v>878.43922147294506</v>
      </c>
      <c r="AG39" s="20">
        <v>4.24137169829919E-9</v>
      </c>
      <c r="AH39" s="8">
        <f t="shared" si="10"/>
        <v>-1.096862284205493E-16</v>
      </c>
      <c r="AI39" s="8">
        <f t="shared" si="11"/>
        <v>1.4566445509274802E-16</v>
      </c>
      <c r="AJ39" s="8">
        <f t="shared" si="12"/>
        <v>1.1641532182693481E-7</v>
      </c>
    </row>
    <row r="40" spans="2:36" x14ac:dyDescent="0.2">
      <c r="F40" s="26" t="s">
        <v>90</v>
      </c>
      <c r="G40" s="26"/>
      <c r="H40" s="26"/>
      <c r="AA40" s="8">
        <v>36</v>
      </c>
      <c r="AB40" s="8">
        <f t="shared" si="13"/>
        <v>878.4392214147374</v>
      </c>
      <c r="AC40" s="20">
        <v>-2.5861027097562328E-8</v>
      </c>
      <c r="AD40" s="8">
        <f t="shared" si="14"/>
        <v>878.43922147294506</v>
      </c>
      <c r="AE40" s="20">
        <v>4.24137169829919E-9</v>
      </c>
      <c r="AF40" s="8">
        <f t="shared" si="9"/>
        <v>878.43922144384123</v>
      </c>
      <c r="AG40" s="20">
        <v>-1.080991296475986E-8</v>
      </c>
      <c r="AH40" s="8">
        <f t="shared" si="10"/>
        <v>2.7955545210394507E-16</v>
      </c>
      <c r="AI40" s="8">
        <f t="shared" si="11"/>
        <v>-4.5848858909809961E-17</v>
      </c>
      <c r="AJ40" s="8">
        <f t="shared" si="12"/>
        <v>5.8207660913467407E-8</v>
      </c>
    </row>
    <row r="41" spans="2:36" x14ac:dyDescent="0.2">
      <c r="F41" s="20" t="s">
        <v>91</v>
      </c>
      <c r="G41" s="20">
        <f>ROUND($C$21/$C$15 * 100, 2)</f>
        <v>45.54</v>
      </c>
      <c r="H41" s="20" t="s">
        <v>92</v>
      </c>
      <c r="AA41" s="8">
        <v>37</v>
      </c>
      <c r="AB41" s="8">
        <f t="shared" si="13"/>
        <v>878.43922144384123</v>
      </c>
      <c r="AC41" s="20">
        <v>-1.080991296475986E-8</v>
      </c>
      <c r="AD41" s="8">
        <f t="shared" si="14"/>
        <v>878.43922147294506</v>
      </c>
      <c r="AE41" s="20">
        <v>4.24137169829919E-9</v>
      </c>
      <c r="AF41" s="8">
        <f t="shared" si="9"/>
        <v>878.43922145839315</v>
      </c>
      <c r="AG41" s="20">
        <v>-3.2843558983586263E-9</v>
      </c>
      <c r="AH41" s="8">
        <f t="shared" si="10"/>
        <v>3.5503601406552432E-17</v>
      </c>
      <c r="AI41" s="8">
        <f t="shared" si="11"/>
        <v>-1.3930174154440289E-17</v>
      </c>
      <c r="AJ41" s="8">
        <f t="shared" si="12"/>
        <v>2.9103830456733704E-8</v>
      </c>
    </row>
    <row r="42" spans="2:36" x14ac:dyDescent="0.2">
      <c r="F42" s="37" t="s">
        <v>84</v>
      </c>
      <c r="G42" s="20">
        <f>ROUND(G24/$C$15 * 100, 2)</f>
        <v>24.41</v>
      </c>
      <c r="H42" s="20" t="s">
        <v>92</v>
      </c>
      <c r="AA42" s="8">
        <v>38</v>
      </c>
      <c r="AB42" s="8">
        <f t="shared" si="13"/>
        <v>878.43922145839315</v>
      </c>
      <c r="AC42" s="20">
        <v>-3.2843558983586263E-9</v>
      </c>
      <c r="AD42" s="8">
        <f t="shared" si="14"/>
        <v>878.43922147294506</v>
      </c>
      <c r="AE42" s="20">
        <v>4.24137169829919E-9</v>
      </c>
      <c r="AF42" s="8">
        <f t="shared" si="9"/>
        <v>878.43922146566911</v>
      </c>
      <c r="AG42" s="20">
        <v>4.7856474338914268E-10</v>
      </c>
      <c r="AH42" s="8">
        <f t="shared" si="10"/>
        <v>-1.5717769376966132E-18</v>
      </c>
      <c r="AI42" s="8">
        <f t="shared" si="11"/>
        <v>2.0297709584145242E-18</v>
      </c>
      <c r="AJ42" s="8">
        <f t="shared" si="12"/>
        <v>1.4551915228366852E-8</v>
      </c>
    </row>
    <row r="43" spans="2:36" x14ac:dyDescent="0.2">
      <c r="F43" s="45" t="s">
        <v>104</v>
      </c>
      <c r="G43" s="20">
        <f>ROUND(SUM(G25:G27)/$C$15 * 100, 2)</f>
        <v>10.63</v>
      </c>
      <c r="H43" s="20" t="s">
        <v>92</v>
      </c>
      <c r="AA43" s="8">
        <v>39</v>
      </c>
      <c r="AB43" s="8">
        <f t="shared" si="13"/>
        <v>878.43922145839315</v>
      </c>
      <c r="AC43" s="20">
        <v>-3.2843558983586263E-9</v>
      </c>
      <c r="AD43" s="8">
        <f t="shared" si="14"/>
        <v>878.43922146566911</v>
      </c>
      <c r="AE43" s="20">
        <v>4.7856474338914268E-10</v>
      </c>
      <c r="AF43" s="8">
        <f t="shared" si="9"/>
        <v>878.43922146203113</v>
      </c>
      <c r="AG43" s="20">
        <v>-1.402838734065881E-9</v>
      </c>
      <c r="AH43" s="8">
        <f t="shared" si="10"/>
        <v>4.6074216706752246E-18</v>
      </c>
      <c r="AI43" s="8">
        <f t="shared" si="11"/>
        <v>-6.7134915878458811E-19</v>
      </c>
      <c r="AJ43" s="8">
        <f t="shared" si="12"/>
        <v>7.2759576141834259E-9</v>
      </c>
    </row>
    <row r="44" spans="2:36" x14ac:dyDescent="0.2">
      <c r="F44" s="46" t="s">
        <v>105</v>
      </c>
      <c r="G44" s="20">
        <f>ROUND(SUM(G28:G31)/$C$15 * 100, 2)</f>
        <v>14.75</v>
      </c>
      <c r="H44" s="20" t="s">
        <v>92</v>
      </c>
      <c r="AA44" s="8">
        <v>40</v>
      </c>
      <c r="AB44" s="8">
        <f t="shared" si="13"/>
        <v>878.43922146203113</v>
      </c>
      <c r="AC44" s="20">
        <v>-1.402838734065881E-9</v>
      </c>
      <c r="AD44" s="8">
        <f t="shared" si="14"/>
        <v>878.43922146566911</v>
      </c>
      <c r="AE44" s="20">
        <v>4.7856474338914268E-10</v>
      </c>
      <c r="AF44" s="11">
        <f t="shared" si="9"/>
        <v>878.43922146385012</v>
      </c>
      <c r="AG44" s="20">
        <v>-4.6225068217609078E-10</v>
      </c>
      <c r="AH44" s="8">
        <f t="shared" si="10"/>
        <v>6.4846316180499709E-19</v>
      </c>
      <c r="AI44" s="8">
        <f t="shared" si="11"/>
        <v>-2.2121687909705703E-19</v>
      </c>
      <c r="AJ44" s="8">
        <f t="shared" si="12"/>
        <v>3.637978807091713E-9</v>
      </c>
    </row>
    <row r="45" spans="2:36" x14ac:dyDescent="0.2">
      <c r="F45" s="41" t="s">
        <v>106</v>
      </c>
      <c r="G45" s="20">
        <f>ROUND(SUM(G32:G35)/$C$15*100, 2)</f>
        <v>4.67</v>
      </c>
      <c r="H45" s="20" t="s">
        <v>92</v>
      </c>
    </row>
    <row r="46" spans="2:36" x14ac:dyDescent="0.2">
      <c r="F46" s="36" t="s">
        <v>93</v>
      </c>
      <c r="G46" s="36">
        <f>SUM(G41:G45)</f>
        <v>100</v>
      </c>
      <c r="H46" s="36" t="s">
        <v>92</v>
      </c>
    </row>
    <row r="55" spans="27:27" x14ac:dyDescent="0.2">
      <c r="AA55" s="8"/>
    </row>
    <row r="56" spans="27:27" x14ac:dyDescent="0.2">
      <c r="AA56" s="8"/>
    </row>
    <row r="57" spans="27:27" x14ac:dyDescent="0.2">
      <c r="AA57" s="8"/>
    </row>
  </sheetData>
  <mergeCells count="16">
    <mergeCell ref="B34:D34"/>
    <mergeCell ref="F40:H40"/>
    <mergeCell ref="F18:H18"/>
    <mergeCell ref="F13:H13"/>
    <mergeCell ref="J11:L11"/>
    <mergeCell ref="J16:L16"/>
    <mergeCell ref="B9:D9"/>
    <mergeCell ref="F22:H22"/>
    <mergeCell ref="B14:D14"/>
    <mergeCell ref="B20:D20"/>
    <mergeCell ref="B29:D29"/>
    <mergeCell ref="B1:D1"/>
    <mergeCell ref="B3:D3"/>
    <mergeCell ref="F3:H3"/>
    <mergeCell ref="J3:L3"/>
    <mergeCell ref="F8:H8"/>
  </mergeCells>
  <conditionalFormatting sqref="G37">
    <cfRule type="containsText" dxfId="11" priority="1" operator="containsText" text="FALSE">
      <formula>NOT(ISERROR(SEARCH("FALSE",G37)))</formula>
    </cfRule>
    <cfRule type="containsText" dxfId="10" priority="2" operator="containsText" text="TRUE">
      <formula>NOT(ISERROR(SEARCH("TRUE",G37)))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NOT(ISERROR(SEARCH("YES",G37)))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6306-B19A-E840-A2A2-9C88BDE95F01}">
  <dimension ref="B1:AJ57"/>
  <sheetViews>
    <sheetView workbookViewId="0">
      <selection activeCell="E27" sqref="E27"/>
    </sheetView>
  </sheetViews>
  <sheetFormatPr baseColWidth="10" defaultRowHeight="16" x14ac:dyDescent="0.2"/>
  <cols>
    <col min="1" max="1" width="4.1640625" customWidth="1"/>
    <col min="2" max="2" width="20.5" customWidth="1"/>
    <col min="4" max="4" width="7.1640625" customWidth="1"/>
    <col min="5" max="5" width="5.6640625" customWidth="1"/>
    <col min="6" max="6" width="19.33203125" customWidth="1"/>
    <col min="7" max="7" width="13.1640625" customWidth="1"/>
    <col min="8" max="8" width="4.1640625" customWidth="1"/>
    <col min="9" max="9" width="6" customWidth="1"/>
    <col min="10" max="10" width="12" customWidth="1"/>
    <col min="12" max="12" width="6.33203125" customWidth="1"/>
    <col min="13" max="13" width="4" customWidth="1"/>
    <col min="14" max="15" width="3.83203125" customWidth="1"/>
    <col min="16" max="16" width="5.5" customWidth="1"/>
    <col min="17" max="18" width="6.1640625" customWidth="1"/>
    <col min="19" max="19" width="6.6640625" customWidth="1"/>
    <col min="20" max="20" width="7" customWidth="1"/>
    <col min="21" max="21" width="14.6640625" customWidth="1"/>
    <col min="22" max="22" width="7.83203125" customWidth="1"/>
    <col min="23" max="23" width="10" customWidth="1"/>
    <col min="24" max="24" width="9.5" customWidth="1"/>
    <col min="25" max="25" width="13.6640625" customWidth="1"/>
    <col min="27" max="27" width="5.1640625" customWidth="1"/>
    <col min="32" max="32" width="18.33203125" customWidth="1"/>
  </cols>
  <sheetData>
    <row r="1" spans="2:36" x14ac:dyDescent="0.2">
      <c r="B1" s="23" t="s">
        <v>0</v>
      </c>
      <c r="C1" s="23"/>
      <c r="D1" s="23"/>
    </row>
    <row r="2" spans="2:36" x14ac:dyDescent="0.2">
      <c r="P2" s="6" t="s">
        <v>72</v>
      </c>
      <c r="AA2" s="6" t="s">
        <v>103</v>
      </c>
    </row>
    <row r="3" spans="2:36" x14ac:dyDescent="0.2">
      <c r="B3" s="26" t="s">
        <v>108</v>
      </c>
      <c r="C3" s="31"/>
      <c r="D3" s="31"/>
      <c r="F3" s="29" t="s">
        <v>120</v>
      </c>
      <c r="G3" s="32"/>
      <c r="H3" s="32"/>
      <c r="J3" s="28" t="s">
        <v>42</v>
      </c>
      <c r="K3" s="28"/>
      <c r="L3" s="28"/>
      <c r="P3" s="7" t="s">
        <v>73</v>
      </c>
      <c r="Q3" s="7" t="s">
        <v>74</v>
      </c>
      <c r="R3" s="7" t="s">
        <v>75</v>
      </c>
      <c r="S3" s="7" t="s">
        <v>76</v>
      </c>
      <c r="T3" s="7" t="s">
        <v>77</v>
      </c>
      <c r="U3" s="7" t="s">
        <v>78</v>
      </c>
      <c r="V3" s="7" t="s">
        <v>79</v>
      </c>
      <c r="W3" s="7" t="s">
        <v>80</v>
      </c>
      <c r="X3" s="7" t="s">
        <v>81</v>
      </c>
      <c r="Y3" s="7" t="s">
        <v>82</v>
      </c>
      <c r="AA3" s="7" t="s">
        <v>73</v>
      </c>
      <c r="AB3" s="7" t="s">
        <v>74</v>
      </c>
      <c r="AC3" s="7" t="s">
        <v>75</v>
      </c>
      <c r="AD3" s="7" t="s">
        <v>76</v>
      </c>
      <c r="AE3" s="7" t="s">
        <v>77</v>
      </c>
      <c r="AF3" s="7" t="s">
        <v>78</v>
      </c>
      <c r="AG3" s="7" t="s">
        <v>79</v>
      </c>
      <c r="AH3" s="7" t="s">
        <v>80</v>
      </c>
      <c r="AI3" s="7" t="s">
        <v>81</v>
      </c>
      <c r="AJ3" s="7" t="s">
        <v>82</v>
      </c>
    </row>
    <row r="4" spans="2:36" x14ac:dyDescent="0.2">
      <c r="B4" t="s">
        <v>62</v>
      </c>
      <c r="C4" s="1" t="s">
        <v>1</v>
      </c>
      <c r="F4" t="s">
        <v>122</v>
      </c>
      <c r="G4">
        <f xml:space="preserve"> ($C$17*$C$35)/$C$9 * ( ($C$28/2) + SQRT( ($C$28/2)^2 + ($C$17*$C$35)/(2*$C$34*$C$5*PI()*$C$18*$C$18 ) ) )</f>
        <v>191571.29914314178</v>
      </c>
      <c r="H4" t="s">
        <v>32</v>
      </c>
      <c r="J4" t="s">
        <v>43</v>
      </c>
      <c r="K4">
        <f xml:space="preserve"> $C$17 * $C$35</f>
        <v>9271.8759299181875</v>
      </c>
      <c r="L4" t="s">
        <v>34</v>
      </c>
      <c r="P4" s="8">
        <v>0</v>
      </c>
      <c r="Q4" s="9">
        <v>0</v>
      </c>
      <c r="R4" s="8">
        <f t="shared" ref="R4:R34" si="0" xml:space="preserve"> $K$20 * TAN($K$17) + $K$21 / (2 * SQRT($K$20^2 + Q4^2)) - Q4</f>
        <v>0.8199564379221449</v>
      </c>
      <c r="S4" s="9">
        <v>1</v>
      </c>
      <c r="T4" s="8">
        <f t="shared" ref="T4:T34" si="1" xml:space="preserve"> $K$20 * TAN($K$17) + $K$21 / (2 * SQRT($K$20^2 + S4^2)) - S4</f>
        <v>-0.66895619408198381</v>
      </c>
      <c r="U4" s="8">
        <f xml:space="preserve"> (Q4 + S4)/2</f>
        <v>0.5</v>
      </c>
      <c r="V4" s="8">
        <f t="shared" ref="V4:V34" si="2" xml:space="preserve"> $K$20 * TAN($K$17) + $K$21 / (2 * SQRT($K$20^2 + U4^2)) - U4</f>
        <v>-0.1550431274621959</v>
      </c>
      <c r="W4" s="8">
        <f>R4*V4</f>
        <v>-0.12712861051821123</v>
      </c>
      <c r="X4" s="8">
        <f>T4*V4</f>
        <v>0.10371706046567847</v>
      </c>
      <c r="Y4" s="8">
        <f>S4-Q4</f>
        <v>1</v>
      </c>
      <c r="AA4" s="8">
        <v>0</v>
      </c>
      <c r="AB4" s="8"/>
      <c r="AC4" s="8">
        <f>G37</f>
        <v>-3.0513547244481742E-10</v>
      </c>
      <c r="AD4" s="8"/>
      <c r="AE4" s="8">
        <f>G37</f>
        <v>-3.0513547244481742E-10</v>
      </c>
      <c r="AF4" s="8"/>
      <c r="AG4" s="8">
        <f>G37</f>
        <v>-3.0513547244481742E-10</v>
      </c>
      <c r="AH4" s="8"/>
      <c r="AI4" s="8"/>
      <c r="AJ4" s="8"/>
    </row>
    <row r="5" spans="2:36" x14ac:dyDescent="0.2">
      <c r="B5" t="s">
        <v>60</v>
      </c>
      <c r="C5" s="1">
        <v>6</v>
      </c>
      <c r="F5" t="s">
        <v>33</v>
      </c>
      <c r="G5">
        <f xml:space="preserve"> $C$17 * $C$35 / $C$5</f>
        <v>1545.3126549863646</v>
      </c>
      <c r="H5" t="s">
        <v>34</v>
      </c>
      <c r="J5" t="s">
        <v>44</v>
      </c>
      <c r="K5">
        <f xml:space="preserve"> 0.5 * $C$34 * $C$20^2</f>
        <v>551.25</v>
      </c>
      <c r="L5" t="s">
        <v>45</v>
      </c>
      <c r="P5" s="8">
        <v>1</v>
      </c>
      <c r="Q5" s="8">
        <f>IF(W4&gt;0, U4, Q4)</f>
        <v>0</v>
      </c>
      <c r="R5" s="8">
        <f t="shared" si="0"/>
        <v>0.8199564379221449</v>
      </c>
      <c r="S5" s="8">
        <f>IF(X4&gt;0, U4, S4)</f>
        <v>0.5</v>
      </c>
      <c r="T5" s="8">
        <f t="shared" si="1"/>
        <v>-0.1550431274621959</v>
      </c>
      <c r="U5" s="8">
        <f t="shared" ref="U5:U34" si="3" xml:space="preserve"> (Q5 + S5)/2</f>
        <v>0.25</v>
      </c>
      <c r="V5" s="8">
        <f t="shared" si="2"/>
        <v>0.12256037894948657</v>
      </c>
      <c r="W5" s="8">
        <f t="shared" ref="W5:W34" si="4">R5*V5</f>
        <v>0.10049417175380924</v>
      </c>
      <c r="X5" s="8">
        <f t="shared" ref="X5:X34" si="5">T5*V5</f>
        <v>-1.9002144455280277E-2</v>
      </c>
      <c r="Y5" s="8">
        <f t="shared" ref="Y5:Y34" si="6">S5-Q5</f>
        <v>0.5</v>
      </c>
      <c r="AA5" s="8">
        <v>1</v>
      </c>
      <c r="AB5" s="9">
        <v>500</v>
      </c>
      <c r="AC5" s="8">
        <f t="dataTable" ref="AC5:AC44" dt2D="0" dtr="0" r1="C17"/>
        <v>-236.22033912666501</v>
      </c>
      <c r="AD5" s="9">
        <v>2500</v>
      </c>
      <c r="AE5" s="8">
        <f t="dataTable" ref="AE5:AE44" dt2D="0" dtr="0" r1="C17" ca="1"/>
        <v>340.95193760952043</v>
      </c>
      <c r="AF5" s="8">
        <f>(AB5+AD5)/2</f>
        <v>1500</v>
      </c>
      <c r="AG5" s="8">
        <f t="dataTable" ref="AG5:AG44" dt2D="0" dtr="0" r1="C17" ca="1"/>
        <v>223.78677214758216</v>
      </c>
      <c r="AH5" s="8">
        <f>AC5*AG5</f>
        <v>-52862.987208763567</v>
      </c>
      <c r="AI5" s="8">
        <f>AE5*AG5</f>
        <v>76300.533575098394</v>
      </c>
      <c r="AJ5" s="8">
        <f>AD5-AB5</f>
        <v>2000</v>
      </c>
    </row>
    <row r="6" spans="2:36" x14ac:dyDescent="0.2">
      <c r="B6" t="s">
        <v>61</v>
      </c>
      <c r="C6" s="1">
        <v>1</v>
      </c>
      <c r="F6" t="s">
        <v>130</v>
      </c>
      <c r="G6">
        <f xml:space="preserve"> $C$29/$C$28</f>
        <v>60</v>
      </c>
      <c r="H6" t="s">
        <v>25</v>
      </c>
      <c r="J6" t="s">
        <v>64</v>
      </c>
      <c r="K6">
        <f xml:space="preserve"> 1.6 * ($C$17*2.20462/1000)^(2/3) * 0.3048^2</f>
        <v>0.24249612664750883</v>
      </c>
      <c r="L6" t="s">
        <v>20</v>
      </c>
      <c r="P6" s="8">
        <v>2</v>
      </c>
      <c r="Q6" s="8">
        <f t="shared" ref="Q6:Q34" si="7">IF(W5&gt;0, U5, Q5)</f>
        <v>0.25</v>
      </c>
      <c r="R6" s="8">
        <f t="shared" si="0"/>
        <v>0.12256037894948657</v>
      </c>
      <c r="S6" s="8">
        <f t="shared" ref="S6:S34" si="8">IF(X5&gt;0, U5, S5)</f>
        <v>0.5</v>
      </c>
      <c r="T6" s="8">
        <f t="shared" si="1"/>
        <v>-0.1550431274621959</v>
      </c>
      <c r="U6" s="8">
        <f t="shared" si="3"/>
        <v>0.375</v>
      </c>
      <c r="V6" s="8">
        <f t="shared" si="2"/>
        <v>-2.0801298238252441E-2</v>
      </c>
      <c r="W6" s="8">
        <f t="shared" si="4"/>
        <v>-2.5494149947215064E-3</v>
      </c>
      <c r="X6" s="8">
        <f t="shared" si="5"/>
        <v>3.2250983341325242E-3</v>
      </c>
      <c r="Y6" s="8">
        <f t="shared" si="6"/>
        <v>0.25</v>
      </c>
      <c r="AA6" s="8">
        <v>2</v>
      </c>
      <c r="AB6" s="8">
        <f>IF(AH5&gt;0,AF5,AB5)</f>
        <v>500</v>
      </c>
      <c r="AC6" s="8">
        <v>-236.22033912666501</v>
      </c>
      <c r="AD6" s="8">
        <f>IF(AI5&gt;0,AF5,AD5)</f>
        <v>1500</v>
      </c>
      <c r="AE6" s="8">
        <v>223.78677214758216</v>
      </c>
      <c r="AF6" s="8">
        <f t="shared" ref="AF6:AF44" si="9">(AB6+AD6)/2</f>
        <v>1000</v>
      </c>
      <c r="AG6" s="8">
        <v>26.057052713320445</v>
      </c>
      <c r="AH6" s="8">
        <f t="shared" ref="AH6:AH44" si="10">AC6*AG6</f>
        <v>-6155.2058285819421</v>
      </c>
      <c r="AI6" s="8">
        <f t="shared" ref="AI6:AI44" si="11">AE6*AG6</f>
        <v>5831.2237183933794</v>
      </c>
      <c r="AJ6" s="8">
        <f t="shared" ref="AJ6:AJ44" si="12">AD6-AB6</f>
        <v>1000</v>
      </c>
    </row>
    <row r="7" spans="2:36" x14ac:dyDescent="0.2">
      <c r="B7" t="s">
        <v>2</v>
      </c>
      <c r="C7" s="1">
        <v>0.13</v>
      </c>
      <c r="J7" t="s">
        <v>65</v>
      </c>
      <c r="K7">
        <f xml:space="preserve"> K6 / $C$21</f>
        <v>3.0312015830938604E-2</v>
      </c>
      <c r="P7" s="8">
        <v>3</v>
      </c>
      <c r="Q7" s="8">
        <f t="shared" si="7"/>
        <v>0.25</v>
      </c>
      <c r="R7" s="8">
        <f t="shared" si="0"/>
        <v>0.12256037894948657</v>
      </c>
      <c r="S7" s="8">
        <f t="shared" si="8"/>
        <v>0.375</v>
      </c>
      <c r="T7" s="8">
        <f t="shared" si="1"/>
        <v>-2.0801298238252441E-2</v>
      </c>
      <c r="U7" s="8">
        <f t="shared" si="3"/>
        <v>0.3125</v>
      </c>
      <c r="V7" s="8">
        <f t="shared" si="2"/>
        <v>4.9065499887153419E-2</v>
      </c>
      <c r="W7" s="8">
        <f t="shared" si="4"/>
        <v>6.0134862595155134E-3</v>
      </c>
      <c r="X7" s="8">
        <f t="shared" si="5"/>
        <v>-1.0206260963616198E-3</v>
      </c>
      <c r="Y7" s="8">
        <f t="shared" si="6"/>
        <v>0.125</v>
      </c>
      <c r="AA7" s="8">
        <v>3</v>
      </c>
      <c r="AB7" s="8">
        <f t="shared" ref="AB7:AB44" si="13">IF(AH6&gt;0,AF6,AB6)</f>
        <v>500</v>
      </c>
      <c r="AC7" s="8">
        <v>-236.22033912666501</v>
      </c>
      <c r="AD7" s="8">
        <f t="shared" ref="AD7:AD44" si="14">IF(AI6&gt;0,AF6,AD6)</f>
        <v>1000</v>
      </c>
      <c r="AE7" s="8">
        <v>26.057052713320445</v>
      </c>
      <c r="AF7" s="8">
        <f t="shared" si="9"/>
        <v>750</v>
      </c>
      <c r="AG7" s="8">
        <v>-98.584371769912252</v>
      </c>
      <c r="AH7" s="8">
        <f t="shared" si="10"/>
        <v>23287.633732077891</v>
      </c>
      <c r="AI7" s="8">
        <f t="shared" si="11"/>
        <v>-2568.8181719181835</v>
      </c>
      <c r="AJ7" s="8">
        <f t="shared" si="12"/>
        <v>500</v>
      </c>
    </row>
    <row r="8" spans="2:36" x14ac:dyDescent="0.2">
      <c r="B8" t="s">
        <v>3</v>
      </c>
      <c r="C8" s="1">
        <v>0.13</v>
      </c>
      <c r="F8" s="29" t="s">
        <v>128</v>
      </c>
      <c r="G8" s="32"/>
      <c r="H8" s="32"/>
      <c r="J8" t="s">
        <v>66</v>
      </c>
      <c r="K8">
        <f xml:space="preserve"> K5 * $C$21 * K7</f>
        <v>133.67598981443925</v>
      </c>
      <c r="L8" t="s">
        <v>34</v>
      </c>
      <c r="P8" s="8">
        <v>4</v>
      </c>
      <c r="Q8" s="8">
        <f t="shared" si="7"/>
        <v>0.3125</v>
      </c>
      <c r="R8" s="8">
        <f t="shared" si="0"/>
        <v>4.9065499887153419E-2</v>
      </c>
      <c r="S8" s="8">
        <f t="shared" si="8"/>
        <v>0.375</v>
      </c>
      <c r="T8" s="8">
        <f t="shared" si="1"/>
        <v>-2.0801298238252441E-2</v>
      </c>
      <c r="U8" s="8">
        <f t="shared" si="3"/>
        <v>0.34375</v>
      </c>
      <c r="V8" s="8">
        <f t="shared" si="2"/>
        <v>1.380051461390297E-2</v>
      </c>
      <c r="W8" s="8">
        <f t="shared" si="4"/>
        <v>6.7712914823111526E-4</v>
      </c>
      <c r="X8" s="8">
        <f t="shared" si="5"/>
        <v>-2.8706862032515693E-4</v>
      </c>
      <c r="Y8" s="8">
        <f t="shared" si="6"/>
        <v>6.25E-2</v>
      </c>
      <c r="AA8" s="8">
        <v>4</v>
      </c>
      <c r="AB8" s="8">
        <f t="shared" si="13"/>
        <v>750</v>
      </c>
      <c r="AC8" s="8">
        <v>-98.584371769912252</v>
      </c>
      <c r="AD8" s="8">
        <f t="shared" si="14"/>
        <v>1000</v>
      </c>
      <c r="AE8" s="8">
        <v>26.057052713320445</v>
      </c>
      <c r="AF8" s="8">
        <f t="shared" si="9"/>
        <v>875</v>
      </c>
      <c r="AG8" s="8">
        <v>-34.41493147532185</v>
      </c>
      <c r="AH8" s="8">
        <f t="shared" si="10"/>
        <v>3392.7743989991841</v>
      </c>
      <c r="AI8" s="8">
        <f t="shared" si="11"/>
        <v>-896.75168357777238</v>
      </c>
      <c r="AJ8" s="8">
        <f t="shared" si="12"/>
        <v>250</v>
      </c>
    </row>
    <row r="9" spans="2:36" x14ac:dyDescent="0.2">
      <c r="B9" t="s">
        <v>4</v>
      </c>
      <c r="C9" s="1">
        <v>0.75</v>
      </c>
      <c r="F9" s="4" t="s">
        <v>124</v>
      </c>
      <c r="G9">
        <f xml:space="preserve"> K23 + K18 * (K28 * K25 + $C$20 * SIN(K17))</f>
        <v>33610.06670946096</v>
      </c>
      <c r="H9" t="s">
        <v>32</v>
      </c>
      <c r="J9" t="s">
        <v>67</v>
      </c>
      <c r="K9">
        <f xml:space="preserve"> 1.78 * (1 - 0.045 * $C$22^0.68) - 0.64</f>
        <v>0.75661729604956662</v>
      </c>
      <c r="P9" s="8">
        <v>5</v>
      </c>
      <c r="Q9" s="8">
        <f t="shared" si="7"/>
        <v>0.34375</v>
      </c>
      <c r="R9" s="8">
        <f t="shared" si="0"/>
        <v>1.380051461390297E-2</v>
      </c>
      <c r="S9" s="8">
        <f t="shared" si="8"/>
        <v>0.375</v>
      </c>
      <c r="T9" s="8">
        <f t="shared" si="1"/>
        <v>-2.0801298238252441E-2</v>
      </c>
      <c r="U9" s="8">
        <f t="shared" si="3"/>
        <v>0.359375</v>
      </c>
      <c r="V9" s="8">
        <f t="shared" si="2"/>
        <v>-3.5726090148904821E-3</v>
      </c>
      <c r="W9" s="8">
        <f t="shared" si="4"/>
        <v>-4.9303842919757592E-5</v>
      </c>
      <c r="X9" s="8">
        <f t="shared" si="5"/>
        <v>7.431490560740617E-5</v>
      </c>
      <c r="Y9" s="8">
        <f t="shared" si="6"/>
        <v>3.125E-2</v>
      </c>
      <c r="AA9" s="8">
        <v>5</v>
      </c>
      <c r="AB9" s="8">
        <f t="shared" si="13"/>
        <v>875</v>
      </c>
      <c r="AC9" s="8">
        <v>-34.41493147532185</v>
      </c>
      <c r="AD9" s="8">
        <f t="shared" si="14"/>
        <v>1000</v>
      </c>
      <c r="AE9" s="8">
        <v>26.057052713320445</v>
      </c>
      <c r="AF9" s="8">
        <f t="shared" si="9"/>
        <v>937.5</v>
      </c>
      <c r="AG9" s="8">
        <v>-3.6922974510615632</v>
      </c>
      <c r="AH9" s="8">
        <f t="shared" si="10"/>
        <v>127.07016376478923</v>
      </c>
      <c r="AI9" s="8">
        <f t="shared" si="11"/>
        <v>-96.21038931556987</v>
      </c>
      <c r="AJ9" s="8">
        <f t="shared" si="12"/>
        <v>125</v>
      </c>
    </row>
    <row r="10" spans="2:36" x14ac:dyDescent="0.2">
      <c r="F10" s="4" t="s">
        <v>123</v>
      </c>
      <c r="G10">
        <f xml:space="preserve"> $C$6 * G9</f>
        <v>33610.06670946096</v>
      </c>
      <c r="H10" t="s">
        <v>32</v>
      </c>
      <c r="J10" t="s">
        <v>46</v>
      </c>
      <c r="K10">
        <f xml:space="preserve"> K4 / (K5 * $C$21)</f>
        <v>2.1024661972603598</v>
      </c>
      <c r="P10" s="8">
        <v>6</v>
      </c>
      <c r="Q10" s="8">
        <f t="shared" si="7"/>
        <v>0.34375</v>
      </c>
      <c r="R10" s="8">
        <f t="shared" si="0"/>
        <v>1.380051461390297E-2</v>
      </c>
      <c r="S10" s="8">
        <f t="shared" si="8"/>
        <v>0.359375</v>
      </c>
      <c r="T10" s="8">
        <f t="shared" si="1"/>
        <v>-3.5726090148904821E-3</v>
      </c>
      <c r="U10" s="8">
        <f t="shared" si="3"/>
        <v>0.3515625</v>
      </c>
      <c r="V10" s="8">
        <f t="shared" si="2"/>
        <v>5.0947095692041033E-3</v>
      </c>
      <c r="W10" s="8">
        <f t="shared" si="4"/>
        <v>7.0309613863392539E-5</v>
      </c>
      <c r="X10" s="8">
        <f t="shared" si="5"/>
        <v>-1.8201405335187385E-5</v>
      </c>
      <c r="Y10" s="8">
        <f t="shared" si="6"/>
        <v>1.5625E-2</v>
      </c>
      <c r="AA10" s="8">
        <v>6</v>
      </c>
      <c r="AB10" s="8">
        <f t="shared" si="13"/>
        <v>937.5</v>
      </c>
      <c r="AC10" s="8">
        <v>-3.6922974510615632</v>
      </c>
      <c r="AD10" s="8">
        <f t="shared" si="14"/>
        <v>1000</v>
      </c>
      <c r="AE10" s="8">
        <v>26.057052713320445</v>
      </c>
      <c r="AF10" s="8">
        <f t="shared" si="9"/>
        <v>968.75</v>
      </c>
      <c r="AG10" s="8">
        <v>11.306954071230621</v>
      </c>
      <c r="AH10" s="8">
        <f t="shared" si="10"/>
        <v>-41.748637696474987</v>
      </c>
      <c r="AI10" s="8">
        <f t="shared" si="11"/>
        <v>294.62589826114947</v>
      </c>
      <c r="AJ10" s="8">
        <f t="shared" si="12"/>
        <v>62.5</v>
      </c>
    </row>
    <row r="11" spans="2:36" x14ac:dyDescent="0.2">
      <c r="B11" s="24" t="s">
        <v>7</v>
      </c>
      <c r="C11" s="25"/>
      <c r="D11" s="25"/>
      <c r="F11" s="4" t="s">
        <v>131</v>
      </c>
      <c r="G11">
        <f xml:space="preserve"> $C$27/$C$20</f>
        <v>1000</v>
      </c>
      <c r="H11" t="s">
        <v>25</v>
      </c>
      <c r="J11" t="s">
        <v>68</v>
      </c>
      <c r="K11">
        <f xml:space="preserve"> K7 + K10^2 / ( PI() * K9 * $C$22 )</f>
        <v>0.21627731219537227</v>
      </c>
      <c r="P11" s="8">
        <v>7</v>
      </c>
      <c r="Q11" s="8">
        <f t="shared" si="7"/>
        <v>0.3515625</v>
      </c>
      <c r="R11" s="8">
        <f t="shared" si="0"/>
        <v>5.0947095692041033E-3</v>
      </c>
      <c r="S11" s="8">
        <f t="shared" si="8"/>
        <v>0.359375</v>
      </c>
      <c r="T11" s="8">
        <f t="shared" si="1"/>
        <v>-3.5726090148904821E-3</v>
      </c>
      <c r="U11" s="8">
        <f t="shared" si="3"/>
        <v>0.35546875</v>
      </c>
      <c r="V11" s="8">
        <f t="shared" si="2"/>
        <v>7.5639612779582199E-4</v>
      </c>
      <c r="W11" s="8">
        <f t="shared" si="4"/>
        <v>3.853618590390304E-6</v>
      </c>
      <c r="X11" s="8">
        <f t="shared" si="5"/>
        <v>-2.7023076249916067E-6</v>
      </c>
      <c r="Y11" s="8">
        <f t="shared" si="6"/>
        <v>7.8125E-3</v>
      </c>
      <c r="AA11" s="8">
        <v>7</v>
      </c>
      <c r="AB11" s="8">
        <f t="shared" si="13"/>
        <v>937.5</v>
      </c>
      <c r="AC11" s="8">
        <v>-3.6922974510615632</v>
      </c>
      <c r="AD11" s="8">
        <f t="shared" si="14"/>
        <v>968.75</v>
      </c>
      <c r="AE11" s="8">
        <v>11.306954071230621</v>
      </c>
      <c r="AF11" s="8">
        <f t="shared" si="9"/>
        <v>953.125</v>
      </c>
      <c r="AG11" s="8">
        <v>3.8381133923402331</v>
      </c>
      <c r="AH11" s="8">
        <f t="shared" si="10"/>
        <v>-14.171456295423091</v>
      </c>
      <c r="AI11" s="8">
        <f t="shared" si="11"/>
        <v>43.397371847366166</v>
      </c>
      <c r="AJ11" s="8">
        <f t="shared" si="12"/>
        <v>31.25</v>
      </c>
    </row>
    <row r="12" spans="2:36" x14ac:dyDescent="0.2">
      <c r="B12" t="s">
        <v>8</v>
      </c>
      <c r="C12" s="1">
        <v>250</v>
      </c>
      <c r="D12" t="s">
        <v>9</v>
      </c>
      <c r="J12" t="s">
        <v>69</v>
      </c>
      <c r="K12">
        <f xml:space="preserve"> K5 * K11 * $C$21</f>
        <v>953.7829467815917</v>
      </c>
      <c r="L12" t="s">
        <v>34</v>
      </c>
      <c r="P12" s="8">
        <v>8</v>
      </c>
      <c r="Q12" s="8">
        <f t="shared" si="7"/>
        <v>0.35546875</v>
      </c>
      <c r="R12" s="8">
        <f t="shared" si="0"/>
        <v>7.5639612779582199E-4</v>
      </c>
      <c r="S12" s="8">
        <f t="shared" si="8"/>
        <v>0.359375</v>
      </c>
      <c r="T12" s="8">
        <f t="shared" si="1"/>
        <v>-3.5726090148904821E-3</v>
      </c>
      <c r="U12" s="8">
        <f t="shared" si="3"/>
        <v>0.357421875</v>
      </c>
      <c r="V12" s="8">
        <f t="shared" si="2"/>
        <v>-1.4092511362653326E-3</v>
      </c>
      <c r="W12" s="8">
        <f t="shared" si="4"/>
        <v>-1.0659521025629598E-6</v>
      </c>
      <c r="X12" s="8">
        <f t="shared" si="5"/>
        <v>5.0347033136661828E-6</v>
      </c>
      <c r="Y12" s="8">
        <f t="shared" si="6"/>
        <v>3.90625E-3</v>
      </c>
      <c r="AA12" s="8">
        <v>8</v>
      </c>
      <c r="AB12" s="8">
        <f t="shared" si="13"/>
        <v>937.5</v>
      </c>
      <c r="AC12" s="8">
        <v>-3.6922974510615632</v>
      </c>
      <c r="AD12" s="8">
        <f t="shared" si="14"/>
        <v>953.125</v>
      </c>
      <c r="AE12" s="8">
        <v>3.8381133923402331</v>
      </c>
      <c r="AF12" s="8">
        <f t="shared" si="9"/>
        <v>945.3125</v>
      </c>
      <c r="AG12" s="8">
        <v>8.0558754148341905E-2</v>
      </c>
      <c r="AH12" s="8">
        <f t="shared" si="10"/>
        <v>-0.29744688260261792</v>
      </c>
      <c r="AI12" s="8">
        <f t="shared" si="11"/>
        <v>0.30919363316699539</v>
      </c>
      <c r="AJ12" s="8">
        <f t="shared" si="12"/>
        <v>15.625</v>
      </c>
    </row>
    <row r="13" spans="2:36" x14ac:dyDescent="0.2">
      <c r="B13" t="s">
        <v>10</v>
      </c>
      <c r="C13" s="1">
        <v>0.85</v>
      </c>
      <c r="F13" s="21" t="s">
        <v>121</v>
      </c>
      <c r="G13" s="22"/>
      <c r="H13" s="22"/>
      <c r="J13" t="s">
        <v>116</v>
      </c>
      <c r="K13">
        <f>K10/K11</f>
        <v>9.7211592650139593</v>
      </c>
      <c r="P13" s="8">
        <v>9</v>
      </c>
      <c r="Q13" s="8">
        <f t="shared" si="7"/>
        <v>0.35546875</v>
      </c>
      <c r="R13" s="8">
        <f t="shared" si="0"/>
        <v>7.5639612779582199E-4</v>
      </c>
      <c r="S13" s="8">
        <f t="shared" si="8"/>
        <v>0.357421875</v>
      </c>
      <c r="T13" s="8">
        <f t="shared" si="1"/>
        <v>-1.4092511362653326E-3</v>
      </c>
      <c r="U13" s="8">
        <f t="shared" si="3"/>
        <v>0.3564453125</v>
      </c>
      <c r="V13" s="8">
        <f t="shared" si="2"/>
        <v>-3.2671600121236821E-4</v>
      </c>
      <c r="W13" s="8">
        <f t="shared" si="4"/>
        <v>-2.4712671820597038E-7</v>
      </c>
      <c r="X13" s="8">
        <f t="shared" si="5"/>
        <v>4.604248959445957E-7</v>
      </c>
      <c r="Y13" s="8">
        <f t="shared" si="6"/>
        <v>1.953125E-3</v>
      </c>
      <c r="AA13" s="8">
        <v>9</v>
      </c>
      <c r="AB13" s="8">
        <f t="shared" si="13"/>
        <v>937.5</v>
      </c>
      <c r="AC13" s="8">
        <v>-3.6922974510615632</v>
      </c>
      <c r="AD13" s="8">
        <f t="shared" si="14"/>
        <v>945.3125</v>
      </c>
      <c r="AE13" s="8">
        <v>8.0558754148341905E-2</v>
      </c>
      <c r="AF13" s="8">
        <f t="shared" si="9"/>
        <v>941.40625</v>
      </c>
      <c r="AG13" s="8">
        <v>-1.8039621751812547</v>
      </c>
      <c r="AH13" s="8">
        <f t="shared" si="10"/>
        <v>6.6607649412332197</v>
      </c>
      <c r="AI13" s="8">
        <f t="shared" si="11"/>
        <v>-0.14532494536333479</v>
      </c>
      <c r="AJ13" s="8">
        <f t="shared" si="12"/>
        <v>7.8125</v>
      </c>
    </row>
    <row r="14" spans="2:36" x14ac:dyDescent="0.2">
      <c r="B14" t="s">
        <v>11</v>
      </c>
      <c r="C14" s="1">
        <v>0.8</v>
      </c>
      <c r="F14" t="s">
        <v>125</v>
      </c>
      <c r="G14">
        <f xml:space="preserve"> IF( $C$30&gt;=2*SQRT(($C$17*$C$35)/(2*$C$34*$C$5*PI()*$C$18*$C$18)), ($C$17*$C$35)/$C$9 * ( ($C$30/2) - SQRT( ($C$30/2)^2 - ($C$17*$C$35)/(2*$C$34*$C$5*PI()*$C$18*$C$18 ) ) ), 1/$C$9 * SQRT(($C$17*$C$35)^3/(2*$C$34*$C$5*PI()*$C$18*$C$18)) )</f>
        <v>175168.71747119181</v>
      </c>
      <c r="H14" t="s">
        <v>32</v>
      </c>
      <c r="P14" s="8">
        <v>10</v>
      </c>
      <c r="Q14" s="8">
        <f t="shared" si="7"/>
        <v>0.35546875</v>
      </c>
      <c r="R14" s="8">
        <f t="shared" si="0"/>
        <v>7.5639612779582199E-4</v>
      </c>
      <c r="S14" s="8">
        <f t="shared" si="8"/>
        <v>0.3564453125</v>
      </c>
      <c r="T14" s="8">
        <f t="shared" si="1"/>
        <v>-3.2671600121236821E-4</v>
      </c>
      <c r="U14" s="8">
        <f t="shared" si="3"/>
        <v>0.35595703125</v>
      </c>
      <c r="V14" s="8">
        <f t="shared" si="2"/>
        <v>2.1476764582550878E-4</v>
      </c>
      <c r="W14" s="8">
        <f t="shared" si="4"/>
        <v>1.6244941567823937E-7</v>
      </c>
      <c r="X14" s="8">
        <f t="shared" si="5"/>
        <v>-7.0168026433904391E-8</v>
      </c>
      <c r="Y14" s="8">
        <f t="shared" si="6"/>
        <v>9.765625E-4</v>
      </c>
      <c r="AA14" s="8">
        <v>10</v>
      </c>
      <c r="AB14" s="8">
        <f t="shared" si="13"/>
        <v>941.40625</v>
      </c>
      <c r="AC14" s="8">
        <v>-1.8039621751812547</v>
      </c>
      <c r="AD14" s="8">
        <f t="shared" si="14"/>
        <v>945.3125</v>
      </c>
      <c r="AE14" s="8">
        <v>8.0558754148341905E-2</v>
      </c>
      <c r="AF14" s="8">
        <f t="shared" si="9"/>
        <v>943.359375</v>
      </c>
      <c r="AG14" s="8">
        <v>-0.86122422150060629</v>
      </c>
      <c r="AH14" s="8">
        <f t="shared" si="10"/>
        <v>1.5536159199370163</v>
      </c>
      <c r="AI14" s="8">
        <f t="shared" si="11"/>
        <v>-6.9379150326464495E-2</v>
      </c>
      <c r="AJ14" s="8">
        <f t="shared" si="12"/>
        <v>3.90625</v>
      </c>
    </row>
    <row r="15" spans="2:36" x14ac:dyDescent="0.2">
      <c r="F15" t="s">
        <v>33</v>
      </c>
      <c r="G15">
        <f xml:space="preserve"> $C$17 * $C$35 / $C$5</f>
        <v>1545.3126549863646</v>
      </c>
      <c r="H15" t="s">
        <v>34</v>
      </c>
      <c r="P15" s="8">
        <v>11</v>
      </c>
      <c r="Q15" s="8">
        <f t="shared" si="7"/>
        <v>0.35595703125</v>
      </c>
      <c r="R15" s="8">
        <f t="shared" si="0"/>
        <v>2.1476764582550878E-4</v>
      </c>
      <c r="S15" s="8">
        <f t="shared" si="8"/>
        <v>0.3564453125</v>
      </c>
      <c r="T15" s="8">
        <f t="shared" si="1"/>
        <v>-3.2671600121236821E-4</v>
      </c>
      <c r="U15" s="8">
        <f t="shared" si="3"/>
        <v>0.356201171875</v>
      </c>
      <c r="V15" s="8">
        <f t="shared" si="2"/>
        <v>-5.5992245283520425E-5</v>
      </c>
      <c r="W15" s="8">
        <f t="shared" si="4"/>
        <v>-1.2025322704026128E-8</v>
      </c>
      <c r="X15" s="8">
        <f t="shared" si="5"/>
        <v>1.8293562477933878E-8</v>
      </c>
      <c r="Y15" s="8">
        <f t="shared" si="6"/>
        <v>4.8828125E-4</v>
      </c>
      <c r="AA15" s="8">
        <v>11</v>
      </c>
      <c r="AB15" s="8">
        <f t="shared" si="13"/>
        <v>943.359375</v>
      </c>
      <c r="AC15" s="8">
        <v>-0.86122422150060629</v>
      </c>
      <c r="AD15" s="8">
        <f t="shared" si="14"/>
        <v>945.3125</v>
      </c>
      <c r="AE15" s="8">
        <v>8.0558754148341905E-2</v>
      </c>
      <c r="AF15" s="8">
        <f t="shared" si="9"/>
        <v>944.3359375</v>
      </c>
      <c r="AG15" s="8">
        <v>-0.39021335343045394</v>
      </c>
      <c r="AH15" s="8">
        <f t="shared" si="10"/>
        <v>0.33606119152728364</v>
      </c>
      <c r="AI15" s="8">
        <f t="shared" si="11"/>
        <v>-3.1435101604403985E-2</v>
      </c>
      <c r="AJ15" s="8">
        <f t="shared" si="12"/>
        <v>1.953125</v>
      </c>
    </row>
    <row r="16" spans="2:36" x14ac:dyDescent="0.2">
      <c r="B16" s="26" t="s">
        <v>12</v>
      </c>
      <c r="C16" s="26"/>
      <c r="D16" s="26"/>
      <c r="F16" t="s">
        <v>132</v>
      </c>
      <c r="G16">
        <f xml:space="preserve"> $C$31/$C$30</f>
        <v>100</v>
      </c>
      <c r="H16" t="s">
        <v>25</v>
      </c>
      <c r="J16" s="29" t="s">
        <v>47</v>
      </c>
      <c r="K16" s="30"/>
      <c r="L16" s="30"/>
      <c r="P16" s="8">
        <v>12</v>
      </c>
      <c r="Q16" s="8">
        <f t="shared" si="7"/>
        <v>0.35595703125</v>
      </c>
      <c r="R16" s="8">
        <f t="shared" si="0"/>
        <v>2.1476764582550878E-4</v>
      </c>
      <c r="S16" s="8">
        <f t="shared" si="8"/>
        <v>0.356201171875</v>
      </c>
      <c r="T16" s="8">
        <f t="shared" si="1"/>
        <v>-5.5992245283520425E-5</v>
      </c>
      <c r="U16" s="8">
        <f t="shared" si="3"/>
        <v>0.3560791015625</v>
      </c>
      <c r="V16" s="8">
        <f t="shared" si="2"/>
        <v>7.9383178784198094E-5</v>
      </c>
      <c r="W16" s="8">
        <f t="shared" si="4"/>
        <v>1.7048938425627699E-8</v>
      </c>
      <c r="X16" s="8">
        <f t="shared" si="5"/>
        <v>-4.444842417870374E-9</v>
      </c>
      <c r="Y16" s="8">
        <f t="shared" si="6"/>
        <v>2.44140625E-4</v>
      </c>
      <c r="AA16" s="8">
        <v>12</v>
      </c>
      <c r="AB16" s="8">
        <f t="shared" si="13"/>
        <v>944.3359375</v>
      </c>
      <c r="AC16" s="8">
        <v>-0.39021335343045394</v>
      </c>
      <c r="AD16" s="8">
        <f t="shared" si="14"/>
        <v>945.3125</v>
      </c>
      <c r="AE16" s="8">
        <v>8.0558754148341905E-2</v>
      </c>
      <c r="AF16" s="8">
        <f t="shared" si="9"/>
        <v>944.82421875</v>
      </c>
      <c r="AG16" s="8">
        <v>-0.15479732814128511</v>
      </c>
      <c r="AH16" s="8">
        <f t="shared" si="10"/>
        <v>6.0403984516085238E-2</v>
      </c>
      <c r="AI16" s="8">
        <f t="shared" si="11"/>
        <v>-1.2470279900553995E-2</v>
      </c>
      <c r="AJ16" s="8">
        <f t="shared" si="12"/>
        <v>0.9765625</v>
      </c>
    </row>
    <row r="17" spans="2:36" x14ac:dyDescent="0.2">
      <c r="B17" s="3" t="s">
        <v>63</v>
      </c>
      <c r="C17" s="3">
        <f>AF44</f>
        <v>945.14535473172145</v>
      </c>
      <c r="D17" s="3" t="s">
        <v>13</v>
      </c>
      <c r="J17" t="s">
        <v>48</v>
      </c>
      <c r="K17">
        <f xml:space="preserve"> (90 - $C$36) / 180 * PI()</f>
        <v>1.48352986419518</v>
      </c>
      <c r="L17" t="s">
        <v>49</v>
      </c>
      <c r="P17" s="8">
        <v>13</v>
      </c>
      <c r="Q17" s="8">
        <f t="shared" si="7"/>
        <v>0.3560791015625</v>
      </c>
      <c r="R17" s="8">
        <f t="shared" si="0"/>
        <v>7.9383178784198094E-5</v>
      </c>
      <c r="S17" s="8">
        <f t="shared" si="8"/>
        <v>0.356201171875</v>
      </c>
      <c r="T17" s="8">
        <f t="shared" si="1"/>
        <v>-5.5992245283520425E-5</v>
      </c>
      <c r="U17" s="8">
        <f t="shared" si="3"/>
        <v>0.35614013671875</v>
      </c>
      <c r="V17" s="8">
        <f t="shared" si="2"/>
        <v>1.1694336952750017E-5</v>
      </c>
      <c r="W17" s="8">
        <f t="shared" si="4"/>
        <v>9.2833364108280902E-10</v>
      </c>
      <c r="X17" s="8">
        <f t="shared" si="5"/>
        <v>-6.5479218308651575E-10</v>
      </c>
      <c r="Y17" s="8">
        <f t="shared" si="6"/>
        <v>1.220703125E-4</v>
      </c>
      <c r="AA17" s="8">
        <v>13</v>
      </c>
      <c r="AB17" s="8">
        <f t="shared" si="13"/>
        <v>944.82421875</v>
      </c>
      <c r="AC17" s="8">
        <v>-0.15479732814128511</v>
      </c>
      <c r="AD17" s="8">
        <f t="shared" si="14"/>
        <v>945.3125</v>
      </c>
      <c r="AE17" s="8">
        <v>8.0558754148341905E-2</v>
      </c>
      <c r="AF17" s="8">
        <f t="shared" si="9"/>
        <v>945.068359375</v>
      </c>
      <c r="AG17" s="8">
        <v>-3.7111677805228283E-2</v>
      </c>
      <c r="AH17" s="8">
        <f t="shared" si="10"/>
        <v>5.7447885670895696E-3</v>
      </c>
      <c r="AI17" s="8">
        <f t="shared" si="11"/>
        <v>-2.989670528343862E-3</v>
      </c>
      <c r="AJ17" s="8">
        <f t="shared" si="12"/>
        <v>0.48828125</v>
      </c>
    </row>
    <row r="18" spans="2:36" x14ac:dyDescent="0.2">
      <c r="B18" t="s">
        <v>14</v>
      </c>
      <c r="C18" s="1">
        <v>1</v>
      </c>
      <c r="D18" t="s">
        <v>15</v>
      </c>
      <c r="F18" s="21" t="s">
        <v>38</v>
      </c>
      <c r="G18" s="22"/>
      <c r="H18" s="22"/>
      <c r="J18" t="s">
        <v>33</v>
      </c>
      <c r="K18">
        <f xml:space="preserve"> K12 / $C$6</f>
        <v>953.7829467815917</v>
      </c>
      <c r="L18" t="s">
        <v>34</v>
      </c>
      <c r="P18" s="8">
        <v>14</v>
      </c>
      <c r="Q18" s="8">
        <f t="shared" si="7"/>
        <v>0.35614013671875</v>
      </c>
      <c r="R18" s="8">
        <f t="shared" si="0"/>
        <v>1.1694336952750017E-5</v>
      </c>
      <c r="S18" s="8">
        <f t="shared" si="8"/>
        <v>0.356201171875</v>
      </c>
      <c r="T18" s="8">
        <f t="shared" si="1"/>
        <v>-5.5992245283520425E-5</v>
      </c>
      <c r="U18" s="8">
        <f t="shared" si="3"/>
        <v>0.356170654296875</v>
      </c>
      <c r="V18" s="8">
        <f t="shared" si="2"/>
        <v>-2.2149236543034245E-5</v>
      </c>
      <c r="W18" s="8">
        <f t="shared" si="4"/>
        <v>-2.5902063538040644E-10</v>
      </c>
      <c r="X18" s="8">
        <f t="shared" si="5"/>
        <v>1.2401854853602875E-9</v>
      </c>
      <c r="Y18" s="8">
        <f t="shared" si="6"/>
        <v>6.103515625E-5</v>
      </c>
      <c r="AA18" s="8">
        <v>14</v>
      </c>
      <c r="AB18" s="8">
        <f t="shared" si="13"/>
        <v>945.068359375</v>
      </c>
      <c r="AC18" s="8">
        <v>-3.7111677805228283E-2</v>
      </c>
      <c r="AD18" s="8">
        <f t="shared" si="14"/>
        <v>945.3125</v>
      </c>
      <c r="AE18" s="8">
        <v>8.0558754148341905E-2</v>
      </c>
      <c r="AF18" s="8">
        <f t="shared" si="9"/>
        <v>945.1904296875</v>
      </c>
      <c r="AG18" s="8">
        <v>2.1725325835632248E-2</v>
      </c>
      <c r="AH18" s="8">
        <f t="shared" si="10"/>
        <v>-8.0626329262558586E-4</v>
      </c>
      <c r="AI18" s="8">
        <f t="shared" si="11"/>
        <v>1.7501651827853189E-3</v>
      </c>
      <c r="AJ18" s="8">
        <f t="shared" si="12"/>
        <v>0.244140625</v>
      </c>
    </row>
    <row r="19" spans="2:36" x14ac:dyDescent="0.2">
      <c r="B19" t="s">
        <v>16</v>
      </c>
      <c r="C19" s="1">
        <v>1</v>
      </c>
      <c r="D19" t="s">
        <v>15</v>
      </c>
      <c r="F19" t="s">
        <v>39</v>
      </c>
      <c r="G19">
        <f xml:space="preserve"> (G4*G6 + G10*G11 + G14*G16)/3600</f>
        <v>17394.782334769068</v>
      </c>
      <c r="H19" t="s">
        <v>40</v>
      </c>
      <c r="J19" t="s">
        <v>50</v>
      </c>
      <c r="K19">
        <f xml:space="preserve"> PI() * $C$20 / ($C$19 * $C$23)</f>
        <v>94.247779607693786</v>
      </c>
      <c r="L19" t="s">
        <v>51</v>
      </c>
      <c r="P19" s="8">
        <v>15</v>
      </c>
      <c r="Q19" s="8">
        <f t="shared" si="7"/>
        <v>0.35614013671875</v>
      </c>
      <c r="R19" s="8">
        <f t="shared" si="0"/>
        <v>1.1694336952750017E-5</v>
      </c>
      <c r="S19" s="8">
        <f t="shared" si="8"/>
        <v>0.356170654296875</v>
      </c>
      <c r="T19" s="8">
        <f t="shared" si="1"/>
        <v>-2.2149236543034245E-5</v>
      </c>
      <c r="U19" s="8">
        <f t="shared" si="3"/>
        <v>0.3561553955078125</v>
      </c>
      <c r="V19" s="8">
        <f t="shared" si="2"/>
        <v>-5.2275203984986085E-6</v>
      </c>
      <c r="W19" s="8">
        <f t="shared" si="4"/>
        <v>-6.1132384967416774E-11</v>
      </c>
      <c r="X19" s="8">
        <f t="shared" si="5"/>
        <v>1.1578558583988232E-10</v>
      </c>
      <c r="Y19" s="8">
        <f t="shared" si="6"/>
        <v>3.0517578125E-5</v>
      </c>
      <c r="AA19" s="8">
        <v>15</v>
      </c>
      <c r="AB19" s="8">
        <f t="shared" si="13"/>
        <v>945.068359375</v>
      </c>
      <c r="AC19" s="8">
        <v>-3.7111677805228283E-2</v>
      </c>
      <c r="AD19" s="8">
        <f t="shared" si="14"/>
        <v>945.1904296875</v>
      </c>
      <c r="AE19" s="8">
        <v>2.1725325835632248E-2</v>
      </c>
      <c r="AF19" s="8">
        <f t="shared" si="9"/>
        <v>945.12939453125</v>
      </c>
      <c r="AG19" s="8">
        <v>-7.6926142559159416E-3</v>
      </c>
      <c r="AH19" s="8">
        <f t="shared" si="10"/>
        <v>2.8548582174545834E-4</v>
      </c>
      <c r="AI19" s="8">
        <f t="shared" si="11"/>
        <v>-1.6712455123760354E-4</v>
      </c>
      <c r="AJ19" s="8">
        <f t="shared" si="12"/>
        <v>0.1220703125</v>
      </c>
    </row>
    <row r="20" spans="2:36" x14ac:dyDescent="0.2">
      <c r="B20" t="s">
        <v>17</v>
      </c>
      <c r="C20" s="1">
        <v>30</v>
      </c>
      <c r="D20" t="s">
        <v>18</v>
      </c>
      <c r="F20" t="s">
        <v>41</v>
      </c>
      <c r="G20">
        <f xml:space="preserve"> G6 + G11 + G16</f>
        <v>1160</v>
      </c>
      <c r="H20" t="s">
        <v>25</v>
      </c>
      <c r="J20" t="s">
        <v>52</v>
      </c>
      <c r="K20">
        <f xml:space="preserve"> $C$20 * COS(K17) / (K19 * $C$19)</f>
        <v>2.7742534554270875E-2</v>
      </c>
      <c r="P20" s="8">
        <v>16</v>
      </c>
      <c r="Q20" s="8">
        <f t="shared" si="7"/>
        <v>0.35614013671875</v>
      </c>
      <c r="R20" s="8">
        <f t="shared" si="0"/>
        <v>1.1694336952750017E-5</v>
      </c>
      <c r="S20" s="8">
        <f t="shared" si="8"/>
        <v>0.3561553955078125</v>
      </c>
      <c r="T20" s="8">
        <f t="shared" si="1"/>
        <v>-5.2275203984986085E-6</v>
      </c>
      <c r="U20" s="8">
        <f t="shared" si="3"/>
        <v>0.35614776611328125</v>
      </c>
      <c r="V20" s="8">
        <f t="shared" si="2"/>
        <v>3.2333906251347244E-6</v>
      </c>
      <c r="W20" s="8">
        <f t="shared" si="4"/>
        <v>3.7812359470188487E-11</v>
      </c>
      <c r="X20" s="8">
        <f t="shared" si="5"/>
        <v>-1.6902615449205939E-11</v>
      </c>
      <c r="Y20" s="8">
        <f t="shared" si="6"/>
        <v>1.52587890625E-5</v>
      </c>
      <c r="AA20" s="8">
        <v>16</v>
      </c>
      <c r="AB20" s="8">
        <f t="shared" si="13"/>
        <v>945.12939453125</v>
      </c>
      <c r="AC20" s="8">
        <v>-7.6926142559159416E-3</v>
      </c>
      <c r="AD20" s="8">
        <f t="shared" si="14"/>
        <v>945.1904296875</v>
      </c>
      <c r="AE20" s="8">
        <v>2.1725325835632248E-2</v>
      </c>
      <c r="AF20" s="8">
        <f t="shared" si="9"/>
        <v>945.159912109375</v>
      </c>
      <c r="AG20" s="8">
        <v>7.0164675206569882E-3</v>
      </c>
      <c r="AH20" s="8">
        <f t="shared" si="10"/>
        <v>-5.3974978075577129E-5</v>
      </c>
      <c r="AI20" s="8">
        <f t="shared" si="11"/>
        <v>1.5243504310140379E-4</v>
      </c>
      <c r="AJ20" s="8">
        <f t="shared" si="12"/>
        <v>6.103515625E-2</v>
      </c>
    </row>
    <row r="21" spans="2:36" x14ac:dyDescent="0.2">
      <c r="B21" t="s">
        <v>19</v>
      </c>
      <c r="C21" s="1">
        <v>8</v>
      </c>
      <c r="D21" t="s">
        <v>20</v>
      </c>
      <c r="J21" t="s">
        <v>53</v>
      </c>
      <c r="K21">
        <f xml:space="preserve"> K18 / ( $C$34 * PI() * $C$19^2 * K19^2 * $C$19^2)</f>
        <v>2.7901100725555548E-2</v>
      </c>
      <c r="P21" s="8">
        <v>17</v>
      </c>
      <c r="Q21" s="8">
        <f t="shared" si="7"/>
        <v>0.35614776611328125</v>
      </c>
      <c r="R21" s="8">
        <f t="shared" si="0"/>
        <v>3.2333906251347244E-6</v>
      </c>
      <c r="S21" s="8">
        <f t="shared" si="8"/>
        <v>0.3561553955078125</v>
      </c>
      <c r="T21" s="8">
        <f t="shared" si="1"/>
        <v>-5.2275203984986085E-6</v>
      </c>
      <c r="U21" s="8">
        <f t="shared" si="3"/>
        <v>0.35615158081054688</v>
      </c>
      <c r="V21" s="8">
        <f t="shared" si="2"/>
        <v>-9.970692995131536E-7</v>
      </c>
      <c r="W21" s="8">
        <f t="shared" si="4"/>
        <v>-3.2239145256554776E-12</v>
      </c>
      <c r="X21" s="8">
        <f t="shared" si="5"/>
        <v>5.2122001019217288E-12</v>
      </c>
      <c r="Y21" s="8">
        <f t="shared" si="6"/>
        <v>7.62939453125E-6</v>
      </c>
      <c r="AA21" s="8">
        <v>17</v>
      </c>
      <c r="AB21" s="8">
        <f t="shared" si="13"/>
        <v>945.12939453125</v>
      </c>
      <c r="AC21" s="8">
        <v>-7.6926142559159416E-3</v>
      </c>
      <c r="AD21" s="8">
        <f t="shared" si="14"/>
        <v>945.159912109375</v>
      </c>
      <c r="AE21" s="8">
        <v>7.0164675206569882E-3</v>
      </c>
      <c r="AF21" s="8">
        <f t="shared" si="9"/>
        <v>945.1446533203125</v>
      </c>
      <c r="AG21" s="8">
        <v>-3.3804543534188269E-4</v>
      </c>
      <c r="AH21" s="8">
        <f t="shared" si="10"/>
        <v>2.6004531350582774E-6</v>
      </c>
      <c r="AI21" s="8">
        <f t="shared" si="11"/>
        <v>-2.3718848175826718E-6</v>
      </c>
      <c r="AJ21" s="8">
        <f t="shared" si="12"/>
        <v>3.0517578125E-2</v>
      </c>
    </row>
    <row r="22" spans="2:36" x14ac:dyDescent="0.2">
      <c r="B22" t="s">
        <v>6</v>
      </c>
      <c r="C22" s="1">
        <v>10</v>
      </c>
      <c r="F22" s="21" t="s">
        <v>83</v>
      </c>
      <c r="G22" s="21"/>
      <c r="H22" s="21"/>
      <c r="J22" t="s">
        <v>5</v>
      </c>
      <c r="K22" s="1">
        <v>1.2E-2</v>
      </c>
      <c r="P22" s="8">
        <v>18</v>
      </c>
      <c r="Q22" s="8">
        <f t="shared" si="7"/>
        <v>0.35614776611328125</v>
      </c>
      <c r="R22" s="8">
        <f t="shared" si="0"/>
        <v>3.2333906251347244E-6</v>
      </c>
      <c r="S22" s="8">
        <f t="shared" si="8"/>
        <v>0.35615158081054688</v>
      </c>
      <c r="T22" s="8">
        <f t="shared" si="1"/>
        <v>-9.970692995131536E-7</v>
      </c>
      <c r="U22" s="8">
        <f t="shared" si="3"/>
        <v>0.35614967346191406</v>
      </c>
      <c r="V22" s="8">
        <f t="shared" si="2"/>
        <v>1.1181595596099214E-6</v>
      </c>
      <c r="W22" s="8">
        <f t="shared" si="4"/>
        <v>3.6154466374474918E-12</v>
      </c>
      <c r="X22" s="8">
        <f t="shared" si="5"/>
        <v>-1.1148825688442007E-12</v>
      </c>
      <c r="Y22" s="8">
        <f t="shared" si="6"/>
        <v>3.814697265625E-6</v>
      </c>
      <c r="AA22" s="8">
        <v>18</v>
      </c>
      <c r="AB22" s="8">
        <f t="shared" si="13"/>
        <v>945.1446533203125</v>
      </c>
      <c r="AC22" s="8">
        <v>-3.3804543534188269E-4</v>
      </c>
      <c r="AD22" s="8">
        <f t="shared" si="14"/>
        <v>945.159912109375</v>
      </c>
      <c r="AE22" s="8">
        <v>7.0164675206569882E-3</v>
      </c>
      <c r="AF22" s="8">
        <f t="shared" si="9"/>
        <v>945.15228271484375</v>
      </c>
      <c r="AG22" s="8">
        <v>3.3391031921610193E-3</v>
      </c>
      <c r="AH22" s="8">
        <f t="shared" si="10"/>
        <v>-1.128768592245542E-6</v>
      </c>
      <c r="AI22" s="8">
        <f t="shared" si="11"/>
        <v>2.342870909591986E-5</v>
      </c>
      <c r="AJ22" s="8">
        <f t="shared" si="12"/>
        <v>1.52587890625E-2</v>
      </c>
    </row>
    <row r="23" spans="2:36" x14ac:dyDescent="0.2">
      <c r="B23" t="s">
        <v>21</v>
      </c>
      <c r="C23" s="1">
        <v>1</v>
      </c>
      <c r="F23" s="3" t="s">
        <v>119</v>
      </c>
      <c r="G23" s="5">
        <f>C17</f>
        <v>945.14535473172145</v>
      </c>
      <c r="H23" t="s">
        <v>13</v>
      </c>
      <c r="J23" t="s">
        <v>54</v>
      </c>
      <c r="K23">
        <f xml:space="preserve"> ($C$8 * $K$22 / 8) * (1 + 4.65 * K20^2) * ( PI() * $C$34 * K19^3 * C19^5)</f>
        <v>630.50053776545394</v>
      </c>
      <c r="L23" t="s">
        <v>32</v>
      </c>
      <c r="P23" s="8">
        <v>19</v>
      </c>
      <c r="Q23" s="8">
        <f t="shared" si="7"/>
        <v>0.35614967346191406</v>
      </c>
      <c r="R23" s="8">
        <f t="shared" si="0"/>
        <v>1.1181595596099214E-6</v>
      </c>
      <c r="S23" s="8">
        <f t="shared" si="8"/>
        <v>0.35615158081054688</v>
      </c>
      <c r="T23" s="8">
        <f t="shared" si="1"/>
        <v>-9.970692995131536E-7</v>
      </c>
      <c r="U23" s="8">
        <f t="shared" si="3"/>
        <v>0.35615062713623047</v>
      </c>
      <c r="V23" s="8">
        <f t="shared" si="2"/>
        <v>6.0544854241229018E-8</v>
      </c>
      <c r="W23" s="8">
        <f t="shared" si="4"/>
        <v>6.7698807555019522E-14</v>
      </c>
      <c r="X23" s="8">
        <f t="shared" si="5"/>
        <v>-6.0367415407428208E-14</v>
      </c>
      <c r="Y23" s="8">
        <f t="shared" si="6"/>
        <v>1.9073486328125E-6</v>
      </c>
      <c r="AA23" s="8">
        <v>19</v>
      </c>
      <c r="AB23" s="8">
        <f t="shared" si="13"/>
        <v>945.1446533203125</v>
      </c>
      <c r="AC23" s="8">
        <v>-3.3804543534188269E-4</v>
      </c>
      <c r="AD23" s="8">
        <f t="shared" si="14"/>
        <v>945.15228271484375</v>
      </c>
      <c r="AE23" s="8">
        <v>3.3391031921610193E-3</v>
      </c>
      <c r="AF23" s="8">
        <f t="shared" si="9"/>
        <v>945.14846801757812</v>
      </c>
      <c r="AG23" s="8">
        <v>1.5005306247530825E-3</v>
      </c>
      <c r="AH23" s="8">
        <f t="shared" si="10"/>
        <v>-5.0724752828848304E-7</v>
      </c>
      <c r="AI23" s="8">
        <f t="shared" si="11"/>
        <v>5.0104265990483867E-6</v>
      </c>
      <c r="AJ23" s="8">
        <f t="shared" si="12"/>
        <v>7.62939453125E-3</v>
      </c>
    </row>
    <row r="24" spans="2:36" x14ac:dyDescent="0.2">
      <c r="F24" s="16" t="s">
        <v>84</v>
      </c>
      <c r="G24">
        <f xml:space="preserve"> G19 / ($C$12 * $C$13 * $C$14)</f>
        <v>102.32224902805335</v>
      </c>
      <c r="H24" t="s">
        <v>13</v>
      </c>
      <c r="J24" t="s">
        <v>55</v>
      </c>
      <c r="K24" s="5">
        <f>U34</f>
        <v>0.35615068161860108</v>
      </c>
      <c r="P24" s="8">
        <v>20</v>
      </c>
      <c r="Q24" s="8">
        <f t="shared" si="7"/>
        <v>0.35615062713623047</v>
      </c>
      <c r="R24" s="8">
        <f t="shared" si="0"/>
        <v>6.0544854241229018E-8</v>
      </c>
      <c r="S24" s="8">
        <f t="shared" si="8"/>
        <v>0.35615158081054688</v>
      </c>
      <c r="T24" s="8">
        <f t="shared" si="1"/>
        <v>-9.970692995131536E-7</v>
      </c>
      <c r="U24" s="8">
        <f t="shared" si="3"/>
        <v>0.35615110397338867</v>
      </c>
      <c r="V24" s="8">
        <f t="shared" si="2"/>
        <v>-4.6826229160856769E-7</v>
      </c>
      <c r="W24" s="8">
        <f t="shared" si="4"/>
        <v>-2.8350872192104608E-14</v>
      </c>
      <c r="X24" s="8">
        <f t="shared" si="5"/>
        <v>4.6688995508257867E-13</v>
      </c>
      <c r="Y24" s="8">
        <f t="shared" si="6"/>
        <v>9.5367431640625E-7</v>
      </c>
      <c r="AA24" s="8">
        <v>20</v>
      </c>
      <c r="AB24" s="8">
        <f t="shared" si="13"/>
        <v>945.1446533203125</v>
      </c>
      <c r="AC24" s="8">
        <v>-3.3804543534188269E-4</v>
      </c>
      <c r="AD24" s="8">
        <f t="shared" si="14"/>
        <v>945.14846801757812</v>
      </c>
      <c r="AE24" s="8">
        <v>1.5005306247530825E-3</v>
      </c>
      <c r="AF24" s="8">
        <f t="shared" si="9"/>
        <v>945.14656066894531</v>
      </c>
      <c r="AG24" s="8">
        <v>5.8112819885991485E-4</v>
      </c>
      <c r="AH24" s="8">
        <f t="shared" si="10"/>
        <v>-1.9644773497304408E-7</v>
      </c>
      <c r="AI24" s="8">
        <f t="shared" si="11"/>
        <v>8.720006592969016E-7</v>
      </c>
      <c r="AJ24" s="8">
        <f t="shared" si="12"/>
        <v>3.814697265625E-3</v>
      </c>
    </row>
    <row r="25" spans="2:36" x14ac:dyDescent="0.2">
      <c r="B25" s="28" t="s">
        <v>22</v>
      </c>
      <c r="C25" s="28"/>
      <c r="D25" s="28"/>
      <c r="F25" s="12" t="s">
        <v>85</v>
      </c>
      <c r="G25">
        <f xml:space="preserve"> $C$37 * ($C$5 * 0.144 * (2*$C$18*3.28084 * (G4*0.00134102/$C$5) * 4^0.5)^0.782 * 0.453592 + C6 * $C$6 * 0.144 * (2*$C$19*3.28084 * (G10*0.00134102/$C$6) * 4^0.5)^0.782 * 0.453592)</f>
        <v>51.997564646687117</v>
      </c>
      <c r="H25" t="s">
        <v>13</v>
      </c>
      <c r="J25" t="s">
        <v>56</v>
      </c>
      <c r="K25">
        <f xml:space="preserve"> K19 * $C$19 * K24 - $C$20 * SIN(K17)</f>
        <v>3.6805700055674677</v>
      </c>
      <c r="L25" t="s">
        <v>18</v>
      </c>
      <c r="P25" s="8">
        <v>21</v>
      </c>
      <c r="Q25" s="8">
        <f t="shared" si="7"/>
        <v>0.35615062713623047</v>
      </c>
      <c r="R25" s="8">
        <f t="shared" si="0"/>
        <v>6.0544854241229018E-8</v>
      </c>
      <c r="S25" s="8">
        <f t="shared" si="8"/>
        <v>0.35615110397338867</v>
      </c>
      <c r="T25" s="8">
        <f t="shared" si="1"/>
        <v>-4.6826229160856769E-7</v>
      </c>
      <c r="U25" s="8">
        <f t="shared" si="3"/>
        <v>0.35615086555480957</v>
      </c>
      <c r="V25" s="8">
        <f t="shared" si="2"/>
        <v>-2.0385873594763737E-7</v>
      </c>
      <c r="W25" s="8">
        <f t="shared" si="4"/>
        <v>-1.2342597453750898E-14</v>
      </c>
      <c r="X25" s="8">
        <f t="shared" si="5"/>
        <v>9.5459358859266571E-14</v>
      </c>
      <c r="Y25" s="8">
        <f t="shared" si="6"/>
        <v>4.76837158203125E-7</v>
      </c>
      <c r="AA25" s="8">
        <v>21</v>
      </c>
      <c r="AB25" s="8">
        <f t="shared" si="13"/>
        <v>945.1446533203125</v>
      </c>
      <c r="AC25" s="8">
        <v>-3.3804543534188269E-4</v>
      </c>
      <c r="AD25" s="8">
        <f t="shared" si="14"/>
        <v>945.14656066894531</v>
      </c>
      <c r="AE25" s="8">
        <v>5.8112819885991485E-4</v>
      </c>
      <c r="AF25" s="8">
        <f t="shared" si="9"/>
        <v>945.14560699462891</v>
      </c>
      <c r="AG25" s="8">
        <v>1.2165632324467879E-4</v>
      </c>
      <c r="AH25" s="8">
        <f t="shared" si="10"/>
        <v>-4.1125364753340247E-8</v>
      </c>
      <c r="AI25" s="8">
        <f t="shared" si="11"/>
        <v>7.069792000709978E-8</v>
      </c>
      <c r="AJ25" s="8">
        <f t="shared" si="12"/>
        <v>1.9073486328125E-3</v>
      </c>
    </row>
    <row r="26" spans="2:36" x14ac:dyDescent="0.2">
      <c r="B26" t="s">
        <v>102</v>
      </c>
      <c r="C26" s="1">
        <v>400</v>
      </c>
      <c r="D26" t="s">
        <v>13</v>
      </c>
      <c r="F26" s="13" t="s">
        <v>86</v>
      </c>
      <c r="G26">
        <f xml:space="preserve"> 0.2138 * (G4/1000) + 0.2138 * (G10/1000)</f>
        <v>48.143776019286463</v>
      </c>
      <c r="H26" t="s">
        <v>13</v>
      </c>
      <c r="J26" t="s">
        <v>57</v>
      </c>
      <c r="K26">
        <f xml:space="preserve"> 1/$C$9 - K23 * SQRT( (2*$C$34*PI()*$C$19^2) / K18^3 )</f>
        <v>1.2739493794749197</v>
      </c>
      <c r="P26" s="8">
        <v>22</v>
      </c>
      <c r="Q26" s="8">
        <f t="shared" si="7"/>
        <v>0.35615062713623047</v>
      </c>
      <c r="R26" s="8">
        <f t="shared" si="0"/>
        <v>6.0544854241229018E-8</v>
      </c>
      <c r="S26" s="8">
        <f t="shared" si="8"/>
        <v>0.35615086555480957</v>
      </c>
      <c r="T26" s="8">
        <f t="shared" si="1"/>
        <v>-2.0385873594763737E-7</v>
      </c>
      <c r="U26" s="8">
        <f t="shared" si="3"/>
        <v>0.35615074634552002</v>
      </c>
      <c r="V26" s="8">
        <f t="shared" si="2"/>
        <v>-7.1656945155318397E-8</v>
      </c>
      <c r="W26" s="8">
        <f t="shared" si="4"/>
        <v>-4.3384592998004939E-15</v>
      </c>
      <c r="X26" s="8">
        <f t="shared" si="5"/>
        <v>1.4607894261232385E-14</v>
      </c>
      <c r="Y26" s="8">
        <f t="shared" si="6"/>
        <v>2.384185791015625E-7</v>
      </c>
      <c r="AA26" s="8">
        <v>22</v>
      </c>
      <c r="AB26" s="8">
        <f t="shared" si="13"/>
        <v>945.1446533203125</v>
      </c>
      <c r="AC26" s="8">
        <v>-3.3804543534188269E-4</v>
      </c>
      <c r="AD26" s="8">
        <f t="shared" si="14"/>
        <v>945.14560699462891</v>
      </c>
      <c r="AE26" s="8">
        <v>1.2165632324467879E-4</v>
      </c>
      <c r="AF26" s="8">
        <f t="shared" si="9"/>
        <v>945.1451301574707</v>
      </c>
      <c r="AG26" s="8">
        <v>-1.0830936071215547E-4</v>
      </c>
      <c r="AH26" s="8">
        <f t="shared" si="10"/>
        <v>3.6613484993541603E-8</v>
      </c>
      <c r="AI26" s="8">
        <f t="shared" si="11"/>
        <v>-1.3176518597222498E-8</v>
      </c>
      <c r="AJ26" s="8">
        <f t="shared" si="12"/>
        <v>9.5367431640625E-4</v>
      </c>
    </row>
    <row r="27" spans="2:36" x14ac:dyDescent="0.2">
      <c r="B27" t="s">
        <v>23</v>
      </c>
      <c r="C27" s="1">
        <v>30000</v>
      </c>
      <c r="D27" t="s">
        <v>15</v>
      </c>
      <c r="F27" s="13" t="s">
        <v>117</v>
      </c>
      <c r="G27">
        <f>2.20462 * (49.9/398 * (G4/$C$5/1000 -2) + 0.1) * $C$5 * 0.453592 + 2.20462 * (49.9/398 * (G9/1000 -2) + 0.1) * 0.453592 * $C$6</f>
        <v>27.177207209282599</v>
      </c>
      <c r="H27" t="s">
        <v>13</v>
      </c>
      <c r="J27" t="s">
        <v>58</v>
      </c>
      <c r="K27" s="1">
        <v>1.1499999999999999</v>
      </c>
      <c r="P27" s="8">
        <v>23</v>
      </c>
      <c r="Q27" s="8">
        <f t="shared" si="7"/>
        <v>0.35615062713623047</v>
      </c>
      <c r="R27" s="8">
        <f t="shared" si="0"/>
        <v>6.0544854241229018E-8</v>
      </c>
      <c r="S27" s="8">
        <f t="shared" si="8"/>
        <v>0.35615074634552002</v>
      </c>
      <c r="T27" s="8">
        <f t="shared" si="1"/>
        <v>-7.1656945155318397E-8</v>
      </c>
      <c r="U27" s="8">
        <f t="shared" si="3"/>
        <v>0.35615068674087524</v>
      </c>
      <c r="V27" s="8">
        <f t="shared" si="2"/>
        <v>-5.556046567267714E-9</v>
      </c>
      <c r="W27" s="8">
        <f t="shared" si="4"/>
        <v>-3.3639002957270459E-16</v>
      </c>
      <c r="X27" s="8">
        <f t="shared" si="5"/>
        <v>3.9812932415109761E-16</v>
      </c>
      <c r="Y27" s="8">
        <f t="shared" si="6"/>
        <v>1.1920928955078125E-7</v>
      </c>
      <c r="AA27" s="8">
        <v>23</v>
      </c>
      <c r="AB27" s="8">
        <f t="shared" si="13"/>
        <v>945.1451301574707</v>
      </c>
      <c r="AC27" s="8">
        <v>-1.0830936071215547E-4</v>
      </c>
      <c r="AD27" s="8">
        <f t="shared" si="14"/>
        <v>945.14560699462891</v>
      </c>
      <c r="AE27" s="8">
        <v>1.2165632324467879E-4</v>
      </c>
      <c r="AF27" s="8">
        <f t="shared" si="9"/>
        <v>945.1453685760498</v>
      </c>
      <c r="AG27" s="8">
        <v>6.6734879737850861E-6</v>
      </c>
      <c r="AH27" s="8">
        <f t="shared" si="10"/>
        <v>-7.2280121616092045E-10</v>
      </c>
      <c r="AI27" s="8">
        <f t="shared" si="11"/>
        <v>8.1187201010827491E-10</v>
      </c>
      <c r="AJ27" s="8">
        <f t="shared" si="12"/>
        <v>4.76837158203125E-4</v>
      </c>
    </row>
    <row r="28" spans="2:36" x14ac:dyDescent="0.2">
      <c r="B28" t="s">
        <v>126</v>
      </c>
      <c r="C28" s="1">
        <v>2.54</v>
      </c>
      <c r="D28" t="s">
        <v>18</v>
      </c>
      <c r="F28" s="14" t="s">
        <v>94</v>
      </c>
      <c r="G28">
        <f xml:space="preserve"> $C$37 * (14.86 * ($C$17*2.20462)^0.144 * (6.7/(PI()*1.8))^0.778 * (6.7*3.28084)^0.383 * 4^0.455 * 0.453592)</f>
        <v>113.48379417060595</v>
      </c>
      <c r="H28" t="s">
        <v>13</v>
      </c>
      <c r="J28" t="s">
        <v>59</v>
      </c>
      <c r="K28">
        <f xml:space="preserve"> 1/$C$40 * LN( EXP($C$40 * K26) + EXP($C$40 * K27) )</f>
        <v>1.2747487442322543</v>
      </c>
      <c r="P28" s="8">
        <v>24</v>
      </c>
      <c r="Q28" s="8">
        <f t="shared" si="7"/>
        <v>0.35615062713623047</v>
      </c>
      <c r="R28" s="8">
        <f t="shared" si="0"/>
        <v>6.0544854241229018E-8</v>
      </c>
      <c r="S28" s="8">
        <f t="shared" si="8"/>
        <v>0.35615068674087524</v>
      </c>
      <c r="T28" s="8">
        <f t="shared" si="1"/>
        <v>-5.556046567267714E-9</v>
      </c>
      <c r="U28" s="8">
        <f t="shared" si="3"/>
        <v>0.35615065693855286</v>
      </c>
      <c r="V28" s="8">
        <f t="shared" si="2"/>
        <v>2.7494403587180472E-8</v>
      </c>
      <c r="W28" s="8">
        <f t="shared" si="4"/>
        <v>1.6646446576353659E-15</v>
      </c>
      <c r="X28" s="8">
        <f t="shared" si="5"/>
        <v>-1.5276018666962717E-16</v>
      </c>
      <c r="Y28" s="8">
        <f t="shared" si="6"/>
        <v>5.9604644775390625E-8</v>
      </c>
      <c r="AA28" s="8">
        <v>24</v>
      </c>
      <c r="AB28" s="8">
        <f t="shared" si="13"/>
        <v>945.1451301574707</v>
      </c>
      <c r="AC28" s="8">
        <v>-1.0830936071215547E-4</v>
      </c>
      <c r="AD28" s="8">
        <f t="shared" si="14"/>
        <v>945.1453685760498</v>
      </c>
      <c r="AE28" s="8">
        <v>6.6734879737850861E-6</v>
      </c>
      <c r="AF28" s="8">
        <f t="shared" si="9"/>
        <v>945.14524936676025</v>
      </c>
      <c r="AG28" s="8">
        <v>-5.070310260180122E-5</v>
      </c>
      <c r="AH28" s="8">
        <f t="shared" si="10"/>
        <v>5.4916206289239164E-9</v>
      </c>
      <c r="AI28" s="8">
        <f t="shared" si="11"/>
        <v>-3.3836654544671176E-10</v>
      </c>
      <c r="AJ28" s="8">
        <f t="shared" si="12"/>
        <v>2.384185791015625E-4</v>
      </c>
    </row>
    <row r="29" spans="2:36" x14ac:dyDescent="0.2">
      <c r="B29" t="s">
        <v>129</v>
      </c>
      <c r="C29" s="1">
        <v>152.4</v>
      </c>
      <c r="D29" t="s">
        <v>15</v>
      </c>
      <c r="F29" s="14" t="s">
        <v>95</v>
      </c>
      <c r="G29">
        <f xml:space="preserve"> $C$37 * (0.054 * (0.7*3.28084)^0.501 * ($C$17*2.20462*5.7)^0.684 * 0.453592)</f>
        <v>18.203357087694794</v>
      </c>
      <c r="H29" t="s">
        <v>13</v>
      </c>
      <c r="P29" s="8">
        <v>25</v>
      </c>
      <c r="Q29" s="8">
        <f t="shared" si="7"/>
        <v>0.35615065693855286</v>
      </c>
      <c r="R29" s="8">
        <f t="shared" si="0"/>
        <v>2.7494403587180472E-8</v>
      </c>
      <c r="S29" s="8">
        <f t="shared" si="8"/>
        <v>0.35615068674087524</v>
      </c>
      <c r="T29" s="8">
        <f t="shared" si="1"/>
        <v>-5.556046567267714E-9</v>
      </c>
      <c r="U29" s="8">
        <f t="shared" si="3"/>
        <v>0.35615067183971405</v>
      </c>
      <c r="V29" s="8">
        <f t="shared" si="2"/>
        <v>1.0969178454445228E-8</v>
      </c>
      <c r="W29" s="8">
        <f t="shared" si="4"/>
        <v>3.015910194463216E-16</v>
      </c>
      <c r="X29" s="8">
        <f t="shared" si="5"/>
        <v>-6.0945266297567375E-17</v>
      </c>
      <c r="Y29" s="8">
        <f t="shared" si="6"/>
        <v>2.9802322387695312E-8</v>
      </c>
      <c r="AA29" s="8">
        <v>25</v>
      </c>
      <c r="AB29" s="8">
        <f t="shared" si="13"/>
        <v>945.14524936676025</v>
      </c>
      <c r="AC29" s="8">
        <v>-5.070310260180122E-5</v>
      </c>
      <c r="AD29" s="8">
        <f t="shared" si="14"/>
        <v>945.1453685760498</v>
      </c>
      <c r="AE29" s="8">
        <v>6.6734879737850861E-6</v>
      </c>
      <c r="AF29" s="8">
        <f t="shared" si="9"/>
        <v>945.14530897140503</v>
      </c>
      <c r="AG29" s="8">
        <v>-2.212963897818554E-5</v>
      </c>
      <c r="AH29" s="8">
        <f t="shared" si="10"/>
        <v>1.122041355651761E-9</v>
      </c>
      <c r="AI29" s="8">
        <f t="shared" si="11"/>
        <v>-1.4768187958512689E-10</v>
      </c>
      <c r="AJ29" s="8">
        <f t="shared" si="12"/>
        <v>1.1920928955078125E-4</v>
      </c>
    </row>
    <row r="30" spans="2:36" x14ac:dyDescent="0.2">
      <c r="B30" t="s">
        <v>127</v>
      </c>
      <c r="C30" s="1">
        <v>1.524</v>
      </c>
      <c r="D30" t="s">
        <v>18</v>
      </c>
      <c r="F30" s="14" t="s">
        <v>87</v>
      </c>
      <c r="G30">
        <f xml:space="preserve"> $C$37 * (0.04674 * ($C$17*2.20462)^0.397 * ($C$21*3.28084^2)^0.36 * 3^0.397 * $C$22^1.712 * 0.453592)</f>
        <v>139.65590178675686</v>
      </c>
      <c r="H30" t="s">
        <v>13</v>
      </c>
      <c r="P30" s="8">
        <v>26</v>
      </c>
      <c r="Q30" s="8">
        <f t="shared" si="7"/>
        <v>0.35615067183971405</v>
      </c>
      <c r="R30" s="8">
        <f t="shared" si="0"/>
        <v>1.0969178454445228E-8</v>
      </c>
      <c r="S30" s="8">
        <f t="shared" si="8"/>
        <v>0.35615068674087524</v>
      </c>
      <c r="T30" s="8">
        <f t="shared" si="1"/>
        <v>-5.556046567267714E-9</v>
      </c>
      <c r="U30" s="8">
        <f t="shared" si="3"/>
        <v>0.35615067929029465</v>
      </c>
      <c r="V30" s="8">
        <f t="shared" si="2"/>
        <v>2.7065659158331812E-9</v>
      </c>
      <c r="W30" s="8">
        <f t="shared" si="4"/>
        <v>2.9688804529493146E-17</v>
      </c>
      <c r="X30" s="8">
        <f t="shared" si="5"/>
        <v>-1.5037806265748743E-17</v>
      </c>
      <c r="Y30" s="8">
        <f t="shared" si="6"/>
        <v>1.4901161193847656E-8</v>
      </c>
      <c r="AA30" s="8">
        <v>26</v>
      </c>
      <c r="AB30" s="8">
        <f t="shared" si="13"/>
        <v>945.14530897140503</v>
      </c>
      <c r="AC30" s="8">
        <v>-2.212963897818554E-5</v>
      </c>
      <c r="AD30" s="8">
        <f t="shared" si="14"/>
        <v>945.1453685760498</v>
      </c>
      <c r="AE30" s="8">
        <v>6.6734879737850861E-6</v>
      </c>
      <c r="AF30" s="8">
        <f t="shared" si="9"/>
        <v>945.14533877372742</v>
      </c>
      <c r="AG30" s="8">
        <v>-7.7280752748265513E-6</v>
      </c>
      <c r="AH30" s="8">
        <f t="shared" si="10"/>
        <v>1.7101951582815359E-10</v>
      </c>
      <c r="AI30" s="8">
        <f t="shared" si="11"/>
        <v>-5.1573217407060864E-11</v>
      </c>
      <c r="AJ30" s="8">
        <f t="shared" si="12"/>
        <v>5.9604644775390625E-5</v>
      </c>
    </row>
    <row r="31" spans="2:36" x14ac:dyDescent="0.2">
      <c r="B31" t="s">
        <v>133</v>
      </c>
      <c r="C31" s="1">
        <v>152.4</v>
      </c>
      <c r="D31" t="s">
        <v>15</v>
      </c>
      <c r="F31" s="14" t="s">
        <v>96</v>
      </c>
      <c r="G31">
        <f xml:space="preserve"> $C$37 * 0</f>
        <v>0</v>
      </c>
      <c r="H31" t="s">
        <v>13</v>
      </c>
      <c r="P31" s="8">
        <v>27</v>
      </c>
      <c r="Q31" s="8">
        <f t="shared" si="7"/>
        <v>0.35615067929029465</v>
      </c>
      <c r="R31" s="8">
        <f t="shared" si="0"/>
        <v>2.7065659158331812E-9</v>
      </c>
      <c r="S31" s="8">
        <f t="shared" si="8"/>
        <v>0.35615068674087524</v>
      </c>
      <c r="T31" s="8">
        <f t="shared" si="1"/>
        <v>-5.556046567267714E-9</v>
      </c>
      <c r="U31" s="8">
        <f t="shared" si="3"/>
        <v>0.35615068301558495</v>
      </c>
      <c r="V31" s="8">
        <f t="shared" si="2"/>
        <v>-1.4247403257172664E-9</v>
      </c>
      <c r="W31" s="8">
        <f t="shared" si="4"/>
        <v>-3.856153604499418E-18</v>
      </c>
      <c r="X31" s="8">
        <f t="shared" si="5"/>
        <v>7.9159235959493026E-18</v>
      </c>
      <c r="Y31" s="8">
        <f t="shared" si="6"/>
        <v>7.4505805969238281E-9</v>
      </c>
      <c r="AA31" s="8">
        <v>27</v>
      </c>
      <c r="AB31" s="8">
        <f t="shared" si="13"/>
        <v>945.14533877372742</v>
      </c>
      <c r="AC31" s="8">
        <v>-7.7280752748265513E-6</v>
      </c>
      <c r="AD31" s="8">
        <f t="shared" si="14"/>
        <v>945.1453685760498</v>
      </c>
      <c r="AE31" s="8">
        <v>6.6734879737850861E-6</v>
      </c>
      <c r="AF31" s="8">
        <f t="shared" si="9"/>
        <v>945.14535367488861</v>
      </c>
      <c r="AG31" s="8">
        <v>-5.2729376420757035E-7</v>
      </c>
      <c r="AH31" s="8">
        <f t="shared" si="10"/>
        <v>4.074965901742746E-12</v>
      </c>
      <c r="AI31" s="8">
        <f t="shared" si="11"/>
        <v>-3.5188885940910896E-12</v>
      </c>
      <c r="AJ31" s="8">
        <f t="shared" si="12"/>
        <v>2.9802322387695312E-5</v>
      </c>
    </row>
    <row r="32" spans="2:36" x14ac:dyDescent="0.2">
      <c r="F32" s="14" t="s">
        <v>97</v>
      </c>
      <c r="G32">
        <f xml:space="preserve"> $C$37 * 0</f>
        <v>0</v>
      </c>
      <c r="H32" t="s">
        <v>13</v>
      </c>
      <c r="P32" s="8">
        <v>28</v>
      </c>
      <c r="Q32" s="8">
        <f t="shared" si="7"/>
        <v>0.35615067929029465</v>
      </c>
      <c r="R32" s="8">
        <f t="shared" si="0"/>
        <v>2.7065659158331812E-9</v>
      </c>
      <c r="S32" s="8">
        <f t="shared" si="8"/>
        <v>0.35615068301558495</v>
      </c>
      <c r="T32" s="8">
        <f t="shared" si="1"/>
        <v>-1.4247403257172664E-9</v>
      </c>
      <c r="U32" s="8">
        <f t="shared" si="3"/>
        <v>0.3561506811529398</v>
      </c>
      <c r="V32" s="8">
        <f t="shared" si="2"/>
        <v>6.4091282281353301E-10</v>
      </c>
      <c r="W32" s="8">
        <f t="shared" si="4"/>
        <v>1.7346728012475394E-18</v>
      </c>
      <c r="X32" s="8">
        <f t="shared" si="5"/>
        <v>-9.1313434393172566E-19</v>
      </c>
      <c r="Y32" s="8">
        <f t="shared" si="6"/>
        <v>3.7252902984619141E-9</v>
      </c>
      <c r="AA32" s="8">
        <v>28</v>
      </c>
      <c r="AB32" s="8">
        <f t="shared" si="13"/>
        <v>945.14535367488861</v>
      </c>
      <c r="AC32" s="8">
        <v>-5.2729376420757035E-7</v>
      </c>
      <c r="AD32" s="8">
        <f t="shared" si="14"/>
        <v>945.1453685760498</v>
      </c>
      <c r="AE32" s="8">
        <v>6.6734879737850861E-6</v>
      </c>
      <c r="AF32" s="8">
        <f t="shared" si="9"/>
        <v>945.14536112546921</v>
      </c>
      <c r="AG32" s="8">
        <v>2.9582652132376097E-6</v>
      </c>
      <c r="AH32" s="8">
        <f t="shared" si="10"/>
        <v>-1.55987479981237E-12</v>
      </c>
      <c r="AI32" s="8">
        <f t="shared" si="11"/>
        <v>1.9741947323807962E-11</v>
      </c>
      <c r="AJ32" s="8">
        <f t="shared" si="12"/>
        <v>1.4901161193847656E-5</v>
      </c>
    </row>
    <row r="33" spans="2:36" x14ac:dyDescent="0.2">
      <c r="B33" s="19" t="s">
        <v>107</v>
      </c>
      <c r="C33" s="19"/>
      <c r="D33" s="19"/>
      <c r="F33" s="15" t="s">
        <v>98</v>
      </c>
      <c r="G33">
        <f xml:space="preserve"> $C$37 * (0.0268 * $C$17)</f>
        <v>20.263916405448111</v>
      </c>
      <c r="H33" t="s">
        <v>13</v>
      </c>
      <c r="P33" s="8">
        <v>29</v>
      </c>
      <c r="Q33" s="8">
        <f t="shared" si="7"/>
        <v>0.3561506811529398</v>
      </c>
      <c r="R33" s="8">
        <f t="shared" si="0"/>
        <v>6.4091282281353301E-10</v>
      </c>
      <c r="S33" s="8">
        <f t="shared" si="8"/>
        <v>0.35615068301558495</v>
      </c>
      <c r="T33" s="8">
        <f t="shared" si="1"/>
        <v>-1.4247403257172664E-9</v>
      </c>
      <c r="U33" s="8">
        <f t="shared" si="3"/>
        <v>0.35615068208426237</v>
      </c>
      <c r="V33" s="8">
        <f t="shared" si="2"/>
        <v>-3.919137792074423E-10</v>
      </c>
      <c r="W33" s="8">
        <f t="shared" si="4"/>
        <v>-2.5118256653136157E-19</v>
      </c>
      <c r="X33" s="8">
        <f t="shared" si="5"/>
        <v>5.5837536544109617E-19</v>
      </c>
      <c r="Y33" s="8">
        <f t="shared" si="6"/>
        <v>1.862645149230957E-9</v>
      </c>
      <c r="AA33" s="8">
        <v>29</v>
      </c>
      <c r="AB33" s="8">
        <f t="shared" si="13"/>
        <v>945.14535367488861</v>
      </c>
      <c r="AC33" s="8">
        <v>-5.2729376420757035E-7</v>
      </c>
      <c r="AD33" s="8">
        <f t="shared" si="14"/>
        <v>945.14536112546921</v>
      </c>
      <c r="AE33" s="8">
        <v>2.9582652132376097E-6</v>
      </c>
      <c r="AF33" s="8">
        <f t="shared" si="9"/>
        <v>945.14535740017891</v>
      </c>
      <c r="AG33" s="8">
        <v>1.3303177865964244E-6</v>
      </c>
      <c r="AH33" s="8">
        <f t="shared" si="10"/>
        <v>-7.014682732867119E-13</v>
      </c>
      <c r="AI33" s="8">
        <f t="shared" si="11"/>
        <v>3.9354328306394564E-12</v>
      </c>
      <c r="AJ33" s="8">
        <f t="shared" si="12"/>
        <v>7.4505805969238281E-6</v>
      </c>
    </row>
    <row r="34" spans="2:36" x14ac:dyDescent="0.2">
      <c r="B34" t="s">
        <v>26</v>
      </c>
      <c r="C34" s="1">
        <v>1.2250000000000001</v>
      </c>
      <c r="D34" t="s">
        <v>27</v>
      </c>
      <c r="F34" s="15" t="s">
        <v>99</v>
      </c>
      <c r="G34">
        <f xml:space="preserve"> $C$37 * (11.5 * ($C$17*2.20462/1000)^0.4 * 0.453592)</f>
        <v>5.5973975388126549</v>
      </c>
      <c r="H34" t="s">
        <v>13</v>
      </c>
      <c r="P34" s="8">
        <v>30</v>
      </c>
      <c r="Q34" s="8">
        <f t="shared" si="7"/>
        <v>0.3561506811529398</v>
      </c>
      <c r="R34" s="8">
        <f t="shared" si="0"/>
        <v>6.4091282281353301E-10</v>
      </c>
      <c r="S34" s="8">
        <f t="shared" si="8"/>
        <v>0.35615068208426237</v>
      </c>
      <c r="T34" s="8">
        <f t="shared" si="1"/>
        <v>-3.919137792074423E-10</v>
      </c>
      <c r="U34" s="8">
        <f t="shared" si="3"/>
        <v>0.35615068161860108</v>
      </c>
      <c r="V34" s="8">
        <f t="shared" si="2"/>
        <v>1.2449952180304535E-10</v>
      </c>
      <c r="W34" s="8">
        <f t="shared" si="4"/>
        <v>7.9793339957724797E-20</v>
      </c>
      <c r="X34" s="8">
        <f t="shared" si="5"/>
        <v>-4.8793078099350866E-20</v>
      </c>
      <c r="Y34" s="8">
        <f t="shared" si="6"/>
        <v>9.3132257461547852E-10</v>
      </c>
      <c r="AA34" s="8">
        <v>30</v>
      </c>
      <c r="AB34" s="8">
        <f t="shared" si="13"/>
        <v>945.14535367488861</v>
      </c>
      <c r="AC34" s="8">
        <v>-5.2729376420757035E-7</v>
      </c>
      <c r="AD34" s="8">
        <f t="shared" si="14"/>
        <v>945.14535740017891</v>
      </c>
      <c r="AE34" s="8">
        <v>1.3303177865964244E-6</v>
      </c>
      <c r="AF34" s="8">
        <f t="shared" si="9"/>
        <v>945.14535553753376</v>
      </c>
      <c r="AG34" s="8">
        <v>4.0151212488126475E-7</v>
      </c>
      <c r="AH34" s="8">
        <f t="shared" si="10"/>
        <v>-2.1171483970362216E-13</v>
      </c>
      <c r="AI34" s="8">
        <f t="shared" si="11"/>
        <v>5.3413872126367127E-13</v>
      </c>
      <c r="AJ34" s="8">
        <f t="shared" si="12"/>
        <v>3.7252902984619141E-6</v>
      </c>
    </row>
    <row r="35" spans="2:36" x14ac:dyDescent="0.2">
      <c r="B35" t="s">
        <v>28</v>
      </c>
      <c r="C35" s="1">
        <v>9.81</v>
      </c>
      <c r="D35" t="s">
        <v>29</v>
      </c>
      <c r="F35" s="15" t="s">
        <v>100</v>
      </c>
      <c r="G35">
        <f xml:space="preserve"> $C$37 * (8 * ($C$17/1000))</f>
        <v>6.0489302702830177</v>
      </c>
      <c r="H35" t="s">
        <v>13</v>
      </c>
      <c r="AA35" s="8">
        <v>31</v>
      </c>
      <c r="AB35" s="8">
        <f t="shared" si="13"/>
        <v>945.14535367488861</v>
      </c>
      <c r="AC35">
        <v>-5.2729376420757035E-7</v>
      </c>
      <c r="AD35" s="8">
        <f t="shared" si="14"/>
        <v>945.14535553753376</v>
      </c>
      <c r="AE35">
        <v>4.0151212488126475E-7</v>
      </c>
      <c r="AF35" s="8">
        <f t="shared" si="9"/>
        <v>945.14535460621119</v>
      </c>
      <c r="AG35">
        <v>-6.289099019340938E-8</v>
      </c>
      <c r="AH35" s="8">
        <f t="shared" si="10"/>
        <v>3.3162026953824224E-14</v>
      </c>
      <c r="AI35" s="8">
        <f t="shared" si="11"/>
        <v>-2.5251495108442584E-14</v>
      </c>
      <c r="AJ35" s="8">
        <f t="shared" si="12"/>
        <v>1.862645149230957E-6</v>
      </c>
    </row>
    <row r="36" spans="2:36" x14ac:dyDescent="0.2">
      <c r="B36" t="s">
        <v>70</v>
      </c>
      <c r="C36" s="1">
        <v>5</v>
      </c>
      <c r="D36" t="s">
        <v>71</v>
      </c>
      <c r="F36" s="15" t="s">
        <v>101</v>
      </c>
      <c r="G36">
        <f xml:space="preserve"> $C$37 * (13 * ($C$17*2.20462/1000)^1.3 * 0.453592)</f>
        <v>12.2512605691158</v>
      </c>
      <c r="H36" t="s">
        <v>13</v>
      </c>
      <c r="AA36" s="8">
        <v>32</v>
      </c>
      <c r="AB36" s="8">
        <f t="shared" si="13"/>
        <v>945.14535460621119</v>
      </c>
      <c r="AC36">
        <v>-6.289099019340938E-8</v>
      </c>
      <c r="AD36" s="8">
        <f t="shared" si="14"/>
        <v>945.14535553753376</v>
      </c>
      <c r="AE36">
        <v>4.0151212488126475E-7</v>
      </c>
      <c r="AF36" s="8">
        <f t="shared" si="9"/>
        <v>945.14535507187247</v>
      </c>
      <c r="AG36">
        <v>1.6931062418734655E-7</v>
      </c>
      <c r="AH36" s="8">
        <f t="shared" si="10"/>
        <v>-1.0648112805406433E-14</v>
      </c>
      <c r="AI36" s="8">
        <f t="shared" si="11"/>
        <v>6.7980268482434772E-14</v>
      </c>
      <c r="AJ36" s="8">
        <f t="shared" si="12"/>
        <v>9.3132257461547852E-7</v>
      </c>
    </row>
    <row r="37" spans="2:36" x14ac:dyDescent="0.2">
      <c r="B37" t="s">
        <v>115</v>
      </c>
      <c r="C37" s="1">
        <v>0.8</v>
      </c>
      <c r="F37" s="3" t="s">
        <v>88</v>
      </c>
      <c r="G37" s="3">
        <f>$C$17 - $C$26 - SUM(G24:G36)</f>
        <v>-3.0513547244481742E-10</v>
      </c>
      <c r="H37" s="3" t="s">
        <v>13</v>
      </c>
      <c r="AA37" s="8">
        <v>33</v>
      </c>
      <c r="AB37" s="8">
        <f t="shared" si="13"/>
        <v>945.14535460621119</v>
      </c>
      <c r="AC37">
        <v>-6.289099019340938E-8</v>
      </c>
      <c r="AD37" s="8">
        <f t="shared" si="14"/>
        <v>945.14535507187247</v>
      </c>
      <c r="AE37">
        <v>1.6931062418734655E-7</v>
      </c>
      <c r="AF37" s="8">
        <f t="shared" si="9"/>
        <v>945.14535483904183</v>
      </c>
      <c r="AG37">
        <v>5.3209760153549723E-8</v>
      </c>
      <c r="AH37" s="8">
        <f t="shared" si="10"/>
        <v>-3.3464145040105608E-15</v>
      </c>
      <c r="AI37" s="8">
        <f t="shared" si="11"/>
        <v>9.0089777044565043E-15</v>
      </c>
      <c r="AJ37" s="8">
        <f t="shared" si="12"/>
        <v>4.6566128730773926E-7</v>
      </c>
    </row>
    <row r="38" spans="2:36" x14ac:dyDescent="0.2">
      <c r="F38" t="s">
        <v>89</v>
      </c>
      <c r="G38" s="10" t="str">
        <f>IF(ABS(G37)&lt;0.00001, "TRUE", "FALSE")</f>
        <v>TRUE</v>
      </c>
      <c r="AA38" s="8">
        <v>34</v>
      </c>
      <c r="AB38" s="8">
        <f t="shared" si="13"/>
        <v>945.14535460621119</v>
      </c>
      <c r="AC38">
        <v>-6.289099019340938E-8</v>
      </c>
      <c r="AD38" s="8">
        <f t="shared" si="14"/>
        <v>945.14535483904183</v>
      </c>
      <c r="AE38">
        <v>5.3209760153549723E-8</v>
      </c>
      <c r="AF38" s="8">
        <f t="shared" si="9"/>
        <v>945.14535472262651</v>
      </c>
      <c r="AG38">
        <v>-4.8404444896732457E-9</v>
      </c>
      <c r="AH38" s="8">
        <f t="shared" si="10"/>
        <v>3.0442034693178256E-16</v>
      </c>
      <c r="AI38" s="8">
        <f t="shared" si="11"/>
        <v>-2.5755889033208479E-16</v>
      </c>
      <c r="AJ38" s="8">
        <f t="shared" si="12"/>
        <v>2.3283064365386963E-7</v>
      </c>
    </row>
    <row r="39" spans="2:36" x14ac:dyDescent="0.2">
      <c r="B39" s="26" t="s">
        <v>30</v>
      </c>
      <c r="C39" s="26"/>
      <c r="D39" s="26"/>
      <c r="AA39" s="8">
        <v>35</v>
      </c>
      <c r="AB39" s="8">
        <f t="shared" si="13"/>
        <v>945.14535472262651</v>
      </c>
      <c r="AC39">
        <v>-4.8404444896732457E-9</v>
      </c>
      <c r="AD39" s="8">
        <f t="shared" si="14"/>
        <v>945.14535483904183</v>
      </c>
      <c r="AE39">
        <v>5.3209760153549723E-8</v>
      </c>
      <c r="AF39" s="8">
        <f t="shared" si="9"/>
        <v>945.14535478083417</v>
      </c>
      <c r="AG39">
        <v>2.4184828362194821E-8</v>
      </c>
      <c r="AH39" s="8">
        <f t="shared" si="10"/>
        <v>-1.1706531917947915E-16</v>
      </c>
      <c r="AI39" s="8">
        <f t="shared" si="11"/>
        <v>1.2868689165071532E-15</v>
      </c>
      <c r="AJ39" s="8">
        <f t="shared" si="12"/>
        <v>1.1641532182693481E-7</v>
      </c>
    </row>
    <row r="40" spans="2:36" x14ac:dyDescent="0.2">
      <c r="B40" t="s">
        <v>31</v>
      </c>
      <c r="C40" s="1">
        <v>30</v>
      </c>
      <c r="F40" s="2" t="s">
        <v>90</v>
      </c>
      <c r="G40" s="2"/>
      <c r="H40" s="2"/>
      <c r="AA40" s="8">
        <v>36</v>
      </c>
      <c r="AB40" s="8">
        <f t="shared" si="13"/>
        <v>945.14535472262651</v>
      </c>
      <c r="AC40">
        <v>-4.8404444896732457E-9</v>
      </c>
      <c r="AD40" s="8">
        <f t="shared" si="14"/>
        <v>945.14535478083417</v>
      </c>
      <c r="AE40">
        <v>2.4184828362194821E-8</v>
      </c>
      <c r="AF40" s="8">
        <f t="shared" si="9"/>
        <v>945.14535475173034</v>
      </c>
      <c r="AG40">
        <v>9.672135092841927E-9</v>
      </c>
      <c r="AH40" s="8">
        <f t="shared" si="10"/>
        <v>-4.6817433013521932E-17</v>
      </c>
      <c r="AI40" s="8">
        <f t="shared" si="11"/>
        <v>2.3391892711634328E-16</v>
      </c>
      <c r="AJ40" s="8">
        <f t="shared" si="12"/>
        <v>5.8207660913467407E-8</v>
      </c>
    </row>
    <row r="41" spans="2:36" x14ac:dyDescent="0.2">
      <c r="F41" t="s">
        <v>91</v>
      </c>
      <c r="G41">
        <f>ROUND($C$26/$C$17 * 100, 2)</f>
        <v>42.32</v>
      </c>
      <c r="H41" t="s">
        <v>92</v>
      </c>
      <c r="AA41" s="8">
        <v>37</v>
      </c>
      <c r="AB41" s="8">
        <f t="shared" si="13"/>
        <v>945.14535472262651</v>
      </c>
      <c r="AC41">
        <v>-4.8404444896732457E-9</v>
      </c>
      <c r="AD41" s="8">
        <f t="shared" si="14"/>
        <v>945.14535475173034</v>
      </c>
      <c r="AE41">
        <v>9.672135092841927E-9</v>
      </c>
      <c r="AF41" s="8">
        <f t="shared" si="9"/>
        <v>945.14535473717842</v>
      </c>
      <c r="AG41">
        <v>2.4159589884220622E-9</v>
      </c>
      <c r="AH41" s="8">
        <f t="shared" si="10"/>
        <v>-1.169431537278412E-17</v>
      </c>
      <c r="AI41" s="8">
        <f t="shared" si="11"/>
        <v>2.3367481714783911E-17</v>
      </c>
      <c r="AJ41" s="8">
        <f t="shared" si="12"/>
        <v>2.9103830456733704E-8</v>
      </c>
    </row>
    <row r="42" spans="2:36" x14ac:dyDescent="0.2">
      <c r="F42" s="16" t="s">
        <v>84</v>
      </c>
      <c r="G42">
        <f>ROUND(G24/$C$17 * 100, 2)</f>
        <v>10.83</v>
      </c>
      <c r="H42" t="s">
        <v>92</v>
      </c>
      <c r="AA42" s="8">
        <v>38</v>
      </c>
      <c r="AB42" s="8">
        <f t="shared" si="13"/>
        <v>945.14535472262651</v>
      </c>
      <c r="AC42">
        <v>-4.8404444896732457E-9</v>
      </c>
      <c r="AD42" s="8">
        <f t="shared" si="14"/>
        <v>945.14535473717842</v>
      </c>
      <c r="AE42">
        <v>2.4159589884220622E-9</v>
      </c>
      <c r="AF42" s="8">
        <f t="shared" si="9"/>
        <v>945.14535472990246</v>
      </c>
      <c r="AG42">
        <v>-1.2122427506255917E-9</v>
      </c>
      <c r="AH42" s="8">
        <f t="shared" si="10"/>
        <v>5.867793742411984E-18</v>
      </c>
      <c r="AI42" s="8">
        <f t="shared" si="11"/>
        <v>-2.9287287695233829E-18</v>
      </c>
      <c r="AJ42" s="8">
        <f t="shared" si="12"/>
        <v>1.4551915228366852E-8</v>
      </c>
    </row>
    <row r="43" spans="2:36" x14ac:dyDescent="0.2">
      <c r="F43" s="18" t="s">
        <v>118</v>
      </c>
      <c r="G43">
        <f>ROUND(SUM(G25:G27)/$C$17 * 100, 2)</f>
        <v>13.47</v>
      </c>
      <c r="H43" t="s">
        <v>92</v>
      </c>
      <c r="AA43" s="8">
        <v>39</v>
      </c>
      <c r="AB43" s="8">
        <f t="shared" si="13"/>
        <v>945.14535472990246</v>
      </c>
      <c r="AC43">
        <v>-1.2122427506255917E-9</v>
      </c>
      <c r="AD43" s="8">
        <f t="shared" si="14"/>
        <v>945.14535473717842</v>
      </c>
      <c r="AE43">
        <v>2.4159589884220622E-9</v>
      </c>
      <c r="AF43" s="8">
        <f t="shared" si="9"/>
        <v>945.14535473354044</v>
      </c>
      <c r="AG43">
        <v>6.0174443206051365E-10</v>
      </c>
      <c r="AH43" s="8">
        <f t="shared" si="10"/>
        <v>-7.2946032549467157E-19</v>
      </c>
      <c r="AI43" s="8">
        <f t="shared" si="11"/>
        <v>1.4537898693695269E-18</v>
      </c>
      <c r="AJ43" s="8">
        <f t="shared" si="12"/>
        <v>7.2759576141834259E-9</v>
      </c>
    </row>
    <row r="44" spans="2:36" x14ac:dyDescent="0.2">
      <c r="F44" s="17" t="s">
        <v>105</v>
      </c>
      <c r="G44">
        <f>ROUND(SUM(G28:G32)/$C$17 * 100, 2)</f>
        <v>28.71</v>
      </c>
      <c r="H44" t="s">
        <v>92</v>
      </c>
      <c r="AA44" s="8">
        <v>40</v>
      </c>
      <c r="AB44" s="8">
        <f t="shared" si="13"/>
        <v>945.14535472990246</v>
      </c>
      <c r="AC44">
        <v>-1.2122427506255917E-9</v>
      </c>
      <c r="AD44" s="8">
        <f t="shared" si="14"/>
        <v>945.14535473354044</v>
      </c>
      <c r="AE44">
        <v>6.0174443206051365E-10</v>
      </c>
      <c r="AF44" s="11">
        <f t="shared" si="9"/>
        <v>945.14535473172145</v>
      </c>
      <c r="AG44">
        <v>-3.0513547244481742E-10</v>
      </c>
      <c r="AH44" s="8">
        <f t="shared" si="10"/>
        <v>3.6989826442994492E-19</v>
      </c>
      <c r="AI44" s="8">
        <f t="shared" si="11"/>
        <v>-1.8361357156782317E-19</v>
      </c>
      <c r="AJ44" s="8">
        <f t="shared" si="12"/>
        <v>3.637978807091713E-9</v>
      </c>
    </row>
    <row r="45" spans="2:36" x14ac:dyDescent="0.2">
      <c r="F45" s="15" t="s">
        <v>106</v>
      </c>
      <c r="G45">
        <f>ROUND(SUM(G33:G36)/$C$17*100, 2)</f>
        <v>4.67</v>
      </c>
      <c r="H45" t="s">
        <v>92</v>
      </c>
    </row>
    <row r="46" spans="2:36" x14ac:dyDescent="0.2">
      <c r="F46" s="3" t="s">
        <v>93</v>
      </c>
      <c r="G46" s="3">
        <f>SUM(G41:G45)</f>
        <v>100.00000000000001</v>
      </c>
      <c r="H46" s="3" t="s">
        <v>92</v>
      </c>
    </row>
    <row r="55" spans="27:27" x14ac:dyDescent="0.2">
      <c r="AA55" s="8"/>
    </row>
    <row r="56" spans="27:27" x14ac:dyDescent="0.2">
      <c r="AA56" s="8"/>
    </row>
    <row r="57" spans="27:27" x14ac:dyDescent="0.2">
      <c r="AA57" s="8"/>
    </row>
  </sheetData>
  <mergeCells count="10">
    <mergeCell ref="B39:D39"/>
    <mergeCell ref="F3:H3"/>
    <mergeCell ref="F8:H8"/>
    <mergeCell ref="B16:D16"/>
    <mergeCell ref="B25:D25"/>
    <mergeCell ref="J3:L3"/>
    <mergeCell ref="J16:L16"/>
    <mergeCell ref="B1:D1"/>
    <mergeCell ref="B3:D3"/>
    <mergeCell ref="B11:D11"/>
  </mergeCells>
  <conditionalFormatting sqref="G38">
    <cfRule type="containsText" dxfId="5" priority="1" operator="containsText" text="FALSE">
      <formula>NOT(ISERROR(SEARCH("FALSE",G38)))</formula>
    </cfRule>
    <cfRule type="containsText" dxfId="4" priority="2" operator="containsText" text="TRUE">
      <formula>NOT(ISERROR(SEARCH("TRUE",G38)))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NOT(ISERROR(SEARCH("YES",G38)))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multirotor</vt:lpstr>
      <vt:lpstr>lift+cruise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2024-08-01T11:08:55Z</dcterms:modified>
</cp:coreProperties>
</file>