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2_singleobjective_optimizations/"/>
    </mc:Choice>
  </mc:AlternateContent>
  <xr:revisionPtr revIDLastSave="0" documentId="13_ncr:1_{5B30A187-7C5D-EF4B-9F91-0CF1DE180117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multirotor_opt_weight" sheetId="16" r:id="rId1"/>
    <sheet name="multirotor_opt_energy" sheetId="17" r:id="rId2"/>
    <sheet name="multirotor_opt_time" sheetId="18" r:id="rId3"/>
    <sheet name="liftcruise_opt_weight" sheetId="19" r:id="rId4"/>
    <sheet name="liftcruise_opt_energy" sheetId="20" r:id="rId5"/>
    <sheet name="liftcruise_opt_time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1" l="1"/>
  <c r="C7" i="20"/>
  <c r="C7" i="19"/>
  <c r="C8" i="17"/>
  <c r="C8" i="18"/>
  <c r="C8" i="16"/>
  <c r="C56" i="21"/>
  <c r="C55" i="21"/>
  <c r="C51" i="21"/>
  <c r="C50" i="21"/>
  <c r="AN44" i="21"/>
  <c r="AM44" i="21"/>
  <c r="AN43" i="21"/>
  <c r="AM43" i="21"/>
  <c r="AN42" i="21"/>
  <c r="AM42" i="21"/>
  <c r="AN41" i="21"/>
  <c r="AM41" i="21"/>
  <c r="C41" i="21"/>
  <c r="K21" i="21" s="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AN33" i="21"/>
  <c r="AM33" i="21"/>
  <c r="AN32" i="21"/>
  <c r="AM32" i="21"/>
  <c r="G32" i="21"/>
  <c r="AN31" i="21"/>
  <c r="AM31" i="21"/>
  <c r="AN30" i="21"/>
  <c r="AM30" i="21"/>
  <c r="AN29" i="21"/>
  <c r="AM29" i="21"/>
  <c r="K29" i="21"/>
  <c r="G29" i="21"/>
  <c r="G27" i="21" s="1"/>
  <c r="AN28" i="21"/>
  <c r="AM28" i="21"/>
  <c r="K28" i="21"/>
  <c r="AN27" i="21"/>
  <c r="AM27" i="21"/>
  <c r="K27" i="21"/>
  <c r="AN26" i="21"/>
  <c r="AM26" i="21"/>
  <c r="K26" i="21"/>
  <c r="G26" i="21"/>
  <c r="AN25" i="21"/>
  <c r="AM25" i="21"/>
  <c r="G25" i="21"/>
  <c r="AN24" i="21"/>
  <c r="AM24" i="21"/>
  <c r="K24" i="21"/>
  <c r="G24" i="21"/>
  <c r="AN23" i="21"/>
  <c r="AM23" i="21"/>
  <c r="K23" i="21"/>
  <c r="G23" i="21"/>
  <c r="C23" i="21"/>
  <c r="AN22" i="21"/>
  <c r="AM22" i="21"/>
  <c r="K22" i="21"/>
  <c r="AN21" i="21"/>
  <c r="AM21" i="21"/>
  <c r="O21" i="21"/>
  <c r="AN20" i="21"/>
  <c r="AM20" i="21"/>
  <c r="K20" i="21"/>
  <c r="AN19" i="21"/>
  <c r="AM19" i="21"/>
  <c r="O19" i="21"/>
  <c r="AN18" i="21"/>
  <c r="AM18" i="21"/>
  <c r="AN17" i="21"/>
  <c r="AM17" i="21"/>
  <c r="C17" i="21"/>
  <c r="AN16" i="21"/>
  <c r="AM16" i="21"/>
  <c r="C16" i="21"/>
  <c r="AN15" i="21"/>
  <c r="AM15" i="21"/>
  <c r="AN14" i="21"/>
  <c r="AM14" i="21"/>
  <c r="K14" i="21"/>
  <c r="G14" i="21"/>
  <c r="G15" i="21" s="1"/>
  <c r="AN13" i="21"/>
  <c r="AM13" i="21"/>
  <c r="AN12" i="21"/>
  <c r="AM12" i="21"/>
  <c r="AN11" i="21"/>
  <c r="AM11" i="21"/>
  <c r="O11" i="21"/>
  <c r="C11" i="21"/>
  <c r="C30" i="21" s="1"/>
  <c r="AN10" i="21"/>
  <c r="AM10" i="21"/>
  <c r="AN9" i="21"/>
  <c r="AM9" i="21"/>
  <c r="O9" i="21"/>
  <c r="C9" i="21"/>
  <c r="AN8" i="21"/>
  <c r="AM8" i="21"/>
  <c r="AN7" i="21"/>
  <c r="AM7" i="21"/>
  <c r="G7" i="21"/>
  <c r="AN6" i="21"/>
  <c r="AM6" i="21"/>
  <c r="O6" i="21"/>
  <c r="AO5" i="21"/>
  <c r="AN5" i="21"/>
  <c r="AI6" i="21" s="1"/>
  <c r="AM5" i="21"/>
  <c r="AG6" i="21" s="1"/>
  <c r="AK5" i="21"/>
  <c r="G5" i="21"/>
  <c r="G6" i="21" s="1"/>
  <c r="AD4" i="21"/>
  <c r="Z4" i="21"/>
  <c r="O4" i="21"/>
  <c r="G4" i="21"/>
  <c r="G10" i="21" s="1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O22" i="20"/>
  <c r="K22" i="20"/>
  <c r="AN21" i="20"/>
  <c r="AM21" i="20"/>
  <c r="O21" i="20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G14" i="20"/>
  <c r="G15" i="20" s="1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AN6" i="20"/>
  <c r="AM6" i="20"/>
  <c r="O6" i="20"/>
  <c r="AO5" i="20"/>
  <c r="AN5" i="20"/>
  <c r="AI6" i="20" s="1"/>
  <c r="AM5" i="20"/>
  <c r="AG6" i="20" s="1"/>
  <c r="AK5" i="20"/>
  <c r="G5" i="20"/>
  <c r="AD4" i="20"/>
  <c r="Z4" i="20"/>
  <c r="O4" i="20"/>
  <c r="G4" i="20"/>
  <c r="G10" i="20" s="1"/>
  <c r="C17" i="19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O22" i="19"/>
  <c r="K22" i="19"/>
  <c r="AN21" i="19"/>
  <c r="AM21" i="19"/>
  <c r="O21" i="19"/>
  <c r="AN20" i="19"/>
  <c r="AM20" i="19"/>
  <c r="K20" i="19"/>
  <c r="AN19" i="19"/>
  <c r="AM19" i="19"/>
  <c r="O19" i="19"/>
  <c r="AN18" i="19"/>
  <c r="AM18" i="19"/>
  <c r="AN17" i="19"/>
  <c r="AM17" i="19"/>
  <c r="AN16" i="19"/>
  <c r="AM16" i="19"/>
  <c r="C16" i="19"/>
  <c r="AN15" i="19"/>
  <c r="AM15" i="19"/>
  <c r="AN14" i="19"/>
  <c r="AM14" i="19"/>
  <c r="K14" i="19"/>
  <c r="G14" i="19"/>
  <c r="G15" i="19" s="1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AN6" i="19"/>
  <c r="AM6" i="19"/>
  <c r="O6" i="19"/>
  <c r="AO5" i="19"/>
  <c r="AN5" i="19"/>
  <c r="AI6" i="19" s="1"/>
  <c r="AM5" i="19"/>
  <c r="AG6" i="19" s="1"/>
  <c r="AK5" i="19"/>
  <c r="G5" i="19"/>
  <c r="AD4" i="19"/>
  <c r="Z4" i="19"/>
  <c r="O4" i="19"/>
  <c r="G4" i="19"/>
  <c r="G10" i="19" s="1"/>
  <c r="C14" i="18"/>
  <c r="C14" i="17"/>
  <c r="C14" i="16"/>
  <c r="O45" i="18"/>
  <c r="AN44" i="18"/>
  <c r="AM44" i="18"/>
  <c r="O44" i="18"/>
  <c r="AN43" i="18"/>
  <c r="AM43" i="18"/>
  <c r="AN42" i="18"/>
  <c r="AM42" i="18"/>
  <c r="AN41" i="18"/>
  <c r="AM41" i="18"/>
  <c r="AN40" i="18"/>
  <c r="AM40" i="18"/>
  <c r="AN39" i="18"/>
  <c r="AM39" i="18"/>
  <c r="AN38" i="18"/>
  <c r="AM38" i="18"/>
  <c r="AN37" i="18"/>
  <c r="AM37" i="18"/>
  <c r="AN36" i="18"/>
  <c r="AM36" i="18"/>
  <c r="AN35" i="18"/>
  <c r="AM35" i="18"/>
  <c r="AN34" i="18"/>
  <c r="AM34" i="18"/>
  <c r="G34" i="18"/>
  <c r="AN33" i="18"/>
  <c r="AM33" i="18"/>
  <c r="C33" i="18"/>
  <c r="AN32" i="18"/>
  <c r="AM32" i="18"/>
  <c r="AN31" i="18"/>
  <c r="AM31" i="18"/>
  <c r="K31" i="18"/>
  <c r="C31" i="18"/>
  <c r="AN30" i="18"/>
  <c r="AM30" i="18"/>
  <c r="AN29" i="18"/>
  <c r="AM29" i="18"/>
  <c r="AN28" i="18"/>
  <c r="AM28" i="18"/>
  <c r="G28" i="18"/>
  <c r="AN27" i="18"/>
  <c r="AM27" i="18"/>
  <c r="AN26" i="18"/>
  <c r="AM26" i="18"/>
  <c r="K26" i="18"/>
  <c r="G26" i="18"/>
  <c r="AN25" i="18"/>
  <c r="AM25" i="18"/>
  <c r="K25" i="18"/>
  <c r="G25" i="18"/>
  <c r="G27" i="18" s="1"/>
  <c r="AN24" i="18"/>
  <c r="AM24" i="18"/>
  <c r="K24" i="18"/>
  <c r="AN23" i="18"/>
  <c r="AM23" i="18"/>
  <c r="K23" i="18"/>
  <c r="AN22" i="18"/>
  <c r="AM22" i="18"/>
  <c r="AN21" i="18"/>
  <c r="AM21" i="18"/>
  <c r="K21" i="18"/>
  <c r="AN20" i="18"/>
  <c r="AM20" i="18"/>
  <c r="K20" i="18"/>
  <c r="AN19" i="18"/>
  <c r="AM19" i="18"/>
  <c r="O19" i="18"/>
  <c r="G16" i="18" s="1"/>
  <c r="G17" i="18" s="1"/>
  <c r="K19" i="18"/>
  <c r="AN18" i="18"/>
  <c r="AM18" i="18"/>
  <c r="K18" i="18"/>
  <c r="AN17" i="18"/>
  <c r="AM17" i="18"/>
  <c r="AN16" i="18"/>
  <c r="AM16" i="18"/>
  <c r="AN15" i="18"/>
  <c r="AM15" i="18"/>
  <c r="AN14" i="18"/>
  <c r="AM14" i="18"/>
  <c r="G15" i="18"/>
  <c r="AN13" i="18"/>
  <c r="AM13" i="18"/>
  <c r="C13" i="18"/>
  <c r="K39" i="18" s="1"/>
  <c r="AN12" i="18"/>
  <c r="AM12" i="18"/>
  <c r="K12" i="18"/>
  <c r="G12" i="18"/>
  <c r="AN11" i="18"/>
  <c r="AM11" i="18"/>
  <c r="AN10" i="18"/>
  <c r="AM10" i="18"/>
  <c r="C10" i="18"/>
  <c r="C20" i="18" s="1"/>
  <c r="AN9" i="18"/>
  <c r="AM9" i="18"/>
  <c r="G9" i="18"/>
  <c r="AN8" i="18"/>
  <c r="AM8" i="18"/>
  <c r="AN7" i="18"/>
  <c r="AM7" i="18"/>
  <c r="G7" i="18"/>
  <c r="G8" i="18" s="1"/>
  <c r="AN6" i="18"/>
  <c r="AM6" i="18"/>
  <c r="AO5" i="18"/>
  <c r="AN5" i="18"/>
  <c r="AM5" i="18"/>
  <c r="AK5" i="18"/>
  <c r="O5" i="18"/>
  <c r="O7" i="18" s="1"/>
  <c r="O10" i="18" s="1"/>
  <c r="G5" i="18"/>
  <c r="G6" i="18" s="1"/>
  <c r="AD4" i="18"/>
  <c r="Z4" i="18"/>
  <c r="O4" i="18"/>
  <c r="G4" i="18"/>
  <c r="O45" i="17"/>
  <c r="AN44" i="17"/>
  <c r="AM44" i="17"/>
  <c r="O44" i="17"/>
  <c r="AN43" i="17"/>
  <c r="AM43" i="17"/>
  <c r="AN42" i="17"/>
  <c r="AM42" i="17"/>
  <c r="AN41" i="17"/>
  <c r="AM41" i="17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G34" i="17"/>
  <c r="AN33" i="17"/>
  <c r="AM33" i="17"/>
  <c r="C33" i="17"/>
  <c r="AN32" i="17"/>
  <c r="AM32" i="17"/>
  <c r="AN31" i="17"/>
  <c r="AM31" i="17"/>
  <c r="K31" i="17"/>
  <c r="C31" i="17"/>
  <c r="AN30" i="17"/>
  <c r="AM30" i="17"/>
  <c r="AN29" i="17"/>
  <c r="AM29" i="17"/>
  <c r="AN28" i="17"/>
  <c r="AM28" i="17"/>
  <c r="G28" i="17"/>
  <c r="AN27" i="17"/>
  <c r="AM27" i="17"/>
  <c r="AN26" i="17"/>
  <c r="AM26" i="17"/>
  <c r="K26" i="17"/>
  <c r="G26" i="17"/>
  <c r="AN25" i="17"/>
  <c r="AM25" i="17"/>
  <c r="K25" i="17"/>
  <c r="G25" i="17"/>
  <c r="G27" i="17" s="1"/>
  <c r="AN24" i="17"/>
  <c r="AM24" i="17"/>
  <c r="K24" i="17"/>
  <c r="AN23" i="17"/>
  <c r="AM23" i="17"/>
  <c r="K23" i="17"/>
  <c r="AN22" i="17"/>
  <c r="AM22" i="17"/>
  <c r="AN21" i="17"/>
  <c r="AM21" i="17"/>
  <c r="K21" i="17"/>
  <c r="AN20" i="17"/>
  <c r="AM20" i="17"/>
  <c r="K20" i="17"/>
  <c r="AN19" i="17"/>
  <c r="AM19" i="17"/>
  <c r="O19" i="17"/>
  <c r="G16" i="17" s="1"/>
  <c r="G17" i="17" s="1"/>
  <c r="K19" i="17"/>
  <c r="AN18" i="17"/>
  <c r="AM18" i="17"/>
  <c r="K18" i="17"/>
  <c r="AN17" i="17"/>
  <c r="AM17" i="17"/>
  <c r="AN16" i="17"/>
  <c r="AM16" i="17"/>
  <c r="AN15" i="17"/>
  <c r="AM15" i="17"/>
  <c r="AN14" i="17"/>
  <c r="AM14" i="17"/>
  <c r="G15" i="17"/>
  <c r="AN13" i="17"/>
  <c r="AM13" i="17"/>
  <c r="C13" i="17"/>
  <c r="K39" i="17" s="1"/>
  <c r="AN12" i="17"/>
  <c r="AM12" i="17"/>
  <c r="K12" i="17"/>
  <c r="AN11" i="17"/>
  <c r="AM11" i="17"/>
  <c r="AN10" i="17"/>
  <c r="AM10" i="17"/>
  <c r="C10" i="17"/>
  <c r="C20" i="17" s="1"/>
  <c r="AN9" i="17"/>
  <c r="AM9" i="17"/>
  <c r="G9" i="17"/>
  <c r="AN8" i="17"/>
  <c r="AM8" i="17"/>
  <c r="AN7" i="17"/>
  <c r="AM7" i="17"/>
  <c r="G7" i="17"/>
  <c r="G8" i="17" s="1"/>
  <c r="AN6" i="17"/>
  <c r="AM6" i="17"/>
  <c r="AO5" i="17"/>
  <c r="AN5" i="17"/>
  <c r="AI6" i="17" s="1"/>
  <c r="AM5" i="17"/>
  <c r="AK5" i="17"/>
  <c r="O5" i="17"/>
  <c r="O7" i="17" s="1"/>
  <c r="O10" i="17" s="1"/>
  <c r="G5" i="17"/>
  <c r="AD4" i="17"/>
  <c r="Z4" i="17"/>
  <c r="O4" i="17"/>
  <c r="G4" i="17"/>
  <c r="G12" i="17" s="1"/>
  <c r="K22" i="17" s="1"/>
  <c r="O45" i="16"/>
  <c r="AN44" i="16"/>
  <c r="AM44" i="16"/>
  <c r="O44" i="16"/>
  <c r="AN43" i="16"/>
  <c r="AM43" i="16"/>
  <c r="AN42" i="16"/>
  <c r="AM42" i="16"/>
  <c r="AN41" i="16"/>
  <c r="AM41" i="16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G34" i="16"/>
  <c r="AN33" i="16"/>
  <c r="AM33" i="16"/>
  <c r="C33" i="16"/>
  <c r="AN32" i="16"/>
  <c r="AM32" i="16"/>
  <c r="AN31" i="16"/>
  <c r="AM31" i="16"/>
  <c r="K31" i="16"/>
  <c r="C31" i="16"/>
  <c r="AN30" i="16"/>
  <c r="AM30" i="16"/>
  <c r="AN29" i="16"/>
  <c r="AM29" i="16"/>
  <c r="AN28" i="16"/>
  <c r="AM28" i="16"/>
  <c r="G28" i="16"/>
  <c r="AN27" i="16"/>
  <c r="AM27" i="16"/>
  <c r="G27" i="16"/>
  <c r="AN26" i="16"/>
  <c r="AM26" i="16"/>
  <c r="K26" i="16"/>
  <c r="G26" i="16"/>
  <c r="AN25" i="16"/>
  <c r="AM25" i="16"/>
  <c r="K25" i="16"/>
  <c r="G25" i="16"/>
  <c r="G31" i="16" s="1"/>
  <c r="G29" i="16" s="1"/>
  <c r="AN24" i="16"/>
  <c r="AM24" i="16"/>
  <c r="K24" i="16"/>
  <c r="AN23" i="16"/>
  <c r="AM23" i="16"/>
  <c r="K23" i="16"/>
  <c r="AN22" i="16"/>
  <c r="AM22" i="16"/>
  <c r="AN21" i="16"/>
  <c r="AM21" i="16"/>
  <c r="K21" i="16"/>
  <c r="AN20" i="16"/>
  <c r="AM20" i="16"/>
  <c r="K20" i="16"/>
  <c r="AN19" i="16"/>
  <c r="AM19" i="16"/>
  <c r="O19" i="16"/>
  <c r="G16" i="16" s="1"/>
  <c r="G17" i="16" s="1"/>
  <c r="K19" i="16"/>
  <c r="AN18" i="16"/>
  <c r="AM18" i="16"/>
  <c r="K18" i="16"/>
  <c r="AN17" i="16"/>
  <c r="AM17" i="16"/>
  <c r="AN16" i="16"/>
  <c r="AM16" i="16"/>
  <c r="AN15" i="16"/>
  <c r="AM15" i="16"/>
  <c r="AN14" i="16"/>
  <c r="AM14" i="16"/>
  <c r="AN13" i="16"/>
  <c r="AM13" i="16"/>
  <c r="C13" i="16"/>
  <c r="K39" i="16" s="1"/>
  <c r="AN12" i="16"/>
  <c r="AM12" i="16"/>
  <c r="K12" i="16"/>
  <c r="AN11" i="16"/>
  <c r="AM11" i="16"/>
  <c r="AN10" i="16"/>
  <c r="AM10" i="16"/>
  <c r="C10" i="16"/>
  <c r="C20" i="16" s="1"/>
  <c r="AN9" i="16"/>
  <c r="AM9" i="16"/>
  <c r="G9" i="16"/>
  <c r="AN8" i="16"/>
  <c r="AM8" i="16"/>
  <c r="AN7" i="16"/>
  <c r="AM7" i="16"/>
  <c r="G7" i="16"/>
  <c r="G8" i="16" s="1"/>
  <c r="AN6" i="16"/>
  <c r="AM6" i="16"/>
  <c r="AO5" i="16"/>
  <c r="AN5" i="16"/>
  <c r="AI6" i="16" s="1"/>
  <c r="AM5" i="16"/>
  <c r="AK5" i="16"/>
  <c r="O5" i="16"/>
  <c r="O7" i="16" s="1"/>
  <c r="O10" i="16" s="1"/>
  <c r="G5" i="16"/>
  <c r="AD4" i="16"/>
  <c r="Z4" i="16"/>
  <c r="O4" i="16"/>
  <c r="G4" i="16"/>
  <c r="G12" i="16" s="1"/>
  <c r="O25" i="19" l="1"/>
  <c r="AK6" i="21"/>
  <c r="AK6" i="20"/>
  <c r="AK6" i="19"/>
  <c r="AI7" i="19" s="1"/>
  <c r="K46" i="21"/>
  <c r="AG7" i="21"/>
  <c r="K38" i="21"/>
  <c r="K46" i="20"/>
  <c r="K4" i="21"/>
  <c r="K25" i="21"/>
  <c r="K37" i="21" s="1"/>
  <c r="G8" i="21"/>
  <c r="G9" i="21" s="1"/>
  <c r="G28" i="21"/>
  <c r="O5" i="21"/>
  <c r="G13" i="21"/>
  <c r="K11" i="21" s="1"/>
  <c r="O22" i="21"/>
  <c r="O25" i="21" s="1"/>
  <c r="AI7" i="21"/>
  <c r="AO6" i="21"/>
  <c r="K34" i="21"/>
  <c r="K42" i="21"/>
  <c r="AG7" i="20"/>
  <c r="AI7" i="20"/>
  <c r="K38" i="20"/>
  <c r="G28" i="20"/>
  <c r="O25" i="20"/>
  <c r="K25" i="20"/>
  <c r="K37" i="20" s="1"/>
  <c r="G8" i="20"/>
  <c r="G9" i="20" s="1"/>
  <c r="K4" i="20"/>
  <c r="K42" i="20"/>
  <c r="K34" i="20"/>
  <c r="AO6" i="20"/>
  <c r="G6" i="20"/>
  <c r="O5" i="20"/>
  <c r="O12" i="20" s="1"/>
  <c r="O13" i="20" s="1"/>
  <c r="O16" i="20" s="1"/>
  <c r="G13" i="20"/>
  <c r="K46" i="19"/>
  <c r="G28" i="19"/>
  <c r="K38" i="19"/>
  <c r="AO6" i="19"/>
  <c r="G13" i="19"/>
  <c r="O5" i="19"/>
  <c r="O12" i="19" s="1"/>
  <c r="O13" i="19" s="1"/>
  <c r="O16" i="19" s="1"/>
  <c r="K25" i="19"/>
  <c r="K37" i="19" s="1"/>
  <c r="K4" i="19"/>
  <c r="G8" i="19"/>
  <c r="G9" i="19" s="1"/>
  <c r="G6" i="19"/>
  <c r="AG7" i="19"/>
  <c r="AK7" i="19" s="1"/>
  <c r="AI8" i="19" s="1"/>
  <c r="K42" i="19"/>
  <c r="K34" i="19"/>
  <c r="AG6" i="16"/>
  <c r="AO6" i="16" s="1"/>
  <c r="AG6" i="17"/>
  <c r="AO6" i="17" s="1"/>
  <c r="AI6" i="18"/>
  <c r="O8" i="17"/>
  <c r="O9" i="17" s="1"/>
  <c r="O13" i="17" s="1"/>
  <c r="O14" i="17" s="1"/>
  <c r="O17" i="17" s="1"/>
  <c r="O20" i="17" s="1"/>
  <c r="O23" i="17" s="1"/>
  <c r="K35" i="18"/>
  <c r="K43" i="18"/>
  <c r="O8" i="18"/>
  <c r="O9" i="18" s="1"/>
  <c r="O13" i="18" s="1"/>
  <c r="K9" i="18"/>
  <c r="AG6" i="18"/>
  <c r="G10" i="18"/>
  <c r="G11" i="18" s="1"/>
  <c r="O46" i="18"/>
  <c r="O47" i="18" s="1"/>
  <c r="K22" i="18"/>
  <c r="K34" i="18" s="1"/>
  <c r="G31" i="18"/>
  <c r="G29" i="18" s="1"/>
  <c r="G30" i="18" s="1"/>
  <c r="K47" i="18"/>
  <c r="K43" i="17"/>
  <c r="K35" i="17"/>
  <c r="O46" i="17"/>
  <c r="O47" i="17" s="1"/>
  <c r="G10" i="17"/>
  <c r="G11" i="17" s="1"/>
  <c r="K34" i="17"/>
  <c r="K42" i="17"/>
  <c r="G6" i="17"/>
  <c r="K9" i="17" s="1"/>
  <c r="G31" i="17"/>
  <c r="G29" i="17" s="1"/>
  <c r="G30" i="17" s="1"/>
  <c r="K47" i="17"/>
  <c r="O8" i="16"/>
  <c r="O9" i="16" s="1"/>
  <c r="O13" i="16" s="1"/>
  <c r="O14" i="16" s="1"/>
  <c r="O17" i="16" s="1"/>
  <c r="O20" i="16" s="1"/>
  <c r="O23" i="16" s="1"/>
  <c r="K35" i="16"/>
  <c r="K43" i="16"/>
  <c r="O46" i="16"/>
  <c r="O47" i="16" s="1"/>
  <c r="G10" i="16"/>
  <c r="G11" i="16" s="1"/>
  <c r="K22" i="16"/>
  <c r="K42" i="16" s="1"/>
  <c r="G30" i="16"/>
  <c r="G6" i="16"/>
  <c r="G15" i="16"/>
  <c r="K47" i="16"/>
  <c r="AO7" i="21" l="1"/>
  <c r="AK6" i="16"/>
  <c r="AI7" i="16" s="1"/>
  <c r="AO7" i="20"/>
  <c r="O10" i="21"/>
  <c r="K5" i="21"/>
  <c r="AK7" i="21"/>
  <c r="O12" i="21"/>
  <c r="O13" i="21" s="1"/>
  <c r="O16" i="21" s="1"/>
  <c r="K45" i="21"/>
  <c r="AK7" i="20"/>
  <c r="AI8" i="20" s="1"/>
  <c r="K45" i="20"/>
  <c r="K5" i="20"/>
  <c r="O10" i="20"/>
  <c r="O14" i="20"/>
  <c r="K11" i="20"/>
  <c r="AG8" i="19"/>
  <c r="AO8" i="19" s="1"/>
  <c r="AG7" i="16"/>
  <c r="AK7" i="16" s="1"/>
  <c r="AI8" i="16" s="1"/>
  <c r="AK6" i="18"/>
  <c r="AI7" i="18" s="1"/>
  <c r="AK6" i="17"/>
  <c r="AI7" i="17" s="1"/>
  <c r="K45" i="19"/>
  <c r="O14" i="19"/>
  <c r="O10" i="19"/>
  <c r="K5" i="19"/>
  <c r="K11" i="19"/>
  <c r="AO7" i="19"/>
  <c r="O18" i="16"/>
  <c r="O21" i="16" s="1"/>
  <c r="G21" i="16" s="1"/>
  <c r="O18" i="17"/>
  <c r="O21" i="17" s="1"/>
  <c r="G21" i="17" s="1"/>
  <c r="O14" i="18"/>
  <c r="O17" i="18" s="1"/>
  <c r="O20" i="18" s="1"/>
  <c r="O23" i="18" s="1"/>
  <c r="O18" i="18"/>
  <c r="AG7" i="18"/>
  <c r="K42" i="18"/>
  <c r="AO6" i="18"/>
  <c r="K34" i="16"/>
  <c r="K9" i="16"/>
  <c r="AI8" i="21" l="1"/>
  <c r="AG8" i="21"/>
  <c r="AK8" i="21" s="1"/>
  <c r="AI9" i="21" s="1"/>
  <c r="AG8" i="20"/>
  <c r="AK8" i="20" s="1"/>
  <c r="AG7" i="17"/>
  <c r="AK7" i="17" s="1"/>
  <c r="AG8" i="17" s="1"/>
  <c r="O14" i="21"/>
  <c r="O20" i="21" s="1"/>
  <c r="AO7" i="16"/>
  <c r="AK8" i="19"/>
  <c r="AI9" i="19" s="1"/>
  <c r="O20" i="20"/>
  <c r="O15" i="20"/>
  <c r="O20" i="19"/>
  <c r="O15" i="19"/>
  <c r="O26" i="17"/>
  <c r="O28" i="17" s="1"/>
  <c r="O26" i="16"/>
  <c r="O28" i="16" s="1"/>
  <c r="K14" i="17"/>
  <c r="K15" i="17" s="1"/>
  <c r="G18" i="17"/>
  <c r="K14" i="16"/>
  <c r="K15" i="16" s="1"/>
  <c r="G18" i="16"/>
  <c r="AI8" i="17"/>
  <c r="AA4" i="17"/>
  <c r="Y4" i="17"/>
  <c r="K14" i="18"/>
  <c r="K15" i="18" s="1"/>
  <c r="G18" i="18"/>
  <c r="O21" i="18"/>
  <c r="O26" i="18"/>
  <c r="O28" i="18" s="1"/>
  <c r="AK7" i="18"/>
  <c r="AI8" i="18" s="1"/>
  <c r="AO7" i="18"/>
  <c r="Y4" i="16"/>
  <c r="W4" i="16"/>
  <c r="AA4" i="16"/>
  <c r="W4" i="17"/>
  <c r="AG8" i="16"/>
  <c r="AO8" i="16" s="1"/>
  <c r="AO7" i="17" l="1"/>
  <c r="O15" i="21"/>
  <c r="AG9" i="21"/>
  <c r="AK9" i="21" s="1"/>
  <c r="AI10" i="21" s="1"/>
  <c r="AO8" i="21"/>
  <c r="AI9" i="20"/>
  <c r="AG9" i="20"/>
  <c r="AO8" i="20"/>
  <c r="AG9" i="19"/>
  <c r="AO9" i="19" s="1"/>
  <c r="G16" i="21"/>
  <c r="O23" i="21"/>
  <c r="K16" i="21"/>
  <c r="O28" i="21"/>
  <c r="O30" i="21" s="1"/>
  <c r="O23" i="20"/>
  <c r="G16" i="20"/>
  <c r="K16" i="20"/>
  <c r="O28" i="20"/>
  <c r="O30" i="20" s="1"/>
  <c r="O23" i="19"/>
  <c r="G16" i="19"/>
  <c r="K16" i="19"/>
  <c r="O28" i="19"/>
  <c r="O30" i="19" s="1"/>
  <c r="AK8" i="17"/>
  <c r="AI9" i="17" s="1"/>
  <c r="AB4" i="17"/>
  <c r="V5" i="17" s="1"/>
  <c r="W5" i="17" s="1"/>
  <c r="AG8" i="18"/>
  <c r="AO8" i="18" s="1"/>
  <c r="AC4" i="17"/>
  <c r="X5" i="17" s="1"/>
  <c r="Y5" i="17" s="1"/>
  <c r="AB4" i="16"/>
  <c r="V5" i="16" s="1"/>
  <c r="W5" i="16" s="1"/>
  <c r="AO8" i="17"/>
  <c r="AC4" i="16"/>
  <c r="X5" i="16" s="1"/>
  <c r="W4" i="18"/>
  <c r="Y4" i="18"/>
  <c r="G21" i="18"/>
  <c r="AA4" i="18"/>
  <c r="AK8" i="16"/>
  <c r="AI9" i="16" s="1"/>
  <c r="AK9" i="20" l="1"/>
  <c r="AO9" i="21"/>
  <c r="AG10" i="21"/>
  <c r="AK10" i="21" s="1"/>
  <c r="AK9" i="19"/>
  <c r="AI10" i="20"/>
  <c r="AG10" i="20"/>
  <c r="AO9" i="20"/>
  <c r="G19" i="21"/>
  <c r="AA4" i="21"/>
  <c r="W4" i="21"/>
  <c r="Y4" i="21"/>
  <c r="G19" i="20"/>
  <c r="W4" i="20"/>
  <c r="AA4" i="20"/>
  <c r="Y4" i="20"/>
  <c r="AG10" i="19"/>
  <c r="AI10" i="19"/>
  <c r="G19" i="19"/>
  <c r="W4" i="19"/>
  <c r="AA4" i="19"/>
  <c r="Y4" i="19"/>
  <c r="AG9" i="16"/>
  <c r="AK9" i="16" s="1"/>
  <c r="AG10" i="16" s="1"/>
  <c r="AG9" i="17"/>
  <c r="AK9" i="17" s="1"/>
  <c r="AG10" i="17" s="1"/>
  <c r="AD5" i="16"/>
  <c r="AK8" i="18"/>
  <c r="AI9" i="18" s="1"/>
  <c r="AD5" i="17"/>
  <c r="AG9" i="18"/>
  <c r="Z5" i="16"/>
  <c r="AA5" i="16" s="1"/>
  <c r="AB5" i="16" s="1"/>
  <c r="V6" i="16" s="1"/>
  <c r="W6" i="16" s="1"/>
  <c r="Y5" i="16"/>
  <c r="Z5" i="17"/>
  <c r="AA5" i="17" s="1"/>
  <c r="AC5" i="17" s="1"/>
  <c r="X6" i="17" s="1"/>
  <c r="Y6" i="17" s="1"/>
  <c r="AC4" i="18"/>
  <c r="X5" i="18" s="1"/>
  <c r="AB4" i="18"/>
  <c r="V5" i="18" s="1"/>
  <c r="AO10" i="21" l="1"/>
  <c r="AC4" i="21"/>
  <c r="X5" i="21" s="1"/>
  <c r="AK10" i="20"/>
  <c r="AI11" i="20"/>
  <c r="AG11" i="20"/>
  <c r="AO10" i="20"/>
  <c r="AI10" i="17"/>
  <c r="AK10" i="17" s="1"/>
  <c r="AB4" i="21"/>
  <c r="V5" i="21" s="1"/>
  <c r="Z5" i="21" s="1"/>
  <c r="AA5" i="21" s="1"/>
  <c r="AI11" i="21"/>
  <c r="AG11" i="21"/>
  <c r="Y5" i="21"/>
  <c r="AB4" i="20"/>
  <c r="V5" i="20" s="1"/>
  <c r="AC4" i="20"/>
  <c r="X5" i="20" s="1"/>
  <c r="AO10" i="19"/>
  <c r="AK10" i="19"/>
  <c r="AO9" i="16"/>
  <c r="AB4" i="19"/>
  <c r="V5" i="19" s="1"/>
  <c r="AC4" i="19"/>
  <c r="X5" i="19" s="1"/>
  <c r="AO9" i="17"/>
  <c r="AO9" i="18"/>
  <c r="AK9" i="18"/>
  <c r="AG10" i="18" s="1"/>
  <c r="AC5" i="16"/>
  <c r="X6" i="16" s="1"/>
  <c r="AD6" i="16" s="1"/>
  <c r="AI10" i="16"/>
  <c r="AK10" i="16" s="1"/>
  <c r="AI11" i="16" s="1"/>
  <c r="AB5" i="17"/>
  <c r="V6" i="17" s="1"/>
  <c r="AD6" i="17" s="1"/>
  <c r="Z5" i="18"/>
  <c r="AA5" i="18" s="1"/>
  <c r="W5" i="18"/>
  <c r="AD5" i="18"/>
  <c r="Y5" i="18"/>
  <c r="AO10" i="17" l="1"/>
  <c r="W5" i="21"/>
  <c r="AD5" i="21"/>
  <c r="AK11" i="20"/>
  <c r="AO11" i="20"/>
  <c r="AI10" i="18"/>
  <c r="AK10" i="18" s="1"/>
  <c r="AG11" i="18" s="1"/>
  <c r="AC5" i="21"/>
  <c r="X6" i="21" s="1"/>
  <c r="Y6" i="21" s="1"/>
  <c r="AB5" i="21"/>
  <c r="V6" i="21" s="1"/>
  <c r="AK11" i="21"/>
  <c r="AG12" i="21"/>
  <c r="AI12" i="21"/>
  <c r="AO11" i="21"/>
  <c r="AD5" i="20"/>
  <c r="Y5" i="20"/>
  <c r="Z5" i="20"/>
  <c r="AA5" i="20" s="1"/>
  <c r="W5" i="20"/>
  <c r="AG11" i="19"/>
  <c r="AI11" i="19"/>
  <c r="AD5" i="19"/>
  <c r="Y5" i="19"/>
  <c r="Z5" i="19"/>
  <c r="AA5" i="19" s="1"/>
  <c r="W5" i="19"/>
  <c r="AO10" i="16"/>
  <c r="Z6" i="16"/>
  <c r="AA6" i="16" s="1"/>
  <c r="AB6" i="16" s="1"/>
  <c r="V7" i="16" s="1"/>
  <c r="W7" i="16" s="1"/>
  <c r="Y6" i="16"/>
  <c r="AC5" i="18"/>
  <c r="X6" i="18" s="1"/>
  <c r="Y6" i="18" s="1"/>
  <c r="AG11" i="16"/>
  <c r="AK11" i="16" s="1"/>
  <c r="AG12" i="16" s="1"/>
  <c r="Z6" i="17"/>
  <c r="AA6" i="17" s="1"/>
  <c r="AC6" i="17" s="1"/>
  <c r="X7" i="17" s="1"/>
  <c r="Y7" i="17" s="1"/>
  <c r="W6" i="17"/>
  <c r="AG11" i="17"/>
  <c r="AI11" i="17"/>
  <c r="AB5" i="18"/>
  <c r="V6" i="18" s="1"/>
  <c r="Z6" i="21" l="1"/>
  <c r="AA6" i="21" s="1"/>
  <c r="AC6" i="21" s="1"/>
  <c r="X7" i="21" s="1"/>
  <c r="AD6" i="21"/>
  <c r="AO10" i="18"/>
  <c r="AI12" i="20"/>
  <c r="AG12" i="20"/>
  <c r="W6" i="21"/>
  <c r="AO12" i="21"/>
  <c r="AK12" i="21"/>
  <c r="AB5" i="20"/>
  <c r="V6" i="20" s="1"/>
  <c r="W6" i="20" s="1"/>
  <c r="AC5" i="20"/>
  <c r="X6" i="20" s="1"/>
  <c r="AO11" i="19"/>
  <c r="AK11" i="19"/>
  <c r="AB5" i="19"/>
  <c r="V6" i="19" s="1"/>
  <c r="W6" i="19" s="1"/>
  <c r="AI11" i="18"/>
  <c r="AO11" i="18" s="1"/>
  <c r="AC5" i="19"/>
  <c r="X6" i="19" s="1"/>
  <c r="AC6" i="16"/>
  <c r="X7" i="16" s="1"/>
  <c r="Y7" i="16" s="1"/>
  <c r="AO11" i="16"/>
  <c r="AB6" i="17"/>
  <c r="V7" i="17" s="1"/>
  <c r="Z7" i="17" s="1"/>
  <c r="AA7" i="17" s="1"/>
  <c r="AC7" i="17" s="1"/>
  <c r="X8" i="17" s="1"/>
  <c r="Y8" i="17" s="1"/>
  <c r="AO11" i="17"/>
  <c r="AK11" i="17"/>
  <c r="AI12" i="17" s="1"/>
  <c r="AI12" i="16"/>
  <c r="AO12" i="16" s="1"/>
  <c r="W6" i="18"/>
  <c r="Z6" i="18"/>
  <c r="AA6" i="18" s="1"/>
  <c r="AC6" i="18" s="1"/>
  <c r="X7" i="18" s="1"/>
  <c r="AD6" i="18"/>
  <c r="AO12" i="20" l="1"/>
  <c r="AB6" i="21"/>
  <c r="V7" i="21" s="1"/>
  <c r="W7" i="21" s="1"/>
  <c r="AK12" i="20"/>
  <c r="AG12" i="17"/>
  <c r="AI13" i="21"/>
  <c r="AG13" i="21"/>
  <c r="Y7" i="21"/>
  <c r="AK11" i="18"/>
  <c r="AI12" i="18" s="1"/>
  <c r="AD6" i="20"/>
  <c r="Y6" i="20"/>
  <c r="Z6" i="20"/>
  <c r="AA6" i="20" s="1"/>
  <c r="AB6" i="20" s="1"/>
  <c r="V7" i="20" s="1"/>
  <c r="AG12" i="19"/>
  <c r="AI12" i="19"/>
  <c r="AD6" i="19"/>
  <c r="Y6" i="19"/>
  <c r="Z6" i="19"/>
  <c r="AA6" i="19" s="1"/>
  <c r="AB6" i="19" s="1"/>
  <c r="V7" i="19" s="1"/>
  <c r="AD7" i="16"/>
  <c r="Z7" i="16"/>
  <c r="AA7" i="16" s="1"/>
  <c r="AB7" i="16" s="1"/>
  <c r="V8" i="16" s="1"/>
  <c r="W8" i="16" s="1"/>
  <c r="W7" i="17"/>
  <c r="AB7" i="17" s="1"/>
  <c r="V8" i="17" s="1"/>
  <c r="AD7" i="17"/>
  <c r="AK12" i="16"/>
  <c r="AI13" i="16" s="1"/>
  <c r="AK12" i="17"/>
  <c r="AI13" i="17" s="1"/>
  <c r="AO12" i="17"/>
  <c r="Y7" i="18"/>
  <c r="AB6" i="18"/>
  <c r="V7" i="18" s="1"/>
  <c r="AK13" i="21" l="1"/>
  <c r="AD7" i="21"/>
  <c r="Z7" i="21"/>
  <c r="AA7" i="21" s="1"/>
  <c r="AB7" i="21" s="1"/>
  <c r="V8" i="21" s="1"/>
  <c r="W8" i="21" s="1"/>
  <c r="AG13" i="20"/>
  <c r="AI13" i="20"/>
  <c r="AG12" i="18"/>
  <c r="AO12" i="18" s="1"/>
  <c r="AO12" i="19"/>
  <c r="AI14" i="21"/>
  <c r="AG14" i="21"/>
  <c r="AO13" i="21"/>
  <c r="AK12" i="18"/>
  <c r="W7" i="20"/>
  <c r="AC6" i="20"/>
  <c r="X7" i="20" s="1"/>
  <c r="AK12" i="19"/>
  <c r="W7" i="19"/>
  <c r="AC6" i="19"/>
  <c r="X7" i="19" s="1"/>
  <c r="AG13" i="16"/>
  <c r="AK13" i="16" s="1"/>
  <c r="AI14" i="16" s="1"/>
  <c r="AC7" i="16"/>
  <c r="X8" i="16" s="1"/>
  <c r="AD8" i="16" s="1"/>
  <c r="W8" i="17"/>
  <c r="AD8" i="17"/>
  <c r="Z8" i="17"/>
  <c r="AA8" i="17" s="1"/>
  <c r="AC8" i="17" s="1"/>
  <c r="X9" i="17" s="1"/>
  <c r="AG13" i="17"/>
  <c r="AO13" i="17" s="1"/>
  <c r="Z7" i="18"/>
  <c r="AA7" i="18" s="1"/>
  <c r="AC7" i="18" s="1"/>
  <c r="X8" i="18" s="1"/>
  <c r="W7" i="18"/>
  <c r="AD7" i="18"/>
  <c r="AO13" i="20" l="1"/>
  <c r="AC7" i="21"/>
  <c r="X8" i="21" s="1"/>
  <c r="AK13" i="20"/>
  <c r="AI13" i="18"/>
  <c r="AG13" i="18"/>
  <c r="AK13" i="18" s="1"/>
  <c r="AK14" i="21"/>
  <c r="AI15" i="21"/>
  <c r="AG15" i="21"/>
  <c r="AO14" i="21"/>
  <c r="AD8" i="21"/>
  <c r="Y8" i="21"/>
  <c r="Z8" i="21"/>
  <c r="AA8" i="21" s="1"/>
  <c r="AB8" i="21" s="1"/>
  <c r="V9" i="21" s="1"/>
  <c r="AD7" i="20"/>
  <c r="Y7" i="20"/>
  <c r="Z7" i="20"/>
  <c r="AA7" i="20" s="1"/>
  <c r="AB7" i="20" s="1"/>
  <c r="V8" i="20" s="1"/>
  <c r="AG13" i="19"/>
  <c r="AI13" i="19"/>
  <c r="AD7" i="19"/>
  <c r="Y7" i="19"/>
  <c r="Z7" i="19"/>
  <c r="AA7" i="19" s="1"/>
  <c r="AB7" i="19" s="1"/>
  <c r="V8" i="19" s="1"/>
  <c r="AG14" i="16"/>
  <c r="AO14" i="16" s="1"/>
  <c r="Y8" i="16"/>
  <c r="AO13" i="16"/>
  <c r="Z8" i="16"/>
  <c r="AA8" i="16" s="1"/>
  <c r="AB8" i="16" s="1"/>
  <c r="V9" i="16" s="1"/>
  <c r="W9" i="16" s="1"/>
  <c r="AK13" i="17"/>
  <c r="AG14" i="17" s="1"/>
  <c r="Y9" i="17"/>
  <c r="AB8" i="17"/>
  <c r="V9" i="17" s="1"/>
  <c r="AB7" i="18"/>
  <c r="V8" i="18" s="1"/>
  <c r="Z8" i="18" s="1"/>
  <c r="AA8" i="18" s="1"/>
  <c r="Y8" i="18"/>
  <c r="AK15" i="21" l="1"/>
  <c r="AI14" i="20"/>
  <c r="AG14" i="20"/>
  <c r="AG14" i="18"/>
  <c r="AI14" i="18"/>
  <c r="AO13" i="18"/>
  <c r="AI14" i="17"/>
  <c r="AO14" i="17" s="1"/>
  <c r="AK14" i="16"/>
  <c r="AI15" i="16" s="1"/>
  <c r="W9" i="21"/>
  <c r="AC8" i="21"/>
  <c r="X9" i="21" s="1"/>
  <c r="AI16" i="21"/>
  <c r="AG16" i="21"/>
  <c r="AO15" i="21"/>
  <c r="W8" i="20"/>
  <c r="AC7" i="20"/>
  <c r="X8" i="20" s="1"/>
  <c r="AO13" i="19"/>
  <c r="AK13" i="19"/>
  <c r="W8" i="19"/>
  <c r="AC7" i="19"/>
  <c r="X8" i="19" s="1"/>
  <c r="AD8" i="18"/>
  <c r="W8" i="18"/>
  <c r="AB8" i="18" s="1"/>
  <c r="V9" i="18" s="1"/>
  <c r="W9" i="18" s="1"/>
  <c r="AC8" i="16"/>
  <c r="X9" i="16" s="1"/>
  <c r="Z9" i="16" s="1"/>
  <c r="AA9" i="16" s="1"/>
  <c r="AB9" i="16" s="1"/>
  <c r="V10" i="16" s="1"/>
  <c r="W9" i="17"/>
  <c r="Z9" i="17"/>
  <c r="AA9" i="17" s="1"/>
  <c r="AC9" i="17" s="1"/>
  <c r="X10" i="17" s="1"/>
  <c r="AD9" i="17"/>
  <c r="AC8" i="18"/>
  <c r="X9" i="18" s="1"/>
  <c r="Y9" i="18" s="1"/>
  <c r="AG15" i="16"/>
  <c r="AK14" i="20" l="1"/>
  <c r="AO14" i="18"/>
  <c r="AK14" i="18"/>
  <c r="AI15" i="18" s="1"/>
  <c r="AI15" i="20"/>
  <c r="AG15" i="20"/>
  <c r="AO14" i="20"/>
  <c r="AG15" i="18"/>
  <c r="AK14" i="17"/>
  <c r="AG15" i="17" s="1"/>
  <c r="AK16" i="21"/>
  <c r="AG17" i="21" s="1"/>
  <c r="AI17" i="21"/>
  <c r="AO16" i="21"/>
  <c r="AD9" i="21"/>
  <c r="Y9" i="21"/>
  <c r="Z9" i="21"/>
  <c r="AA9" i="21" s="1"/>
  <c r="AB9" i="21" s="1"/>
  <c r="V10" i="21" s="1"/>
  <c r="AD8" i="20"/>
  <c r="Y8" i="20"/>
  <c r="Z8" i="20"/>
  <c r="AA8" i="20" s="1"/>
  <c r="AB8" i="20" s="1"/>
  <c r="V9" i="20" s="1"/>
  <c r="AG14" i="19"/>
  <c r="AI14" i="19"/>
  <c r="AD8" i="19"/>
  <c r="Y8" i="19"/>
  <c r="Z8" i="19"/>
  <c r="AA8" i="19" s="1"/>
  <c r="AB8" i="19" s="1"/>
  <c r="V9" i="19" s="1"/>
  <c r="AD9" i="16"/>
  <c r="Y9" i="16"/>
  <c r="AC9" i="16" s="1"/>
  <c r="X10" i="16" s="1"/>
  <c r="AD9" i="18"/>
  <c r="Z9" i="18"/>
  <c r="AA9" i="18" s="1"/>
  <c r="AC9" i="18" s="1"/>
  <c r="X10" i="18" s="1"/>
  <c r="Y10" i="17"/>
  <c r="AB9" i="17"/>
  <c r="V10" i="17" s="1"/>
  <c r="AK15" i="16"/>
  <c r="AG16" i="16" s="1"/>
  <c r="AI16" i="16"/>
  <c r="AO15" i="16"/>
  <c r="W10" i="16"/>
  <c r="AK15" i="18" l="1"/>
  <c r="AI16" i="18" s="1"/>
  <c r="AI15" i="17"/>
  <c r="AK15" i="17" s="1"/>
  <c r="AK15" i="20"/>
  <c r="AG16" i="20" s="1"/>
  <c r="AO15" i="18"/>
  <c r="AO17" i="21"/>
  <c r="AG16" i="18"/>
  <c r="AO16" i="18" s="1"/>
  <c r="AI16" i="20"/>
  <c r="AO16" i="20" s="1"/>
  <c r="AO15" i="20"/>
  <c r="W10" i="21"/>
  <c r="AC9" i="21"/>
  <c r="X10" i="21" s="1"/>
  <c r="AK17" i="21"/>
  <c r="W9" i="20"/>
  <c r="AC8" i="20"/>
  <c r="X9" i="20" s="1"/>
  <c r="AO14" i="19"/>
  <c r="AK14" i="19"/>
  <c r="AI15" i="19" s="1"/>
  <c r="W9" i="19"/>
  <c r="AC8" i="19"/>
  <c r="X9" i="19" s="1"/>
  <c r="AB9" i="18"/>
  <c r="V10" i="18" s="1"/>
  <c r="AD10" i="18" s="1"/>
  <c r="AO15" i="17"/>
  <c r="Z10" i="17"/>
  <c r="AA10" i="17" s="1"/>
  <c r="AC10" i="17" s="1"/>
  <c r="X11" i="17" s="1"/>
  <c r="W10" i="17"/>
  <c r="AD10" i="17"/>
  <c r="AK16" i="16"/>
  <c r="AI17" i="16" s="1"/>
  <c r="Y10" i="18"/>
  <c r="AO16" i="16"/>
  <c r="AD10" i="16"/>
  <c r="Y10" i="16"/>
  <c r="Z10" i="16"/>
  <c r="AA10" i="16" s="1"/>
  <c r="AB10" i="16" s="1"/>
  <c r="V11" i="16" s="1"/>
  <c r="AK16" i="18" l="1"/>
  <c r="AK16" i="20"/>
  <c r="AD10" i="21"/>
  <c r="Y10" i="21"/>
  <c r="AI18" i="21"/>
  <c r="AG18" i="21"/>
  <c r="Z10" i="21"/>
  <c r="AA10" i="21" s="1"/>
  <c r="AB10" i="21" s="1"/>
  <c r="V11" i="21" s="1"/>
  <c r="AD9" i="20"/>
  <c r="Y9" i="20"/>
  <c r="Z9" i="20"/>
  <c r="AA9" i="20" s="1"/>
  <c r="AB9" i="20" s="1"/>
  <c r="V10" i="20" s="1"/>
  <c r="AG15" i="19"/>
  <c r="AO15" i="19" s="1"/>
  <c r="AD9" i="19"/>
  <c r="Y9" i="19"/>
  <c r="Z9" i="19"/>
  <c r="AA9" i="19" s="1"/>
  <c r="AB9" i="19" s="1"/>
  <c r="V10" i="19" s="1"/>
  <c r="AG17" i="18"/>
  <c r="AI17" i="18"/>
  <c r="Z10" i="18"/>
  <c r="AA10" i="18" s="1"/>
  <c r="AC10" i="18" s="1"/>
  <c r="X11" i="18" s="1"/>
  <c r="W10" i="18"/>
  <c r="AG17" i="16"/>
  <c r="AO17" i="16" s="1"/>
  <c r="AB10" i="17"/>
  <c r="V11" i="17" s="1"/>
  <c r="AD11" i="17" s="1"/>
  <c r="Y11" i="17"/>
  <c r="AG16" i="17"/>
  <c r="AI16" i="17"/>
  <c r="W11" i="16"/>
  <c r="AC10" i="16"/>
  <c r="X11" i="16" s="1"/>
  <c r="AK18" i="21" l="1"/>
  <c r="AI17" i="20"/>
  <c r="AG17" i="20"/>
  <c r="AK17" i="20" s="1"/>
  <c r="AK15" i="19"/>
  <c r="AI16" i="19" s="1"/>
  <c r="W11" i="21"/>
  <c r="AI19" i="21"/>
  <c r="AG19" i="21"/>
  <c r="AO18" i="21"/>
  <c r="AC10" i="21"/>
  <c r="X11" i="21" s="1"/>
  <c r="AO17" i="18"/>
  <c r="W10" i="20"/>
  <c r="AC9" i="20"/>
  <c r="X10" i="20" s="1"/>
  <c r="W11" i="17"/>
  <c r="W10" i="19"/>
  <c r="AC9" i="19"/>
  <c r="X10" i="19" s="1"/>
  <c r="AK17" i="18"/>
  <c r="AI18" i="18" s="1"/>
  <c r="Z11" i="17"/>
  <c r="AA11" i="17" s="1"/>
  <c r="AK17" i="16"/>
  <c r="AG18" i="16" s="1"/>
  <c r="AB10" i="18"/>
  <c r="V11" i="18" s="1"/>
  <c r="W11" i="18" s="1"/>
  <c r="AO16" i="17"/>
  <c r="AK16" i="17"/>
  <c r="AI17" i="17" s="1"/>
  <c r="Y11" i="18"/>
  <c r="AD11" i="16"/>
  <c r="Y11" i="16"/>
  <c r="Z11" i="16"/>
  <c r="AA11" i="16" s="1"/>
  <c r="AB11" i="16" s="1"/>
  <c r="V12" i="16" s="1"/>
  <c r="AI18" i="16" l="1"/>
  <c r="AG18" i="20"/>
  <c r="AI18" i="20"/>
  <c r="AO17" i="20"/>
  <c r="AK19" i="21"/>
  <c r="AI20" i="21" s="1"/>
  <c r="AG16" i="19"/>
  <c r="AO16" i="19"/>
  <c r="AK16" i="19"/>
  <c r="AG17" i="19" s="1"/>
  <c r="AG18" i="18"/>
  <c r="AK18" i="18" s="1"/>
  <c r="AD11" i="21"/>
  <c r="Y11" i="21"/>
  <c r="AO19" i="21"/>
  <c r="Z11" i="21"/>
  <c r="AA11" i="21" s="1"/>
  <c r="AB11" i="21" s="1"/>
  <c r="V12" i="21" s="1"/>
  <c r="AB11" i="17"/>
  <c r="V12" i="17" s="1"/>
  <c r="W12" i="17" s="1"/>
  <c r="AD10" i="20"/>
  <c r="Y10" i="20"/>
  <c r="Z10" i="20"/>
  <c r="AA10" i="20" s="1"/>
  <c r="AB10" i="20" s="1"/>
  <c r="V11" i="20" s="1"/>
  <c r="AI17" i="19"/>
  <c r="AD10" i="19"/>
  <c r="Y10" i="19"/>
  <c r="Z10" i="19"/>
  <c r="AA10" i="19" s="1"/>
  <c r="AB10" i="19" s="1"/>
  <c r="V11" i="19" s="1"/>
  <c r="AC11" i="17"/>
  <c r="X12" i="17" s="1"/>
  <c r="AO18" i="16"/>
  <c r="AG17" i="17"/>
  <c r="AK17" i="17" s="1"/>
  <c r="AG18" i="17" s="1"/>
  <c r="AK18" i="16"/>
  <c r="AI19" i="16" s="1"/>
  <c r="Z11" i="18"/>
  <c r="AA11" i="18" s="1"/>
  <c r="AB11" i="18" s="1"/>
  <c r="V12" i="18" s="1"/>
  <c r="W12" i="18" s="1"/>
  <c r="AD11" i="18"/>
  <c r="W12" i="16"/>
  <c r="AC11" i="16"/>
  <c r="X12" i="16" s="1"/>
  <c r="AO18" i="18" l="1"/>
  <c r="AG20" i="21"/>
  <c r="AO20" i="21" s="1"/>
  <c r="AK18" i="20"/>
  <c r="AO18" i="20"/>
  <c r="AO17" i="19"/>
  <c r="AG19" i="18"/>
  <c r="AI19" i="18"/>
  <c r="AD12" i="17"/>
  <c r="AK20" i="21"/>
  <c r="AI21" i="21" s="1"/>
  <c r="W12" i="21"/>
  <c r="AC11" i="21"/>
  <c r="X12" i="21" s="1"/>
  <c r="AG21" i="21"/>
  <c r="W11" i="20"/>
  <c r="AC10" i="20"/>
  <c r="X11" i="20" s="1"/>
  <c r="AK17" i="19"/>
  <c r="AI18" i="19" s="1"/>
  <c r="AI18" i="17"/>
  <c r="AK18" i="17" s="1"/>
  <c r="Z12" i="17"/>
  <c r="AA12" i="17" s="1"/>
  <c r="AB12" i="17" s="1"/>
  <c r="V13" i="17" s="1"/>
  <c r="W13" i="17" s="1"/>
  <c r="Y12" i="17"/>
  <c r="W11" i="19"/>
  <c r="AC10" i="19"/>
  <c r="X11" i="19" s="1"/>
  <c r="AG19" i="16"/>
  <c r="AO19" i="16" s="1"/>
  <c r="AO17" i="17"/>
  <c r="AC11" i="18"/>
  <c r="X12" i="18" s="1"/>
  <c r="AD12" i="18" s="1"/>
  <c r="AD12" i="16"/>
  <c r="Y12" i="16"/>
  <c r="Z12" i="16"/>
  <c r="AA12" i="16" s="1"/>
  <c r="AB12" i="16" s="1"/>
  <c r="V13" i="16" s="1"/>
  <c r="AK19" i="18" l="1"/>
  <c r="AI20" i="18" s="1"/>
  <c r="AI19" i="20"/>
  <c r="AG19" i="20"/>
  <c r="AG18" i="19"/>
  <c r="AO19" i="18"/>
  <c r="AO21" i="21"/>
  <c r="AC12" i="17"/>
  <c r="X13" i="17" s="1"/>
  <c r="Y13" i="17" s="1"/>
  <c r="AK19" i="16"/>
  <c r="AI20" i="16" s="1"/>
  <c r="AK21" i="21"/>
  <c r="AD12" i="21"/>
  <c r="Y12" i="21"/>
  <c r="Z12" i="21"/>
  <c r="AA12" i="21" s="1"/>
  <c r="AB12" i="21" s="1"/>
  <c r="V13" i="21" s="1"/>
  <c r="AO18" i="17"/>
  <c r="AD11" i="20"/>
  <c r="Y11" i="20"/>
  <c r="Z11" i="20"/>
  <c r="AA11" i="20" s="1"/>
  <c r="AB11" i="20" s="1"/>
  <c r="V12" i="20" s="1"/>
  <c r="AK18" i="19"/>
  <c r="AI19" i="19" s="1"/>
  <c r="AO18" i="19"/>
  <c r="Y12" i="18"/>
  <c r="AD11" i="19"/>
  <c r="Y11" i="19"/>
  <c r="Z11" i="19"/>
  <c r="AA11" i="19" s="1"/>
  <c r="AB11" i="19" s="1"/>
  <c r="V12" i="19" s="1"/>
  <c r="Z12" i="18"/>
  <c r="AA12" i="18" s="1"/>
  <c r="AI19" i="17"/>
  <c r="AG19" i="17"/>
  <c r="W13" i="16"/>
  <c r="AC12" i="16"/>
  <c r="X13" i="16" s="1"/>
  <c r="AG20" i="18" l="1"/>
  <c r="AK20" i="18" s="1"/>
  <c r="AO19" i="20"/>
  <c r="AK19" i="20"/>
  <c r="Z13" i="17"/>
  <c r="AA13" i="17" s="1"/>
  <c r="AB13" i="17" s="1"/>
  <c r="V14" i="17" s="1"/>
  <c r="W14" i="17" s="1"/>
  <c r="AD13" i="17"/>
  <c r="AG20" i="16"/>
  <c r="AO20" i="16" s="1"/>
  <c r="W13" i="21"/>
  <c r="AC12" i="21"/>
  <c r="X13" i="21" s="1"/>
  <c r="AI22" i="21"/>
  <c r="AG22" i="21"/>
  <c r="AG19" i="19"/>
  <c r="AO19" i="19" s="1"/>
  <c r="W12" i="20"/>
  <c r="AC11" i="20"/>
  <c r="X12" i="20" s="1"/>
  <c r="W12" i="19"/>
  <c r="AC11" i="19"/>
  <c r="X12" i="19" s="1"/>
  <c r="AB12" i="18"/>
  <c r="V13" i="18" s="1"/>
  <c r="W13" i="18" s="1"/>
  <c r="AC12" i="18"/>
  <c r="X13" i="18" s="1"/>
  <c r="AK19" i="17"/>
  <c r="AI20" i="17" s="1"/>
  <c r="AO19" i="17"/>
  <c r="AG21" i="18"/>
  <c r="AI21" i="18"/>
  <c r="AD13" i="16"/>
  <c r="Y13" i="16"/>
  <c r="Z13" i="16"/>
  <c r="AA13" i="16" s="1"/>
  <c r="AB13" i="16" s="1"/>
  <c r="V14" i="16" s="1"/>
  <c r="AO20" i="18" l="1"/>
  <c r="AK20" i="16"/>
  <c r="AG21" i="16" s="1"/>
  <c r="AI20" i="20"/>
  <c r="AG20" i="20"/>
  <c r="AC13" i="17"/>
  <c r="X14" i="17" s="1"/>
  <c r="AK22" i="21"/>
  <c r="AK19" i="19"/>
  <c r="AG23" i="21"/>
  <c r="AI23" i="21"/>
  <c r="AO22" i="21"/>
  <c r="AD13" i="21"/>
  <c r="Y13" i="21"/>
  <c r="Z13" i="21"/>
  <c r="AA13" i="21" s="1"/>
  <c r="AB13" i="21" s="1"/>
  <c r="V14" i="21" s="1"/>
  <c r="AI21" i="16"/>
  <c r="AO21" i="16" s="1"/>
  <c r="AD12" i="20"/>
  <c r="Y12" i="20"/>
  <c r="Z12" i="20"/>
  <c r="AA12" i="20" s="1"/>
  <c r="AB12" i="20" s="1"/>
  <c r="V13" i="20" s="1"/>
  <c r="AD12" i="19"/>
  <c r="Y12" i="19"/>
  <c r="Z12" i="19"/>
  <c r="AA12" i="19" s="1"/>
  <c r="AB12" i="19" s="1"/>
  <c r="V13" i="19" s="1"/>
  <c r="Z13" i="18"/>
  <c r="AA13" i="18" s="1"/>
  <c r="AB13" i="18" s="1"/>
  <c r="V14" i="18" s="1"/>
  <c r="W14" i="18" s="1"/>
  <c r="Y13" i="18"/>
  <c r="AD13" i="18"/>
  <c r="AO21" i="18"/>
  <c r="AG20" i="17"/>
  <c r="AK20" i="17" s="1"/>
  <c r="AG21" i="17" s="1"/>
  <c r="AK21" i="18"/>
  <c r="W14" i="16"/>
  <c r="AC13" i="16"/>
  <c r="X14" i="16" s="1"/>
  <c r="AO23" i="21" l="1"/>
  <c r="AK20" i="20"/>
  <c r="AI21" i="20"/>
  <c r="AG21" i="20"/>
  <c r="AO20" i="20"/>
  <c r="AD14" i="17"/>
  <c r="Z14" i="17"/>
  <c r="AA14" i="17" s="1"/>
  <c r="AB14" i="17" s="1"/>
  <c r="V15" i="17" s="1"/>
  <c r="W15" i="17" s="1"/>
  <c r="Y14" i="17"/>
  <c r="AC13" i="18"/>
  <c r="X14" i="18" s="1"/>
  <c r="Z14" i="18" s="1"/>
  <c r="AA14" i="18" s="1"/>
  <c r="AB14" i="18" s="1"/>
  <c r="V15" i="18" s="1"/>
  <c r="AI20" i="19"/>
  <c r="AG20" i="19"/>
  <c r="AK21" i="16"/>
  <c r="AI22" i="16" s="1"/>
  <c r="W14" i="21"/>
  <c r="AK23" i="21"/>
  <c r="AC13" i="21"/>
  <c r="X14" i="21" s="1"/>
  <c r="W13" i="20"/>
  <c r="AC12" i="20"/>
  <c r="X13" i="20" s="1"/>
  <c r="W13" i="19"/>
  <c r="AC12" i="19"/>
  <c r="X13" i="19" s="1"/>
  <c r="AG22" i="16"/>
  <c r="AO20" i="17"/>
  <c r="AI21" i="17"/>
  <c r="AK21" i="17" s="1"/>
  <c r="AG22" i="17" s="1"/>
  <c r="AG22" i="18"/>
  <c r="AI22" i="18"/>
  <c r="AD14" i="16"/>
  <c r="Y14" i="16"/>
  <c r="Z14" i="16"/>
  <c r="AA14" i="16" s="1"/>
  <c r="AB14" i="16" s="1"/>
  <c r="V15" i="16" s="1"/>
  <c r="AD14" i="18" l="1"/>
  <c r="Y14" i="18"/>
  <c r="AO21" i="20"/>
  <c r="AK21" i="20"/>
  <c r="AC14" i="17"/>
  <c r="X15" i="17" s="1"/>
  <c r="AK20" i="19"/>
  <c r="AI21" i="19" s="1"/>
  <c r="AO20" i="19"/>
  <c r="AD14" i="21"/>
  <c r="Y14" i="21"/>
  <c r="AI24" i="21"/>
  <c r="AG24" i="21"/>
  <c r="Z14" i="21"/>
  <c r="AA14" i="21" s="1"/>
  <c r="AB14" i="21" s="1"/>
  <c r="V15" i="21" s="1"/>
  <c r="AD13" i="20"/>
  <c r="Y13" i="20"/>
  <c r="Z13" i="20"/>
  <c r="AA13" i="20" s="1"/>
  <c r="AB13" i="20" s="1"/>
  <c r="V14" i="20" s="1"/>
  <c r="AD13" i="19"/>
  <c r="Y13" i="19"/>
  <c r="Z13" i="19"/>
  <c r="AA13" i="19" s="1"/>
  <c r="AB13" i="19" s="1"/>
  <c r="V14" i="19" s="1"/>
  <c r="AK22" i="16"/>
  <c r="AI23" i="16" s="1"/>
  <c r="AG23" i="16"/>
  <c r="AO22" i="16"/>
  <c r="AC14" i="18"/>
  <c r="X15" i="18" s="1"/>
  <c r="AD15" i="18" s="1"/>
  <c r="W15" i="18"/>
  <c r="AO21" i="17"/>
  <c r="AO22" i="18"/>
  <c r="AI22" i="17"/>
  <c r="AO22" i="17" s="1"/>
  <c r="AK22" i="18"/>
  <c r="W15" i="16"/>
  <c r="AC14" i="16"/>
  <c r="X15" i="16" s="1"/>
  <c r="AG22" i="20" l="1"/>
  <c r="AI22" i="20"/>
  <c r="AD15" i="17"/>
  <c r="Y15" i="17"/>
  <c r="Z15" i="17"/>
  <c r="AA15" i="17" s="1"/>
  <c r="AB15" i="17" s="1"/>
  <c r="V16" i="17" s="1"/>
  <c r="W16" i="17" s="1"/>
  <c r="AK24" i="21"/>
  <c r="AI25" i="21" s="1"/>
  <c r="AG21" i="19"/>
  <c r="AK21" i="19" s="1"/>
  <c r="AI22" i="19" s="1"/>
  <c r="W15" i="21"/>
  <c r="AO24" i="21"/>
  <c r="AG25" i="21"/>
  <c r="AC14" i="21"/>
  <c r="X15" i="21" s="1"/>
  <c r="W14" i="20"/>
  <c r="AC13" i="20"/>
  <c r="X14" i="20" s="1"/>
  <c r="W14" i="19"/>
  <c r="AC13" i="19"/>
  <c r="X14" i="19" s="1"/>
  <c r="Z15" i="18"/>
  <c r="AA15" i="18" s="1"/>
  <c r="AB15" i="18" s="1"/>
  <c r="V16" i="18" s="1"/>
  <c r="W16" i="18" s="1"/>
  <c r="Y15" i="18"/>
  <c r="AK23" i="16"/>
  <c r="AO23" i="16"/>
  <c r="AK22" i="17"/>
  <c r="AG23" i="17" s="1"/>
  <c r="AG23" i="18"/>
  <c r="AI23" i="18"/>
  <c r="AD15" i="16"/>
  <c r="Y15" i="16"/>
  <c r="Z15" i="16"/>
  <c r="AA15" i="16" s="1"/>
  <c r="AB15" i="16" s="1"/>
  <c r="V16" i="16" s="1"/>
  <c r="AK22" i="20" l="1"/>
  <c r="AO22" i="20"/>
  <c r="AO21" i="19"/>
  <c r="AG22" i="19"/>
  <c r="AC15" i="17"/>
  <c r="X16" i="17" s="1"/>
  <c r="AK22" i="19"/>
  <c r="AG23" i="19" s="1"/>
  <c r="AI23" i="17"/>
  <c r="AK23" i="17" s="1"/>
  <c r="AG24" i="17" s="1"/>
  <c r="AI23" i="19"/>
  <c r="AK23" i="19" s="1"/>
  <c r="AI24" i="19" s="1"/>
  <c r="AK25" i="21"/>
  <c r="AI26" i="21" s="1"/>
  <c r="AO22" i="19"/>
  <c r="AD15" i="21"/>
  <c r="Y15" i="21"/>
  <c r="AO25" i="21"/>
  <c r="Z15" i="21"/>
  <c r="AA15" i="21" s="1"/>
  <c r="AB15" i="21" s="1"/>
  <c r="V16" i="21" s="1"/>
  <c r="AD14" i="20"/>
  <c r="Y14" i="20"/>
  <c r="Z14" i="20"/>
  <c r="AA14" i="20" s="1"/>
  <c r="AB14" i="20" s="1"/>
  <c r="V15" i="20" s="1"/>
  <c r="AD14" i="19"/>
  <c r="Y14" i="19"/>
  <c r="Z14" i="19"/>
  <c r="AA14" i="19" s="1"/>
  <c r="AB14" i="19" s="1"/>
  <c r="V15" i="19" s="1"/>
  <c r="AI24" i="16"/>
  <c r="AG24" i="16"/>
  <c r="AC15" i="18"/>
  <c r="X16" i="18" s="1"/>
  <c r="Z16" i="18" s="1"/>
  <c r="AA16" i="18" s="1"/>
  <c r="AB16" i="18" s="1"/>
  <c r="V17" i="18" s="1"/>
  <c r="AO23" i="18"/>
  <c r="AK23" i="18"/>
  <c r="W16" i="16"/>
  <c r="AC15" i="16"/>
  <c r="X16" i="16" s="1"/>
  <c r="AG26" i="21" l="1"/>
  <c r="AG23" i="20"/>
  <c r="AI23" i="20"/>
  <c r="AO23" i="19"/>
  <c r="AD16" i="17"/>
  <c r="Z16" i="17"/>
  <c r="AA16" i="17" s="1"/>
  <c r="AB16" i="17" s="1"/>
  <c r="V17" i="17" s="1"/>
  <c r="W17" i="17" s="1"/>
  <c r="Y16" i="17"/>
  <c r="AO23" i="17"/>
  <c r="Y16" i="18"/>
  <c r="AC16" i="18" s="1"/>
  <c r="X17" i="18" s="1"/>
  <c r="AK24" i="16"/>
  <c r="AI25" i="16" s="1"/>
  <c r="AK26" i="21"/>
  <c r="AG27" i="21" s="1"/>
  <c r="W16" i="21"/>
  <c r="AC15" i="21"/>
  <c r="X16" i="21" s="1"/>
  <c r="AO26" i="21"/>
  <c r="W15" i="20"/>
  <c r="AC14" i="20"/>
  <c r="X15" i="20" s="1"/>
  <c r="AG24" i="19"/>
  <c r="AO24" i="19" s="1"/>
  <c r="AD16" i="18"/>
  <c r="W15" i="19"/>
  <c r="AC14" i="19"/>
  <c r="X15" i="19" s="1"/>
  <c r="AG25" i="16"/>
  <c r="AO24" i="16"/>
  <c r="AI24" i="17"/>
  <c r="AK24" i="17" s="1"/>
  <c r="AI25" i="17" s="1"/>
  <c r="W17" i="18"/>
  <c r="AG24" i="18"/>
  <c r="AI24" i="18"/>
  <c r="AD16" i="16"/>
  <c r="Y16" i="16"/>
  <c r="Z16" i="16"/>
  <c r="AA16" i="16" s="1"/>
  <c r="AB16" i="16" s="1"/>
  <c r="V17" i="16" s="1"/>
  <c r="AO23" i="20" l="1"/>
  <c r="AC16" i="17"/>
  <c r="X17" i="17" s="1"/>
  <c r="Y17" i="17" s="1"/>
  <c r="AI27" i="21"/>
  <c r="AK23" i="20"/>
  <c r="Z17" i="17"/>
  <c r="AA17" i="17" s="1"/>
  <c r="AB17" i="17" s="1"/>
  <c r="V18" i="17" s="1"/>
  <c r="W18" i="17" s="1"/>
  <c r="AD17" i="17"/>
  <c r="AK27" i="21"/>
  <c r="AK24" i="19"/>
  <c r="AG25" i="19" s="1"/>
  <c r="AI28" i="21"/>
  <c r="AG28" i="21"/>
  <c r="AO27" i="21"/>
  <c r="AD16" i="21"/>
  <c r="Y16" i="21"/>
  <c r="Z16" i="21"/>
  <c r="AA16" i="21" s="1"/>
  <c r="AB16" i="21" s="1"/>
  <c r="V17" i="21" s="1"/>
  <c r="AD15" i="20"/>
  <c r="Y15" i="20"/>
  <c r="Z15" i="20"/>
  <c r="AA15" i="20" s="1"/>
  <c r="AB15" i="20" s="1"/>
  <c r="V16" i="20" s="1"/>
  <c r="AO24" i="17"/>
  <c r="AD15" i="19"/>
  <c r="Y15" i="19"/>
  <c r="Z15" i="19"/>
  <c r="AA15" i="19" s="1"/>
  <c r="AB15" i="19" s="1"/>
  <c r="V16" i="19" s="1"/>
  <c r="AO25" i="16"/>
  <c r="AK25" i="16"/>
  <c r="AO24" i="18"/>
  <c r="AD17" i="18"/>
  <c r="Y17" i="18"/>
  <c r="Z17" i="18"/>
  <c r="AA17" i="18" s="1"/>
  <c r="AB17" i="18" s="1"/>
  <c r="V18" i="18" s="1"/>
  <c r="AG25" i="17"/>
  <c r="AK25" i="17" s="1"/>
  <c r="AK24" i="18"/>
  <c r="W17" i="16"/>
  <c r="AC16" i="16"/>
  <c r="X17" i="16" s="1"/>
  <c r="AC17" i="17" l="1"/>
  <c r="X18" i="17" s="1"/>
  <c r="AD18" i="17" s="1"/>
  <c r="AI24" i="20"/>
  <c r="AG24" i="20"/>
  <c r="AK28" i="21"/>
  <c r="AI25" i="19"/>
  <c r="AK25" i="19" s="1"/>
  <c r="W17" i="21"/>
  <c r="AC16" i="21"/>
  <c r="X17" i="21" s="1"/>
  <c r="AG29" i="21"/>
  <c r="AI29" i="21"/>
  <c r="AO28" i="21"/>
  <c r="W16" i="20"/>
  <c r="AC15" i="20"/>
  <c r="X16" i="20" s="1"/>
  <c r="Y18" i="17"/>
  <c r="W16" i="19"/>
  <c r="AC15" i="19"/>
  <c r="X16" i="19" s="1"/>
  <c r="AI26" i="16"/>
  <c r="AG26" i="16"/>
  <c r="W18" i="18"/>
  <c r="AC17" i="18"/>
  <c r="X18" i="18" s="1"/>
  <c r="Z18" i="18" s="1"/>
  <c r="AA18" i="18" s="1"/>
  <c r="AB18" i="18" s="1"/>
  <c r="V19" i="18" s="1"/>
  <c r="AO25" i="17"/>
  <c r="AG26" i="17"/>
  <c r="AI26" i="17"/>
  <c r="AG25" i="18"/>
  <c r="AI25" i="18"/>
  <c r="AD17" i="16"/>
  <c r="Y17" i="16"/>
  <c r="Z17" i="16"/>
  <c r="AA17" i="16" s="1"/>
  <c r="AB17" i="16" s="1"/>
  <c r="V18" i="16" s="1"/>
  <c r="AO25" i="19" l="1"/>
  <c r="Z18" i="17"/>
  <c r="AA18" i="17" s="1"/>
  <c r="AB18" i="17" s="1"/>
  <c r="V19" i="17" s="1"/>
  <c r="W19" i="17" s="1"/>
  <c r="AO24" i="20"/>
  <c r="AK24" i="20"/>
  <c r="AO29" i="21"/>
  <c r="AK29" i="21"/>
  <c r="AD17" i="21"/>
  <c r="Y17" i="21"/>
  <c r="Z17" i="21"/>
  <c r="AA17" i="21" s="1"/>
  <c r="AB17" i="21" s="1"/>
  <c r="V18" i="21" s="1"/>
  <c r="AK26" i="16"/>
  <c r="AG27" i="16" s="1"/>
  <c r="AD16" i="20"/>
  <c r="Y16" i="20"/>
  <c r="Z16" i="20"/>
  <c r="AA16" i="20" s="1"/>
  <c r="AB16" i="20" s="1"/>
  <c r="V17" i="20" s="1"/>
  <c r="AG26" i="19"/>
  <c r="AI26" i="19"/>
  <c r="AD16" i="19"/>
  <c r="Y16" i="19"/>
  <c r="Z16" i="19"/>
  <c r="AA16" i="19" s="1"/>
  <c r="AB16" i="19" s="1"/>
  <c r="V17" i="19" s="1"/>
  <c r="AO26" i="16"/>
  <c r="W19" i="18"/>
  <c r="AD18" i="18"/>
  <c r="Y18" i="18"/>
  <c r="AC18" i="18" s="1"/>
  <c r="X19" i="18" s="1"/>
  <c r="Z19" i="18" s="1"/>
  <c r="AA19" i="18" s="1"/>
  <c r="AB19" i="18" s="1"/>
  <c r="V20" i="18" s="1"/>
  <c r="W20" i="18" s="1"/>
  <c r="AO26" i="17"/>
  <c r="AK26" i="17"/>
  <c r="AG27" i="17" s="1"/>
  <c r="AO25" i="18"/>
  <c r="AK25" i="18"/>
  <c r="W18" i="16"/>
  <c r="AC17" i="16"/>
  <c r="X18" i="16" s="1"/>
  <c r="AC18" i="17" l="1"/>
  <c r="X19" i="17" s="1"/>
  <c r="AD19" i="17" s="1"/>
  <c r="AI25" i="20"/>
  <c r="AG25" i="20"/>
  <c r="Z19" i="17"/>
  <c r="AA19" i="17" s="1"/>
  <c r="AB19" i="17" s="1"/>
  <c r="V20" i="17" s="1"/>
  <c r="Y19" i="17"/>
  <c r="AI27" i="16"/>
  <c r="AO27" i="16" s="1"/>
  <c r="AO26" i="19"/>
  <c r="W18" i="21"/>
  <c r="AC17" i="21"/>
  <c r="X18" i="21" s="1"/>
  <c r="AG30" i="21"/>
  <c r="AI30" i="21"/>
  <c r="W17" i="20"/>
  <c r="AC16" i="20"/>
  <c r="X17" i="20" s="1"/>
  <c r="AK26" i="19"/>
  <c r="W17" i="19"/>
  <c r="AC16" i="19"/>
  <c r="X17" i="19" s="1"/>
  <c r="AI27" i="17"/>
  <c r="AK27" i="17" s="1"/>
  <c r="AI28" i="17" s="1"/>
  <c r="AD19" i="18"/>
  <c r="Y19" i="18"/>
  <c r="AC19" i="18" s="1"/>
  <c r="X20" i="18" s="1"/>
  <c r="Z20" i="18" s="1"/>
  <c r="AA20" i="18" s="1"/>
  <c r="AB20" i="18" s="1"/>
  <c r="V21" i="18" s="1"/>
  <c r="AG26" i="18"/>
  <c r="AI26" i="18"/>
  <c r="W20" i="17"/>
  <c r="AC19" i="17"/>
  <c r="X20" i="17" s="1"/>
  <c r="AD18" i="16"/>
  <c r="Y18" i="16"/>
  <c r="Z18" i="16"/>
  <c r="AA18" i="16" s="1"/>
  <c r="AB18" i="16" s="1"/>
  <c r="V19" i="16" s="1"/>
  <c r="AK25" i="20" l="1"/>
  <c r="AI26" i="20" s="1"/>
  <c r="AG26" i="20"/>
  <c r="AO25" i="20"/>
  <c r="AK27" i="16"/>
  <c r="AO30" i="21"/>
  <c r="AK30" i="21"/>
  <c r="AD18" i="21"/>
  <c r="Y18" i="21"/>
  <c r="Z18" i="21"/>
  <c r="AA18" i="21" s="1"/>
  <c r="AB18" i="21" s="1"/>
  <c r="V19" i="21" s="1"/>
  <c r="AD17" i="20"/>
  <c r="Y17" i="20"/>
  <c r="Z17" i="20"/>
  <c r="AA17" i="20" s="1"/>
  <c r="AB17" i="20" s="1"/>
  <c r="V18" i="20" s="1"/>
  <c r="AG27" i="19"/>
  <c r="AI27" i="19"/>
  <c r="AD17" i="19"/>
  <c r="Y17" i="19"/>
  <c r="Z17" i="19"/>
  <c r="AA17" i="19" s="1"/>
  <c r="AB17" i="19" s="1"/>
  <c r="V18" i="19" s="1"/>
  <c r="AI28" i="16"/>
  <c r="AG28" i="16"/>
  <c r="Y20" i="18"/>
  <c r="AC20" i="18" s="1"/>
  <c r="X21" i="18" s="1"/>
  <c r="AG28" i="17"/>
  <c r="AK28" i="17" s="1"/>
  <c r="AG29" i="17" s="1"/>
  <c r="AO27" i="17"/>
  <c r="AD20" i="18"/>
  <c r="AO26" i="18"/>
  <c r="AK26" i="18"/>
  <c r="W21" i="18"/>
  <c r="AD20" i="17"/>
  <c r="Y20" i="17"/>
  <c r="Z20" i="17"/>
  <c r="AA20" i="17" s="1"/>
  <c r="AB20" i="17" s="1"/>
  <c r="V21" i="17" s="1"/>
  <c r="W19" i="16"/>
  <c r="AC18" i="16"/>
  <c r="X19" i="16" s="1"/>
  <c r="AO26" i="20" l="1"/>
  <c r="AI29" i="17"/>
  <c r="AK26" i="20"/>
  <c r="AO27" i="19"/>
  <c r="W19" i="21"/>
  <c r="AC18" i="21"/>
  <c r="X19" i="21" s="1"/>
  <c r="AI31" i="21"/>
  <c r="AG31" i="21"/>
  <c r="W18" i="20"/>
  <c r="AC17" i="20"/>
  <c r="X18" i="20" s="1"/>
  <c r="AK27" i="19"/>
  <c r="AI28" i="19" s="1"/>
  <c r="AO28" i="17"/>
  <c r="AK28" i="16"/>
  <c r="W18" i="19"/>
  <c r="AC17" i="19"/>
  <c r="X18" i="19" s="1"/>
  <c r="AO28" i="16"/>
  <c r="AK29" i="17"/>
  <c r="AI30" i="17" s="1"/>
  <c r="AG30" i="17"/>
  <c r="AO29" i="17"/>
  <c r="AG27" i="18"/>
  <c r="AI27" i="18"/>
  <c r="AD21" i="18"/>
  <c r="Y21" i="18"/>
  <c r="Z21" i="18"/>
  <c r="AA21" i="18" s="1"/>
  <c r="AB21" i="18" s="1"/>
  <c r="V22" i="18" s="1"/>
  <c r="W21" i="17"/>
  <c r="AC20" i="17"/>
  <c r="X21" i="17" s="1"/>
  <c r="AD19" i="16"/>
  <c r="Y19" i="16"/>
  <c r="Z19" i="16"/>
  <c r="AA19" i="16" s="1"/>
  <c r="AB19" i="16" s="1"/>
  <c r="V20" i="16" s="1"/>
  <c r="AG27" i="20" l="1"/>
  <c r="AI27" i="20"/>
  <c r="AO27" i="20" s="1"/>
  <c r="AK31" i="21"/>
  <c r="AG32" i="21" s="1"/>
  <c r="AI32" i="21"/>
  <c r="AO31" i="21"/>
  <c r="AD19" i="21"/>
  <c r="Y19" i="21"/>
  <c r="Z19" i="21"/>
  <c r="AA19" i="21" s="1"/>
  <c r="AB19" i="21" s="1"/>
  <c r="V20" i="21" s="1"/>
  <c r="AD18" i="20"/>
  <c r="Y18" i="20"/>
  <c r="Z18" i="20"/>
  <c r="AA18" i="20" s="1"/>
  <c r="AB18" i="20" s="1"/>
  <c r="V19" i="20" s="1"/>
  <c r="AG28" i="19"/>
  <c r="AO28" i="19" s="1"/>
  <c r="AI29" i="16"/>
  <c r="AG29" i="16"/>
  <c r="AD18" i="19"/>
  <c r="Y18" i="19"/>
  <c r="Z18" i="19"/>
  <c r="AA18" i="19" s="1"/>
  <c r="AB18" i="19" s="1"/>
  <c r="V19" i="19" s="1"/>
  <c r="AK30" i="17"/>
  <c r="AO30" i="17"/>
  <c r="AK27" i="18"/>
  <c r="AO27" i="18"/>
  <c r="W22" i="18"/>
  <c r="AC21" i="18"/>
  <c r="X22" i="18" s="1"/>
  <c r="AD21" i="17"/>
  <c r="Y21" i="17"/>
  <c r="Z21" i="17"/>
  <c r="AA21" i="17" s="1"/>
  <c r="AB21" i="17" s="1"/>
  <c r="V22" i="17" s="1"/>
  <c r="W20" i="16"/>
  <c r="AC19" i="16"/>
  <c r="X20" i="16" s="1"/>
  <c r="AK27" i="20" l="1"/>
  <c r="AK28" i="19"/>
  <c r="AI29" i="19" s="1"/>
  <c r="AK32" i="21"/>
  <c r="W20" i="21"/>
  <c r="AC19" i="21"/>
  <c r="X20" i="21" s="1"/>
  <c r="AI33" i="21"/>
  <c r="AG33" i="21"/>
  <c r="AO32" i="21"/>
  <c r="AC18" i="20"/>
  <c r="X19" i="20" s="1"/>
  <c r="Z19" i="20" s="1"/>
  <c r="AA19" i="20" s="1"/>
  <c r="W19" i="20"/>
  <c r="AG29" i="19"/>
  <c r="AO29" i="19" s="1"/>
  <c r="AO29" i="16"/>
  <c r="AK29" i="16"/>
  <c r="W19" i="19"/>
  <c r="AC18" i="19"/>
  <c r="X19" i="19" s="1"/>
  <c r="AI31" i="17"/>
  <c r="AG31" i="17"/>
  <c r="AG28" i="18"/>
  <c r="AI28" i="18"/>
  <c r="AD22" i="18"/>
  <c r="Y22" i="18"/>
  <c r="Z22" i="18"/>
  <c r="AA22" i="18" s="1"/>
  <c r="AB22" i="18" s="1"/>
  <c r="V23" i="18" s="1"/>
  <c r="W22" i="17"/>
  <c r="AC21" i="17"/>
  <c r="X22" i="17" s="1"/>
  <c r="AD20" i="16"/>
  <c r="Y20" i="16"/>
  <c r="Z20" i="16"/>
  <c r="AA20" i="16" s="1"/>
  <c r="AB20" i="16" s="1"/>
  <c r="V21" i="16" s="1"/>
  <c r="AK33" i="21" l="1"/>
  <c r="AI34" i="21" s="1"/>
  <c r="AI28" i="20"/>
  <c r="AG28" i="20"/>
  <c r="Y19" i="20"/>
  <c r="AC19" i="20" s="1"/>
  <c r="X20" i="20" s="1"/>
  <c r="Y20" i="20" s="1"/>
  <c r="AD19" i="20"/>
  <c r="AG34" i="21"/>
  <c r="AO33" i="21"/>
  <c r="AD20" i="21"/>
  <c r="Y20" i="21"/>
  <c r="Z20" i="21"/>
  <c r="AA20" i="21" s="1"/>
  <c r="AB20" i="21" s="1"/>
  <c r="V21" i="21" s="1"/>
  <c r="AB19" i="20"/>
  <c r="V20" i="20" s="1"/>
  <c r="AK29" i="19"/>
  <c r="AI30" i="19" s="1"/>
  <c r="AG30" i="16"/>
  <c r="AI30" i="16"/>
  <c r="AD19" i="19"/>
  <c r="Y19" i="19"/>
  <c r="Z19" i="19"/>
  <c r="AA19" i="19" s="1"/>
  <c r="AB19" i="19" s="1"/>
  <c r="V20" i="19" s="1"/>
  <c r="AK31" i="17"/>
  <c r="AG32" i="17" s="1"/>
  <c r="AO31" i="17"/>
  <c r="AK28" i="18"/>
  <c r="AO28" i="18"/>
  <c r="W23" i="18"/>
  <c r="AC22" i="18"/>
  <c r="X23" i="18" s="1"/>
  <c r="AD22" i="17"/>
  <c r="Y22" i="17"/>
  <c r="Z22" i="17"/>
  <c r="AA22" i="17" s="1"/>
  <c r="AB22" i="17" s="1"/>
  <c r="V23" i="17" s="1"/>
  <c r="W21" i="16"/>
  <c r="AC20" i="16"/>
  <c r="X21" i="16" s="1"/>
  <c r="AK34" i="21" l="1"/>
  <c r="AI32" i="17"/>
  <c r="AK28" i="20"/>
  <c r="AI29" i="20" s="1"/>
  <c r="AG29" i="20"/>
  <c r="Z20" i="20"/>
  <c r="AA20" i="20" s="1"/>
  <c r="AC20" i="20" s="1"/>
  <c r="X21" i="20" s="1"/>
  <c r="Y21" i="20" s="1"/>
  <c r="AO28" i="20"/>
  <c r="AO30" i="16"/>
  <c r="AG30" i="19"/>
  <c r="AO30" i="19" s="1"/>
  <c r="AD20" i="20"/>
  <c r="W20" i="20"/>
  <c r="W21" i="21"/>
  <c r="AC20" i="21"/>
  <c r="X21" i="21" s="1"/>
  <c r="AG35" i="21"/>
  <c r="AI35" i="21"/>
  <c r="AO34" i="21"/>
  <c r="AK30" i="16"/>
  <c r="AG31" i="16" s="1"/>
  <c r="AO32" i="17"/>
  <c r="W20" i="19"/>
  <c r="AC19" i="19"/>
  <c r="X20" i="19" s="1"/>
  <c r="AK32" i="17"/>
  <c r="AG29" i="18"/>
  <c r="AI29" i="18"/>
  <c r="AD23" i="18"/>
  <c r="Y23" i="18"/>
  <c r="Z23" i="18"/>
  <c r="AA23" i="18" s="1"/>
  <c r="AB23" i="18" s="1"/>
  <c r="V24" i="18" s="1"/>
  <c r="W23" i="17"/>
  <c r="AC22" i="17"/>
  <c r="X23" i="17" s="1"/>
  <c r="AD21" i="16"/>
  <c r="Y21" i="16"/>
  <c r="Z21" i="16"/>
  <c r="AA21" i="16" s="1"/>
  <c r="AB21" i="16" s="1"/>
  <c r="V22" i="16" s="1"/>
  <c r="AB20" i="20" l="1"/>
  <c r="V21" i="20" s="1"/>
  <c r="W21" i="20" s="1"/>
  <c r="AK29" i="20"/>
  <c r="AI30" i="20" s="1"/>
  <c r="AO35" i="21"/>
  <c r="AG30" i="20"/>
  <c r="AO29" i="20"/>
  <c r="AK30" i="19"/>
  <c r="AI31" i="19" s="1"/>
  <c r="AI31" i="16"/>
  <c r="AO31" i="16" s="1"/>
  <c r="Z21" i="20"/>
  <c r="AA21" i="20" s="1"/>
  <c r="AB21" i="20" s="1"/>
  <c r="V22" i="20" s="1"/>
  <c r="AD21" i="20"/>
  <c r="AK35" i="21"/>
  <c r="AD21" i="21"/>
  <c r="Y21" i="21"/>
  <c r="Z21" i="21"/>
  <c r="AA21" i="21" s="1"/>
  <c r="AB21" i="21" s="1"/>
  <c r="V22" i="21" s="1"/>
  <c r="AO29" i="18"/>
  <c r="AD20" i="19"/>
  <c r="Y20" i="19"/>
  <c r="Z20" i="19"/>
  <c r="AA20" i="19" s="1"/>
  <c r="AB20" i="19" s="1"/>
  <c r="V21" i="19" s="1"/>
  <c r="AI33" i="17"/>
  <c r="AG33" i="17"/>
  <c r="AK29" i="18"/>
  <c r="W24" i="18"/>
  <c r="AC23" i="18"/>
  <c r="X24" i="18" s="1"/>
  <c r="AD23" i="17"/>
  <c r="Y23" i="17"/>
  <c r="Z23" i="17"/>
  <c r="AA23" i="17" s="1"/>
  <c r="AB23" i="17" s="1"/>
  <c r="V24" i="17" s="1"/>
  <c r="W22" i="16"/>
  <c r="AC21" i="16"/>
  <c r="X22" i="16" s="1"/>
  <c r="AK30" i="20" l="1"/>
  <c r="AG31" i="19"/>
  <c r="AO31" i="19" s="1"/>
  <c r="AI31" i="20"/>
  <c r="AG31" i="20"/>
  <c r="AK31" i="20" s="1"/>
  <c r="AO30" i="20"/>
  <c r="AK31" i="16"/>
  <c r="AI32" i="16" s="1"/>
  <c r="AC21" i="20"/>
  <c r="X22" i="20" s="1"/>
  <c r="Z22" i="20" s="1"/>
  <c r="AA22" i="20" s="1"/>
  <c r="W22" i="20"/>
  <c r="W22" i="21"/>
  <c r="AC21" i="21"/>
  <c r="X22" i="21" s="1"/>
  <c r="AG36" i="21"/>
  <c r="AI36" i="21"/>
  <c r="AG32" i="16"/>
  <c r="W21" i="19"/>
  <c r="AC20" i="19"/>
  <c r="X21" i="19" s="1"/>
  <c r="AK33" i="17"/>
  <c r="AG34" i="17" s="1"/>
  <c r="AO33" i="17"/>
  <c r="AG30" i="18"/>
  <c r="AI30" i="18"/>
  <c r="AD24" i="18"/>
  <c r="Y24" i="18"/>
  <c r="Z24" i="18"/>
  <c r="AA24" i="18" s="1"/>
  <c r="AB24" i="18" s="1"/>
  <c r="V25" i="18" s="1"/>
  <c r="W24" i="17"/>
  <c r="AC23" i="17"/>
  <c r="X24" i="17" s="1"/>
  <c r="AD22" i="16"/>
  <c r="Y22" i="16"/>
  <c r="Z22" i="16"/>
  <c r="AA22" i="16" s="1"/>
  <c r="AB22" i="16" s="1"/>
  <c r="V23" i="16" s="1"/>
  <c r="AK31" i="19" l="1"/>
  <c r="AI32" i="19" s="1"/>
  <c r="AO36" i="21"/>
  <c r="AI32" i="20"/>
  <c r="AG32" i="20"/>
  <c r="AO31" i="20"/>
  <c r="AO32" i="16"/>
  <c r="AG32" i="19"/>
  <c r="AO32" i="19" s="1"/>
  <c r="AI34" i="17"/>
  <c r="AO34" i="17" s="1"/>
  <c r="AB22" i="20"/>
  <c r="V23" i="20" s="1"/>
  <c r="W23" i="20" s="1"/>
  <c r="AD22" i="20"/>
  <c r="Y22" i="20"/>
  <c r="AC22" i="20" s="1"/>
  <c r="X23" i="20" s="1"/>
  <c r="AD23" i="20" s="1"/>
  <c r="AK36" i="21"/>
  <c r="AD22" i="21"/>
  <c r="Y22" i="21"/>
  <c r="Z22" i="21"/>
  <c r="AA22" i="21" s="1"/>
  <c r="AB22" i="21" s="1"/>
  <c r="V23" i="21" s="1"/>
  <c r="AK32" i="16"/>
  <c r="AD21" i="19"/>
  <c r="Y21" i="19"/>
  <c r="Z21" i="19"/>
  <c r="AA21" i="19" s="1"/>
  <c r="AB21" i="19" s="1"/>
  <c r="V22" i="19" s="1"/>
  <c r="AO30" i="18"/>
  <c r="AK30" i="18"/>
  <c r="W25" i="18"/>
  <c r="AC24" i="18"/>
  <c r="X25" i="18" s="1"/>
  <c r="AD24" i="17"/>
  <c r="Y24" i="17"/>
  <c r="Z24" i="17"/>
  <c r="AA24" i="17" s="1"/>
  <c r="AB24" i="17" s="1"/>
  <c r="V25" i="17" s="1"/>
  <c r="W23" i="16"/>
  <c r="AC22" i="16"/>
  <c r="X23" i="16" s="1"/>
  <c r="AK32" i="20" l="1"/>
  <c r="AG33" i="20"/>
  <c r="AI33" i="20"/>
  <c r="AO32" i="20"/>
  <c r="AK34" i="17"/>
  <c r="AK32" i="19"/>
  <c r="AI33" i="19" s="1"/>
  <c r="AG33" i="19"/>
  <c r="Z23" i="20"/>
  <c r="AA23" i="20" s="1"/>
  <c r="AB23" i="20" s="1"/>
  <c r="V24" i="20" s="1"/>
  <c r="Y23" i="20"/>
  <c r="AO33" i="19"/>
  <c r="W23" i="21"/>
  <c r="AI37" i="21"/>
  <c r="AG37" i="21"/>
  <c r="AC22" i="21"/>
  <c r="X23" i="21" s="1"/>
  <c r="AG33" i="16"/>
  <c r="AI33" i="16"/>
  <c r="W22" i="19"/>
  <c r="AC21" i="19"/>
  <c r="X22" i="19" s="1"/>
  <c r="AG35" i="17"/>
  <c r="AI35" i="17"/>
  <c r="AG31" i="18"/>
  <c r="AI31" i="18"/>
  <c r="AD25" i="18"/>
  <c r="Y25" i="18"/>
  <c r="Z25" i="18"/>
  <c r="AA25" i="18" s="1"/>
  <c r="AB25" i="18" s="1"/>
  <c r="V26" i="18" s="1"/>
  <c r="W25" i="17"/>
  <c r="AC24" i="17"/>
  <c r="X25" i="17" s="1"/>
  <c r="AD23" i="16"/>
  <c r="Y23" i="16"/>
  <c r="Z23" i="16"/>
  <c r="AA23" i="16" s="1"/>
  <c r="AB23" i="16" s="1"/>
  <c r="V24" i="16" s="1"/>
  <c r="AK37" i="21" l="1"/>
  <c r="AK33" i="19"/>
  <c r="AI34" i="19" s="1"/>
  <c r="AO33" i="20"/>
  <c r="AK33" i="20"/>
  <c r="AG34" i="19"/>
  <c r="AC23" i="20"/>
  <c r="X24" i="20" s="1"/>
  <c r="Y24" i="20" s="1"/>
  <c r="AK33" i="16"/>
  <c r="AO33" i="16"/>
  <c r="AO34" i="19"/>
  <c r="AG34" i="16"/>
  <c r="AI34" i="16"/>
  <c r="W24" i="20"/>
  <c r="AG38" i="21"/>
  <c r="AI38" i="21"/>
  <c r="AD23" i="21"/>
  <c r="Y23" i="21"/>
  <c r="AO37" i="21"/>
  <c r="Z23" i="21"/>
  <c r="AA23" i="21" s="1"/>
  <c r="AB23" i="21" s="1"/>
  <c r="V24" i="21" s="1"/>
  <c r="AO31" i="18"/>
  <c r="AK34" i="19"/>
  <c r="AD22" i="19"/>
  <c r="Y22" i="19"/>
  <c r="Z22" i="19"/>
  <c r="AA22" i="19" s="1"/>
  <c r="AB22" i="19" s="1"/>
  <c r="V23" i="19" s="1"/>
  <c r="AO35" i="17"/>
  <c r="AK35" i="17"/>
  <c r="AK31" i="18"/>
  <c r="W26" i="18"/>
  <c r="AC25" i="18"/>
  <c r="X26" i="18" s="1"/>
  <c r="AD25" i="17"/>
  <c r="Y25" i="17"/>
  <c r="Z25" i="17"/>
  <c r="AA25" i="17" s="1"/>
  <c r="AB25" i="17" s="1"/>
  <c r="V26" i="17" s="1"/>
  <c r="W24" i="16"/>
  <c r="AC23" i="16"/>
  <c r="X24" i="16" s="1"/>
  <c r="AO34" i="16" l="1"/>
  <c r="Z24" i="20"/>
  <c r="AA24" i="20" s="1"/>
  <c r="AC24" i="20" s="1"/>
  <c r="X25" i="20" s="1"/>
  <c r="Y25" i="20" s="1"/>
  <c r="AI34" i="20"/>
  <c r="AG34" i="20"/>
  <c r="AD24" i="20"/>
  <c r="AK34" i="16"/>
  <c r="AI35" i="16" s="1"/>
  <c r="AB24" i="20"/>
  <c r="V25" i="20" s="1"/>
  <c r="W25" i="20" s="1"/>
  <c r="AO38" i="21"/>
  <c r="AG35" i="16"/>
  <c r="W24" i="21"/>
  <c r="AC23" i="21"/>
  <c r="X24" i="21" s="1"/>
  <c r="AK38" i="21"/>
  <c r="AG35" i="19"/>
  <c r="AI35" i="19"/>
  <c r="W23" i="19"/>
  <c r="AC22" i="19"/>
  <c r="X23" i="19" s="1"/>
  <c r="AG36" i="17"/>
  <c r="AI36" i="17"/>
  <c r="AG32" i="18"/>
  <c r="AI32" i="18"/>
  <c r="AD26" i="18"/>
  <c r="Y26" i="18"/>
  <c r="Z26" i="18"/>
  <c r="AA26" i="18" s="1"/>
  <c r="AB26" i="18" s="1"/>
  <c r="V27" i="18" s="1"/>
  <c r="W26" i="17"/>
  <c r="AC25" i="17"/>
  <c r="X26" i="17" s="1"/>
  <c r="AD24" i="16"/>
  <c r="Y24" i="16"/>
  <c r="Z24" i="16"/>
  <c r="AA24" i="16" s="1"/>
  <c r="AB24" i="16" s="1"/>
  <c r="V25" i="16" s="1"/>
  <c r="AO34" i="20" l="1"/>
  <c r="AK34" i="20"/>
  <c r="AD25" i="20"/>
  <c r="Z25" i="20"/>
  <c r="AA25" i="20" s="1"/>
  <c r="AB25" i="20" s="1"/>
  <c r="V26" i="20" s="1"/>
  <c r="W26" i="20" s="1"/>
  <c r="AK35" i="16"/>
  <c r="AG36" i="16" s="1"/>
  <c r="AO35" i="16"/>
  <c r="AO35" i="19"/>
  <c r="AI39" i="21"/>
  <c r="AG39" i="21"/>
  <c r="AD24" i="21"/>
  <c r="Y24" i="21"/>
  <c r="Z24" i="21"/>
  <c r="AA24" i="21" s="1"/>
  <c r="AB24" i="21" s="1"/>
  <c r="V25" i="21" s="1"/>
  <c r="AK35" i="19"/>
  <c r="AI36" i="19" s="1"/>
  <c r="AD23" i="19"/>
  <c r="Y23" i="19"/>
  <c r="Z23" i="19"/>
  <c r="AA23" i="19" s="1"/>
  <c r="AB23" i="19" s="1"/>
  <c r="V24" i="19" s="1"/>
  <c r="AO36" i="17"/>
  <c r="AK36" i="17"/>
  <c r="AO32" i="18"/>
  <c r="AK32" i="18"/>
  <c r="W27" i="18"/>
  <c r="AC26" i="18"/>
  <c r="X27" i="18" s="1"/>
  <c r="AD26" i="17"/>
  <c r="Y26" i="17"/>
  <c r="Z26" i="17"/>
  <c r="AA26" i="17" s="1"/>
  <c r="AB26" i="17" s="1"/>
  <c r="V27" i="17" s="1"/>
  <c r="W25" i="16"/>
  <c r="AC24" i="16"/>
  <c r="X25" i="16" s="1"/>
  <c r="AI36" i="16" l="1"/>
  <c r="AK36" i="16" s="1"/>
  <c r="AG37" i="16" s="1"/>
  <c r="AO36" i="16"/>
  <c r="AI35" i="20"/>
  <c r="AG35" i="20"/>
  <c r="AK35" i="20" s="1"/>
  <c r="AC25" i="20"/>
  <c r="X26" i="20" s="1"/>
  <c r="AD26" i="20" s="1"/>
  <c r="AK39" i="21"/>
  <c r="AI37" i="16"/>
  <c r="AO37" i="16" s="1"/>
  <c r="W25" i="21"/>
  <c r="AC24" i="21"/>
  <c r="X25" i="21" s="1"/>
  <c r="AO39" i="21"/>
  <c r="AG40" i="21"/>
  <c r="AI40" i="21"/>
  <c r="AG36" i="19"/>
  <c r="AO36" i="19" s="1"/>
  <c r="W24" i="19"/>
  <c r="AC23" i="19"/>
  <c r="X24" i="19" s="1"/>
  <c r="AG37" i="17"/>
  <c r="AI37" i="17"/>
  <c r="AG33" i="18"/>
  <c r="AI33" i="18"/>
  <c r="AO33" i="18" s="1"/>
  <c r="AD27" i="18"/>
  <c r="Y27" i="18"/>
  <c r="Z27" i="18"/>
  <c r="AA27" i="18" s="1"/>
  <c r="AB27" i="18" s="1"/>
  <c r="V28" i="18" s="1"/>
  <c r="W27" i="17"/>
  <c r="AC26" i="17"/>
  <c r="X27" i="17" s="1"/>
  <c r="AD25" i="16"/>
  <c r="Y25" i="16"/>
  <c r="Z25" i="16"/>
  <c r="AA25" i="16" s="1"/>
  <c r="AB25" i="16" s="1"/>
  <c r="V26" i="16" s="1"/>
  <c r="AI36" i="20" l="1"/>
  <c r="AG36" i="20"/>
  <c r="AK36" i="20" s="1"/>
  <c r="AO35" i="20"/>
  <c r="Z26" i="20"/>
  <c r="AA26" i="20" s="1"/>
  <c r="AB26" i="20" s="1"/>
  <c r="V27" i="20" s="1"/>
  <c r="W27" i="20" s="1"/>
  <c r="Y26" i="20"/>
  <c r="AK36" i="19"/>
  <c r="AI37" i="19" s="1"/>
  <c r="AO40" i="21"/>
  <c r="AK37" i="16"/>
  <c r="AG37" i="19"/>
  <c r="AK40" i="21"/>
  <c r="AD25" i="21"/>
  <c r="Y25" i="21"/>
  <c r="Z25" i="21"/>
  <c r="AA25" i="21" s="1"/>
  <c r="AB25" i="21" s="1"/>
  <c r="V26" i="21" s="1"/>
  <c r="AD24" i="19"/>
  <c r="Y24" i="19"/>
  <c r="Z24" i="19"/>
  <c r="AA24" i="19" s="1"/>
  <c r="AB24" i="19" s="1"/>
  <c r="V25" i="19" s="1"/>
  <c r="AO37" i="17"/>
  <c r="AK37" i="17"/>
  <c r="AK33" i="18"/>
  <c r="W28" i="18"/>
  <c r="AC27" i="18"/>
  <c r="X28" i="18" s="1"/>
  <c r="AD27" i="17"/>
  <c r="Y27" i="17"/>
  <c r="Z27" i="17"/>
  <c r="AA27" i="17" s="1"/>
  <c r="AB27" i="17" s="1"/>
  <c r="V28" i="17" s="1"/>
  <c r="W26" i="16"/>
  <c r="AC25" i="16"/>
  <c r="X26" i="16" s="1"/>
  <c r="AK37" i="19" l="1"/>
  <c r="AI38" i="19" s="1"/>
  <c r="AI37" i="20"/>
  <c r="AG37" i="20"/>
  <c r="AO36" i="20"/>
  <c r="AC26" i="20"/>
  <c r="X27" i="20" s="1"/>
  <c r="AD27" i="20" s="1"/>
  <c r="AO37" i="19"/>
  <c r="AI38" i="16"/>
  <c r="AG38" i="16"/>
  <c r="AG38" i="19"/>
  <c r="AO38" i="19" s="1"/>
  <c r="W26" i="21"/>
  <c r="AC25" i="21"/>
  <c r="X26" i="21" s="1"/>
  <c r="AG41" i="21"/>
  <c r="AI41" i="21"/>
  <c r="W25" i="19"/>
  <c r="AC24" i="19"/>
  <c r="X25" i="19" s="1"/>
  <c r="AG38" i="17"/>
  <c r="AI38" i="17"/>
  <c r="AG34" i="18"/>
  <c r="AI34" i="18"/>
  <c r="AD28" i="18"/>
  <c r="Y28" i="18"/>
  <c r="Z28" i="18"/>
  <c r="AA28" i="18" s="1"/>
  <c r="AB28" i="18" s="1"/>
  <c r="V29" i="18" s="1"/>
  <c r="W28" i="17"/>
  <c r="AC27" i="17"/>
  <c r="X28" i="17" s="1"/>
  <c r="AD26" i="16"/>
  <c r="Y26" i="16"/>
  <c r="Z26" i="16"/>
  <c r="AA26" i="16" s="1"/>
  <c r="AB26" i="16" s="1"/>
  <c r="V27" i="16" s="1"/>
  <c r="AK37" i="20" l="1"/>
  <c r="Z27" i="20"/>
  <c r="AA27" i="20" s="1"/>
  <c r="AB27" i="20" s="1"/>
  <c r="V28" i="20" s="1"/>
  <c r="Y27" i="20"/>
  <c r="AG38" i="20"/>
  <c r="AI38" i="20"/>
  <c r="AO37" i="20"/>
  <c r="AK38" i="16"/>
  <c r="AK38" i="19"/>
  <c r="AI39" i="19" s="1"/>
  <c r="AG39" i="19"/>
  <c r="AO41" i="21"/>
  <c r="AG39" i="16"/>
  <c r="AI39" i="16"/>
  <c r="AO38" i="16"/>
  <c r="AD26" i="21"/>
  <c r="Y26" i="21"/>
  <c r="AK41" i="21"/>
  <c r="Z26" i="21"/>
  <c r="AA26" i="21" s="1"/>
  <c r="AB26" i="21" s="1"/>
  <c r="V27" i="21" s="1"/>
  <c r="AO34" i="18"/>
  <c r="W28" i="20"/>
  <c r="AC27" i="20"/>
  <c r="X28" i="20" s="1"/>
  <c r="AD25" i="19"/>
  <c r="Y25" i="19"/>
  <c r="Z25" i="19"/>
  <c r="AA25" i="19" s="1"/>
  <c r="AB25" i="19" s="1"/>
  <c r="V26" i="19" s="1"/>
  <c r="AO38" i="17"/>
  <c r="AK38" i="17"/>
  <c r="AK34" i="18"/>
  <c r="W29" i="18"/>
  <c r="AC28" i="18"/>
  <c r="X29" i="18" s="1"/>
  <c r="AD28" i="17"/>
  <c r="Y28" i="17"/>
  <c r="Z28" i="17"/>
  <c r="AA28" i="17" s="1"/>
  <c r="AB28" i="17" s="1"/>
  <c r="V29" i="17" s="1"/>
  <c r="W27" i="16"/>
  <c r="AC26" i="16"/>
  <c r="X27" i="16" s="1"/>
  <c r="AK39" i="19" l="1"/>
  <c r="AI40" i="19" s="1"/>
  <c r="AO38" i="20"/>
  <c r="AK38" i="20"/>
  <c r="AO39" i="19"/>
  <c r="AK39" i="16"/>
  <c r="AO39" i="16"/>
  <c r="AG40" i="16"/>
  <c r="AI40" i="16"/>
  <c r="AG40" i="19"/>
  <c r="AO40" i="19" s="1"/>
  <c r="W27" i="21"/>
  <c r="AI42" i="21"/>
  <c r="AG42" i="21"/>
  <c r="AC26" i="21"/>
  <c r="X27" i="21" s="1"/>
  <c r="AD28" i="20"/>
  <c r="Y28" i="20"/>
  <c r="Z28" i="20"/>
  <c r="AA28" i="20" s="1"/>
  <c r="AB28" i="20" s="1"/>
  <c r="V29" i="20" s="1"/>
  <c r="W26" i="19"/>
  <c r="AC25" i="19"/>
  <c r="X26" i="19" s="1"/>
  <c r="AI39" i="17"/>
  <c r="AG39" i="17"/>
  <c r="AG35" i="18"/>
  <c r="AI35" i="18"/>
  <c r="AD29" i="18"/>
  <c r="Y29" i="18"/>
  <c r="Z29" i="18"/>
  <c r="AA29" i="18" s="1"/>
  <c r="AB29" i="18" s="1"/>
  <c r="V30" i="18" s="1"/>
  <c r="W29" i="17"/>
  <c r="AC28" i="17"/>
  <c r="X29" i="17" s="1"/>
  <c r="AD27" i="16"/>
  <c r="Y27" i="16"/>
  <c r="Z27" i="16"/>
  <c r="AA27" i="16" s="1"/>
  <c r="AB27" i="16" s="1"/>
  <c r="V28" i="16" s="1"/>
  <c r="AK42" i="21" l="1"/>
  <c r="AO40" i="16"/>
  <c r="AI39" i="20"/>
  <c r="AG39" i="20"/>
  <c r="AK39" i="20" s="1"/>
  <c r="AK40" i="16"/>
  <c r="AK40" i="19"/>
  <c r="AI41" i="19" s="1"/>
  <c r="AG41" i="16"/>
  <c r="AI41" i="16"/>
  <c r="AK41" i="16" s="1"/>
  <c r="AI42" i="16" s="1"/>
  <c r="AG41" i="19"/>
  <c r="AO41" i="19" s="1"/>
  <c r="AO42" i="21"/>
  <c r="AD27" i="21"/>
  <c r="Y27" i="21"/>
  <c r="AG43" i="21"/>
  <c r="AI43" i="21"/>
  <c r="Z27" i="21"/>
  <c r="AA27" i="21" s="1"/>
  <c r="AB27" i="21" s="1"/>
  <c r="V28" i="21" s="1"/>
  <c r="W29" i="20"/>
  <c r="AC28" i="20"/>
  <c r="X29" i="20" s="1"/>
  <c r="AD26" i="19"/>
  <c r="Y26" i="19"/>
  <c r="Z26" i="19"/>
  <c r="AA26" i="19" s="1"/>
  <c r="AB26" i="19" s="1"/>
  <c r="V27" i="19" s="1"/>
  <c r="AO35" i="18"/>
  <c r="AK39" i="17"/>
  <c r="AG40" i="17" s="1"/>
  <c r="AO39" i="17"/>
  <c r="AK35" i="18"/>
  <c r="W30" i="18"/>
  <c r="AC29" i="18"/>
  <c r="X30" i="18" s="1"/>
  <c r="AD29" i="17"/>
  <c r="Y29" i="17"/>
  <c r="Z29" i="17"/>
  <c r="AA29" i="17" s="1"/>
  <c r="AB29" i="17" s="1"/>
  <c r="V30" i="17" s="1"/>
  <c r="W28" i="16"/>
  <c r="AC27" i="16"/>
  <c r="X28" i="16" s="1"/>
  <c r="AO43" i="21" l="1"/>
  <c r="AI40" i="17"/>
  <c r="AK40" i="17" s="1"/>
  <c r="AG41" i="17" s="1"/>
  <c r="AI40" i="20"/>
  <c r="AG40" i="20"/>
  <c r="AO39" i="20"/>
  <c r="AO41" i="16"/>
  <c r="AG42" i="16"/>
  <c r="AK42" i="16" s="1"/>
  <c r="AI43" i="16" s="1"/>
  <c r="AK41" i="19"/>
  <c r="AI42" i="19" s="1"/>
  <c r="W28" i="21"/>
  <c r="AK43" i="21"/>
  <c r="AC27" i="21"/>
  <c r="X28" i="21" s="1"/>
  <c r="AD29" i="20"/>
  <c r="Y29" i="20"/>
  <c r="Z29" i="20"/>
  <c r="AA29" i="20" s="1"/>
  <c r="AB29" i="20" s="1"/>
  <c r="V30" i="20" s="1"/>
  <c r="W27" i="19"/>
  <c r="AC26" i="19"/>
  <c r="X27" i="19" s="1"/>
  <c r="AO40" i="17"/>
  <c r="AG36" i="18"/>
  <c r="AI36" i="18"/>
  <c r="AD30" i="18"/>
  <c r="Y30" i="18"/>
  <c r="Z30" i="18"/>
  <c r="AA30" i="18" s="1"/>
  <c r="AB30" i="18" s="1"/>
  <c r="V31" i="18" s="1"/>
  <c r="W30" i="17"/>
  <c r="AC29" i="17"/>
  <c r="X30" i="17" s="1"/>
  <c r="AD28" i="16"/>
  <c r="Y28" i="16"/>
  <c r="Z28" i="16"/>
  <c r="AA28" i="16" s="1"/>
  <c r="AB28" i="16" s="1"/>
  <c r="V29" i="16" s="1"/>
  <c r="AK40" i="20" l="1"/>
  <c r="AO42" i="16"/>
  <c r="AG42" i="19"/>
  <c r="AK42" i="19" s="1"/>
  <c r="AI43" i="19" s="1"/>
  <c r="AI41" i="20"/>
  <c r="AG41" i="20"/>
  <c r="AK41" i="20" s="1"/>
  <c r="AO40" i="20"/>
  <c r="AO36" i="18"/>
  <c r="AG43" i="16"/>
  <c r="AK43" i="16" s="1"/>
  <c r="AO42" i="19"/>
  <c r="AD28" i="21"/>
  <c r="Y28" i="21"/>
  <c r="AI44" i="21"/>
  <c r="AG44" i="21"/>
  <c r="Z28" i="21"/>
  <c r="AA28" i="21" s="1"/>
  <c r="AB28" i="21" s="1"/>
  <c r="V29" i="21" s="1"/>
  <c r="W30" i="20"/>
  <c r="AC29" i="20"/>
  <c r="X30" i="20" s="1"/>
  <c r="AD27" i="19"/>
  <c r="Y27" i="19"/>
  <c r="Z27" i="19"/>
  <c r="AA27" i="19" s="1"/>
  <c r="AB27" i="19" s="1"/>
  <c r="V28" i="19" s="1"/>
  <c r="AI41" i="17"/>
  <c r="AO41" i="17" s="1"/>
  <c r="AK36" i="18"/>
  <c r="W31" i="18"/>
  <c r="AC30" i="18"/>
  <c r="X31" i="18" s="1"/>
  <c r="AD30" i="17"/>
  <c r="Y30" i="17"/>
  <c r="Z30" i="17"/>
  <c r="AA30" i="17" s="1"/>
  <c r="AB30" i="17" s="1"/>
  <c r="V31" i="17" s="1"/>
  <c r="W29" i="16"/>
  <c r="AC28" i="16"/>
  <c r="X29" i="16" s="1"/>
  <c r="AI42" i="20" l="1"/>
  <c r="AG42" i="20"/>
  <c r="AK42" i="20" s="1"/>
  <c r="AO41" i="20"/>
  <c r="AK44" i="21"/>
  <c r="AO43" i="16"/>
  <c r="AG44" i="16"/>
  <c r="AI44" i="16"/>
  <c r="W29" i="21"/>
  <c r="AO44" i="21"/>
  <c r="AC28" i="21"/>
  <c r="X29" i="21" s="1"/>
  <c r="AD30" i="20"/>
  <c r="Y30" i="20"/>
  <c r="Z30" i="20"/>
  <c r="AA30" i="20" s="1"/>
  <c r="AB30" i="20" s="1"/>
  <c r="V31" i="20" s="1"/>
  <c r="AG43" i="19"/>
  <c r="AO43" i="19" s="1"/>
  <c r="W28" i="19"/>
  <c r="AC27" i="19"/>
  <c r="X28" i="19" s="1"/>
  <c r="AK41" i="17"/>
  <c r="AI42" i="17" s="1"/>
  <c r="AG37" i="18"/>
  <c r="AI37" i="18"/>
  <c r="AD31" i="18"/>
  <c r="Y31" i="18"/>
  <c r="Z31" i="18"/>
  <c r="AA31" i="18" s="1"/>
  <c r="AB31" i="18" s="1"/>
  <c r="V32" i="18" s="1"/>
  <c r="W31" i="17"/>
  <c r="AC30" i="17"/>
  <c r="X31" i="17" s="1"/>
  <c r="AD29" i="16"/>
  <c r="Y29" i="16"/>
  <c r="Z29" i="16"/>
  <c r="AA29" i="16" s="1"/>
  <c r="AB29" i="16" s="1"/>
  <c r="V30" i="16" s="1"/>
  <c r="AG43" i="20" l="1"/>
  <c r="AI43" i="20"/>
  <c r="AO42" i="20"/>
  <c r="AG42" i="17"/>
  <c r="AO44" i="16"/>
  <c r="AK44" i="16"/>
  <c r="AK43" i="19"/>
  <c r="AI44" i="19" s="1"/>
  <c r="AD29" i="21"/>
  <c r="Y29" i="21"/>
  <c r="Z29" i="21"/>
  <c r="AA29" i="21" s="1"/>
  <c r="AB29" i="21" s="1"/>
  <c r="V30" i="21" s="1"/>
  <c r="W31" i="20"/>
  <c r="AC30" i="20"/>
  <c r="X31" i="20" s="1"/>
  <c r="AD28" i="19"/>
  <c r="Y28" i="19"/>
  <c r="Z28" i="19"/>
  <c r="AA28" i="19" s="1"/>
  <c r="AB28" i="19" s="1"/>
  <c r="V29" i="19" s="1"/>
  <c r="AO37" i="18"/>
  <c r="AO42" i="17"/>
  <c r="AK42" i="17"/>
  <c r="AK37" i="18"/>
  <c r="W32" i="18"/>
  <c r="AC31" i="18"/>
  <c r="X32" i="18" s="1"/>
  <c r="AD31" i="17"/>
  <c r="Y31" i="17"/>
  <c r="Z31" i="17"/>
  <c r="AA31" i="17" s="1"/>
  <c r="AB31" i="17" s="1"/>
  <c r="V32" i="17" s="1"/>
  <c r="W30" i="16"/>
  <c r="AC29" i="16"/>
  <c r="X30" i="16" s="1"/>
  <c r="AO43" i="20" l="1"/>
  <c r="AG44" i="19"/>
  <c r="AO44" i="19" s="1"/>
  <c r="AK43" i="20"/>
  <c r="W30" i="21"/>
  <c r="AC29" i="21"/>
  <c r="X30" i="21" s="1"/>
  <c r="AD31" i="20"/>
  <c r="Y31" i="20"/>
  <c r="Z31" i="20"/>
  <c r="AA31" i="20" s="1"/>
  <c r="AB31" i="20" s="1"/>
  <c r="V32" i="20" s="1"/>
  <c r="W29" i="19"/>
  <c r="AC28" i="19"/>
  <c r="X29" i="19" s="1"/>
  <c r="AG43" i="17"/>
  <c r="AI43" i="17"/>
  <c r="AG38" i="18"/>
  <c r="AI38" i="18"/>
  <c r="AD32" i="18"/>
  <c r="Y32" i="18"/>
  <c r="Z32" i="18"/>
  <c r="AA32" i="18" s="1"/>
  <c r="AB32" i="18" s="1"/>
  <c r="V33" i="18" s="1"/>
  <c r="W32" i="17"/>
  <c r="AC31" i="17"/>
  <c r="X32" i="17" s="1"/>
  <c r="AD30" i="16"/>
  <c r="Y30" i="16"/>
  <c r="Z30" i="16"/>
  <c r="AA30" i="16" s="1"/>
  <c r="AB30" i="16" s="1"/>
  <c r="V31" i="16" s="1"/>
  <c r="AK44" i="19" l="1"/>
  <c r="AI44" i="20"/>
  <c r="AG44" i="20"/>
  <c r="AK44" i="20" s="1"/>
  <c r="AO38" i="18"/>
  <c r="AD30" i="21"/>
  <c r="Y30" i="21"/>
  <c r="Z30" i="21"/>
  <c r="AA30" i="21" s="1"/>
  <c r="AB30" i="21" s="1"/>
  <c r="V31" i="21" s="1"/>
  <c r="W32" i="20"/>
  <c r="AC31" i="20"/>
  <c r="X32" i="20" s="1"/>
  <c r="AD29" i="19"/>
  <c r="Y29" i="19"/>
  <c r="Z29" i="19"/>
  <c r="AA29" i="19" s="1"/>
  <c r="AB29" i="19" s="1"/>
  <c r="V30" i="19" s="1"/>
  <c r="AO43" i="17"/>
  <c r="AK43" i="17"/>
  <c r="AK38" i="18"/>
  <c r="W33" i="18"/>
  <c r="AC32" i="18"/>
  <c r="X33" i="18" s="1"/>
  <c r="AD32" i="17"/>
  <c r="Y32" i="17"/>
  <c r="Z32" i="17"/>
  <c r="AA32" i="17" s="1"/>
  <c r="AB32" i="17" s="1"/>
  <c r="V33" i="17" s="1"/>
  <c r="W31" i="16"/>
  <c r="AC30" i="16"/>
  <c r="X31" i="16" s="1"/>
  <c r="AO44" i="20" l="1"/>
  <c r="W31" i="21"/>
  <c r="AC30" i="21"/>
  <c r="X31" i="21" s="1"/>
  <c r="AD32" i="20"/>
  <c r="Y32" i="20"/>
  <c r="Z32" i="20"/>
  <c r="AA32" i="20" s="1"/>
  <c r="AB32" i="20" s="1"/>
  <c r="V33" i="20" s="1"/>
  <c r="W30" i="19"/>
  <c r="AC29" i="19"/>
  <c r="X30" i="19" s="1"/>
  <c r="AG44" i="17"/>
  <c r="AI44" i="17"/>
  <c r="AG39" i="18"/>
  <c r="AI39" i="18"/>
  <c r="AD33" i="18"/>
  <c r="Y33" i="18"/>
  <c r="Z33" i="18"/>
  <c r="AA33" i="18" s="1"/>
  <c r="AB33" i="18" s="1"/>
  <c r="V34" i="18" s="1"/>
  <c r="W33" i="17"/>
  <c r="AC32" i="17"/>
  <c r="X33" i="17" s="1"/>
  <c r="AD31" i="16"/>
  <c r="Y31" i="16"/>
  <c r="Z31" i="16"/>
  <c r="AA31" i="16" s="1"/>
  <c r="AB31" i="16" s="1"/>
  <c r="V32" i="16" s="1"/>
  <c r="AO39" i="18" l="1"/>
  <c r="AD31" i="21"/>
  <c r="Y31" i="21"/>
  <c r="Z31" i="21"/>
  <c r="AA31" i="21" s="1"/>
  <c r="AB31" i="21" s="1"/>
  <c r="V32" i="21" s="1"/>
  <c r="W33" i="20"/>
  <c r="AC32" i="20"/>
  <c r="X33" i="20" s="1"/>
  <c r="AD30" i="19"/>
  <c r="Y30" i="19"/>
  <c r="Z30" i="19"/>
  <c r="AA30" i="19" s="1"/>
  <c r="AB30" i="19" s="1"/>
  <c r="V31" i="19" s="1"/>
  <c r="AO44" i="17"/>
  <c r="AK44" i="17"/>
  <c r="AK39" i="18"/>
  <c r="W34" i="18"/>
  <c r="AC33" i="18"/>
  <c r="X34" i="18" s="1"/>
  <c r="AD33" i="17"/>
  <c r="Y33" i="17"/>
  <c r="Z33" i="17"/>
  <c r="AA33" i="17" s="1"/>
  <c r="AB33" i="17" s="1"/>
  <c r="V34" i="17" s="1"/>
  <c r="W32" i="16"/>
  <c r="AC31" i="16"/>
  <c r="X32" i="16" s="1"/>
  <c r="W32" i="21" l="1"/>
  <c r="AC31" i="21"/>
  <c r="X32" i="21" s="1"/>
  <c r="AD33" i="20"/>
  <c r="Y33" i="20"/>
  <c r="Z33" i="20"/>
  <c r="AA33" i="20" s="1"/>
  <c r="AB33" i="20" s="1"/>
  <c r="V34" i="20" s="1"/>
  <c r="W31" i="19"/>
  <c r="AC30" i="19"/>
  <c r="X31" i="19" s="1"/>
  <c r="AG40" i="18"/>
  <c r="AI40" i="18"/>
  <c r="AD34" i="18"/>
  <c r="Y34" i="18"/>
  <c r="Z34" i="18"/>
  <c r="W34" i="17"/>
  <c r="AC33" i="17"/>
  <c r="X34" i="17" s="1"/>
  <c r="AD32" i="16"/>
  <c r="Y32" i="16"/>
  <c r="Z32" i="16"/>
  <c r="AA32" i="16" s="1"/>
  <c r="AB32" i="16" s="1"/>
  <c r="V33" i="16" s="1"/>
  <c r="AD32" i="21" l="1"/>
  <c r="Y32" i="21"/>
  <c r="Z32" i="21"/>
  <c r="AA32" i="21" s="1"/>
  <c r="AB32" i="21" s="1"/>
  <c r="V33" i="21" s="1"/>
  <c r="W34" i="20"/>
  <c r="AC33" i="20"/>
  <c r="X34" i="20" s="1"/>
  <c r="AD31" i="19"/>
  <c r="Y31" i="19"/>
  <c r="Z31" i="19"/>
  <c r="AA31" i="19" s="1"/>
  <c r="AB31" i="19" s="1"/>
  <c r="V32" i="19" s="1"/>
  <c r="AO40" i="18"/>
  <c r="AK40" i="18"/>
  <c r="O24" i="18"/>
  <c r="O25" i="18" s="1"/>
  <c r="G19" i="18" s="1"/>
  <c r="AA34" i="18"/>
  <c r="AB34" i="18" s="1"/>
  <c r="AD34" i="17"/>
  <c r="Y34" i="17"/>
  <c r="Z34" i="17"/>
  <c r="W33" i="16"/>
  <c r="AC32" i="16"/>
  <c r="X33" i="16" s="1"/>
  <c r="W33" i="21" l="1"/>
  <c r="AC32" i="21"/>
  <c r="X33" i="21" s="1"/>
  <c r="AD34" i="20"/>
  <c r="Y34" i="20"/>
  <c r="Z34" i="20"/>
  <c r="W32" i="19"/>
  <c r="AC31" i="19"/>
  <c r="X32" i="19" s="1"/>
  <c r="AG41" i="18"/>
  <c r="AI41" i="18"/>
  <c r="AC34" i="18"/>
  <c r="G22" i="18"/>
  <c r="G20" i="18"/>
  <c r="O24" i="17"/>
  <c r="O25" i="17" s="1"/>
  <c r="G19" i="17" s="1"/>
  <c r="AA34" i="17"/>
  <c r="AB34" i="17" s="1"/>
  <c r="AD33" i="16"/>
  <c r="Y33" i="16"/>
  <c r="Z33" i="16"/>
  <c r="AA33" i="16" s="1"/>
  <c r="AB33" i="16" s="1"/>
  <c r="V34" i="16" s="1"/>
  <c r="AO41" i="18" l="1"/>
  <c r="AD33" i="21"/>
  <c r="Y33" i="21"/>
  <c r="Z33" i="21"/>
  <c r="AA33" i="21" s="1"/>
  <c r="AB33" i="21" s="1"/>
  <c r="V34" i="21" s="1"/>
  <c r="O26" i="20"/>
  <c r="O27" i="20" s="1"/>
  <c r="G17" i="20" s="1"/>
  <c r="AA34" i="20"/>
  <c r="AB34" i="20" s="1"/>
  <c r="AD32" i="19"/>
  <c r="Y32" i="19"/>
  <c r="Z32" i="19"/>
  <c r="AA32" i="19" s="1"/>
  <c r="AB32" i="19" s="1"/>
  <c r="V33" i="19" s="1"/>
  <c r="AK41" i="18"/>
  <c r="G35" i="18"/>
  <c r="K8" i="18" s="1"/>
  <c r="K13" i="18" s="1"/>
  <c r="K4" i="18"/>
  <c r="AC34" i="17"/>
  <c r="G22" i="17"/>
  <c r="G20" i="17"/>
  <c r="W34" i="16"/>
  <c r="AC33" i="16"/>
  <c r="X34" i="16" s="1"/>
  <c r="W34" i="21" l="1"/>
  <c r="AC33" i="21"/>
  <c r="X34" i="21" s="1"/>
  <c r="AC34" i="20"/>
  <c r="G20" i="20"/>
  <c r="G18" i="20"/>
  <c r="W33" i="19"/>
  <c r="AC32" i="19"/>
  <c r="X33" i="19" s="1"/>
  <c r="AG42" i="18"/>
  <c r="AI42" i="18"/>
  <c r="K5" i="18"/>
  <c r="K17" i="18"/>
  <c r="K16" i="18"/>
  <c r="K40" i="18"/>
  <c r="K48" i="18"/>
  <c r="K32" i="18"/>
  <c r="G35" i="17"/>
  <c r="K4" i="17" s="1"/>
  <c r="AD34" i="16"/>
  <c r="Y34" i="16"/>
  <c r="Z34" i="16"/>
  <c r="K27" i="18" l="1"/>
  <c r="AJ4" i="18" s="1"/>
  <c r="AD34" i="21"/>
  <c r="Y34" i="21"/>
  <c r="Z34" i="21"/>
  <c r="K6" i="20"/>
  <c r="G33" i="20"/>
  <c r="K10" i="20" s="1"/>
  <c r="K15" i="20" s="1"/>
  <c r="K8" i="17"/>
  <c r="K13" i="17" s="1"/>
  <c r="K48" i="17" s="1"/>
  <c r="AD33" i="19"/>
  <c r="Y33" i="19"/>
  <c r="Z33" i="19"/>
  <c r="AA33" i="19" s="1"/>
  <c r="AB33" i="19" s="1"/>
  <c r="V34" i="19" s="1"/>
  <c r="AO42" i="18"/>
  <c r="AK42" i="18"/>
  <c r="K28" i="18"/>
  <c r="K41" i="18"/>
  <c r="K44" i="18" s="1"/>
  <c r="K33" i="18"/>
  <c r="K36" i="18" s="1"/>
  <c r="K49" i="18"/>
  <c r="K50" i="18" s="1"/>
  <c r="K5" i="17"/>
  <c r="K17" i="17"/>
  <c r="K16" i="17"/>
  <c r="O24" i="16"/>
  <c r="O25" i="16" s="1"/>
  <c r="G19" i="16" s="1"/>
  <c r="AA34" i="16"/>
  <c r="AB34" i="16" s="1"/>
  <c r="AL4" i="18" l="1"/>
  <c r="AH4" i="18"/>
  <c r="K40" i="17"/>
  <c r="K32" i="17"/>
  <c r="O26" i="21"/>
  <c r="O27" i="21" s="1"/>
  <c r="G17" i="21" s="1"/>
  <c r="AA34" i="21"/>
  <c r="AB34" i="21" s="1"/>
  <c r="K35" i="20"/>
  <c r="K43" i="20"/>
  <c r="K7" i="20"/>
  <c r="K18" i="20"/>
  <c r="K19" i="20"/>
  <c r="W34" i="19"/>
  <c r="AC33" i="19"/>
  <c r="X34" i="19" s="1"/>
  <c r="AG43" i="18"/>
  <c r="AI43" i="18"/>
  <c r="K27" i="17"/>
  <c r="K28" i="17" s="1"/>
  <c r="K49" i="17"/>
  <c r="K50" i="17" s="1"/>
  <c r="K41" i="17"/>
  <c r="K44" i="17" s="1"/>
  <c r="K33" i="17"/>
  <c r="K36" i="17" s="1"/>
  <c r="AC34" i="16"/>
  <c r="G22" i="16"/>
  <c r="G20" i="16"/>
  <c r="G20" i="21" l="1"/>
  <c r="G18" i="21"/>
  <c r="AC34" i="21"/>
  <c r="K44" i="20"/>
  <c r="K47" i="20" s="1"/>
  <c r="K36" i="20"/>
  <c r="K39" i="20" s="1"/>
  <c r="K30" i="20"/>
  <c r="AD34" i="19"/>
  <c r="Y34" i="19"/>
  <c r="Z34" i="19"/>
  <c r="AO43" i="18"/>
  <c r="AJ4" i="17"/>
  <c r="AL4" i="17"/>
  <c r="AH4" i="17"/>
  <c r="AK43" i="18"/>
  <c r="G35" i="16"/>
  <c r="K4" i="16" s="1"/>
  <c r="K6" i="21" l="1"/>
  <c r="G33" i="21"/>
  <c r="K10" i="21" s="1"/>
  <c r="K15" i="21" s="1"/>
  <c r="K8" i="16"/>
  <c r="K13" i="16" s="1"/>
  <c r="K40" i="16" s="1"/>
  <c r="K31" i="20"/>
  <c r="AH4" i="20"/>
  <c r="AL4" i="20"/>
  <c r="AJ4" i="20"/>
  <c r="O26" i="19"/>
  <c r="O27" i="19" s="1"/>
  <c r="G17" i="19" s="1"/>
  <c r="AA34" i="19"/>
  <c r="AB34" i="19" s="1"/>
  <c r="AG44" i="18"/>
  <c r="AI44" i="18"/>
  <c r="K17" i="16"/>
  <c r="K16" i="16"/>
  <c r="K5" i="16"/>
  <c r="K48" i="16" l="1"/>
  <c r="K32" i="16"/>
  <c r="K43" i="21"/>
  <c r="K35" i="21"/>
  <c r="K7" i="21"/>
  <c r="K19" i="21"/>
  <c r="K18" i="21"/>
  <c r="AC34" i="19"/>
  <c r="G20" i="19"/>
  <c r="G18" i="19"/>
  <c r="AO44" i="18"/>
  <c r="AK44" i="18"/>
  <c r="K33" i="16"/>
  <c r="K41" i="16"/>
  <c r="K44" i="16" s="1"/>
  <c r="K49" i="16"/>
  <c r="K27" i="16"/>
  <c r="K50" i="16" l="1"/>
  <c r="K36" i="16"/>
  <c r="K44" i="21"/>
  <c r="K47" i="21" s="1"/>
  <c r="K36" i="21"/>
  <c r="K39" i="21" s="1"/>
  <c r="K30" i="21"/>
  <c r="K6" i="19"/>
  <c r="G33" i="19"/>
  <c r="K10" i="19" s="1"/>
  <c r="K15" i="19" s="1"/>
  <c r="K28" i="16"/>
  <c r="AJ4" i="16"/>
  <c r="AH4" i="16"/>
  <c r="AL4" i="16"/>
  <c r="K31" i="21" l="1"/>
  <c r="AL4" i="21"/>
  <c r="AH4" i="21"/>
  <c r="AJ4" i="21"/>
  <c r="K35" i="19"/>
  <c r="K43" i="19"/>
  <c r="K7" i="19"/>
  <c r="K18" i="19"/>
  <c r="K19" i="19"/>
  <c r="K30" i="19" l="1"/>
  <c r="K31" i="19" s="1"/>
  <c r="K44" i="19"/>
  <c r="K47" i="19" s="1"/>
  <c r="K36" i="19"/>
  <c r="K39" i="19" s="1"/>
  <c r="AH4" i="19" l="1"/>
  <c r="AL4" i="19"/>
  <c r="AJ4" i="19"/>
</calcChain>
</file>

<file path=xl/sharedStrings.xml><?xml version="1.0" encoding="utf-8"?>
<sst xmlns="http://schemas.openxmlformats.org/spreadsheetml/2006/main" count="1665" uniqueCount="203">
  <si>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</si>
  <si>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</si>
  <si>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</si>
  <si>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</si>
  <si>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</si>
  <si>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</si>
  <si>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</si>
  <si>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</si>
  <si>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</si>
  <si>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</si>
  <si>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</si>
  <si>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</si>
  <si>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</si>
  <si>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</si>
  <si>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</si>
  <si>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</si>
  <si>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</si>
  <si>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</si>
  <si>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</si>
  <si>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</si>
  <si>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</si>
  <si>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</si>
  <si>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</si>
  <si>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</si>
  <si>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</si>
  <si>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</si>
  <si>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</si>
  <si>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</si>
  <si>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</si>
  <si>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</si>
  <si>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</si>
  <si>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</si>
  <si>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</si>
  <si>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</si>
  <si>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</si>
  <si>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</si>
  <si>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</si>
  <si>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</si>
  <si>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</si>
  <si>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</si>
  <si>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</si>
  <si>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</si>
  <si>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</si>
  <si>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</si>
  <si>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</si>
  <si>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</si>
  <si>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</si>
  <si>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</si>
  <si>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</si>
  <si>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</si>
  <si>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</si>
  <si>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</si>
  <si>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</si>
  <si>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</si>
  <si>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</si>
  <si>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</si>
  <si>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</si>
  <si>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</si>
  <si>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</si>
  <si>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</si>
  <si>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</si>
  <si>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</si>
  <si>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</si>
  <si>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</si>
  <si>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</si>
  <si>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</si>
  <si>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</si>
  <si>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</si>
  <si>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</si>
  <si>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</si>
  <si>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</si>
  <si>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</si>
  <si>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</si>
  <si>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</si>
  <si>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</si>
  <si>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</si>
  <si>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</si>
  <si>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</si>
  <si>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</si>
  <si>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</si>
  <si>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</si>
  <si>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</si>
  <si>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</si>
  <si>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</si>
  <si>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</si>
  <si>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</si>
  <si>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</si>
  <si>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</si>
  <si>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</si>
  <si>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</si>
  <si>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</si>
  <si>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</si>
  <si>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</si>
  <si>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</si>
  <si>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</si>
  <si>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</si>
  <si>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</si>
  <si>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</si>
  <si>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</si>
  <si>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</si>
  <si>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</si>
  <si>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</si>
  <si>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</si>
  <si>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</si>
  <si>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</si>
  <si>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</si>
  <si>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</si>
  <si>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</si>
  <si>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</si>
  <si>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</si>
  <si>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</si>
  <si>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</si>
  <si>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</si>
  <si>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</si>
  <si>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</si>
  <si>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</si>
  <si>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</si>
  <si>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</si>
  <si>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</si>
  <si>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</si>
  <si>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</si>
  <si>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</si>
  <si>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</si>
  <si>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</si>
  <si>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</si>
  <si>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</si>
  <si>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</si>
  <si>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</si>
  <si>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</si>
  <si>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</si>
  <si>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</si>
  <si>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</si>
  <si>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</si>
  <si>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</si>
  <si>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</si>
  <si>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</si>
  <si>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</si>
  <si>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</si>
  <si>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</si>
  <si>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</si>
  <si>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</si>
  <si>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</si>
  <si>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</si>
  <si>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</si>
  <si>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</si>
  <si>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</si>
  <si>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</si>
  <si>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</si>
  <si>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</si>
  <si>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</si>
  <si>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</si>
  <si>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</si>
  <si>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</si>
  <si>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</si>
  <si>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</si>
  <si>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</si>
  <si>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</si>
  <si>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</si>
  <si>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</si>
  <si>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</si>
  <si>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Bisection method for solving W_total</t>
  </si>
  <si>
    <t>lift+cruise</t>
  </si>
  <si>
    <t>lift</t>
  </si>
  <si>
    <t>Propeller|RPM_cruise</t>
  </si>
  <si>
    <t>p_max_prop</t>
  </si>
  <si>
    <t>p_max_prop_each</t>
  </si>
  <si>
    <t>CD0_wing</t>
  </si>
  <si>
    <t>f_e_non_hub_non_wing</t>
  </si>
  <si>
    <t>CD0_total</t>
  </si>
  <si>
    <t>r_propeller</t>
  </si>
  <si>
    <t>c_to_r_propeller</t>
  </si>
  <si>
    <t>flight_time</t>
  </si>
  <si>
    <t>Oswald_e</t>
  </si>
  <si>
    <t>wing_area</t>
  </si>
  <si>
    <t>m^2</t>
  </si>
  <si>
    <t>CL</t>
  </si>
  <si>
    <t>wing_AR</t>
  </si>
  <si>
    <t>CD</t>
  </si>
  <si>
    <t>prop_tip_speed</t>
  </si>
  <si>
    <t>prop_tip_speed_Mach</t>
  </si>
  <si>
    <t>L/D</t>
  </si>
  <si>
    <t>Propeller performance in cruise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</si>
  <si>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</si>
  <si>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</si>
  <si>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</si>
  <si>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</si>
  <si>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</si>
  <si>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</si>
  <si>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</si>
  <si>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wheeled</t>
  </si>
  <si>
    <t>l_sm</t>
  </si>
  <si>
    <t>n_ult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</si>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</sst>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7-004B-80A0-14CE28501D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7-004B-80A0-14CE28501D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7-004B-80A0-14CE28501D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7-004B-80A0-14CE28501D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7-004B-80A0-14CE28501D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multirotor_opt_weight!$K$39:$K$43</c:f>
              <c:numCache>
                <c:formatCode>General</c:formatCode>
                <c:ptCount val="5"/>
                <c:pt idx="0">
                  <c:v>21.53</c:v>
                </c:pt>
                <c:pt idx="1">
                  <c:v>45.03</c:v>
                </c:pt>
                <c:pt idx="2">
                  <c:v>21.59</c:v>
                </c:pt>
                <c:pt idx="3">
                  <c:v>6.97</c:v>
                </c:pt>
                <c:pt idx="4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67-004B-80A0-14CE28501D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7-A446-98FD-FDAA54BD1F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7-A446-98FD-FDAA54BD1F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7-A446-98FD-FDAA54BD1F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77-A446-98FD-FDAA54BD1F5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77-A446-98FD-FDAA54BD1F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multirotor_opt_weight!$K$31:$K$35</c:f>
              <c:numCache>
                <c:formatCode>General</c:formatCode>
                <c:ptCount val="5"/>
                <c:pt idx="0">
                  <c:v>600</c:v>
                </c:pt>
                <c:pt idx="1">
                  <c:v>1254.93</c:v>
                </c:pt>
                <c:pt idx="2">
                  <c:v>601.87</c:v>
                </c:pt>
                <c:pt idx="3">
                  <c:v>194.16</c:v>
                </c:pt>
                <c:pt idx="4">
                  <c:v>136.19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77-A446-98FD-FDAA54BD1F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C0-4E4E-9AB2-30478B4077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0-4E4E-9AB2-30478B4077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C0-4E4E-9AB2-30478B4077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C0-4E4E-9AB2-30478B40779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C0-4E4E-9AB2-30478B4077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multirotor_opt_energy!$K$39:$K$43</c:f>
              <c:numCache>
                <c:formatCode>General</c:formatCode>
                <c:ptCount val="5"/>
                <c:pt idx="0">
                  <c:v>21.35</c:v>
                </c:pt>
                <c:pt idx="1">
                  <c:v>44.17</c:v>
                </c:pt>
                <c:pt idx="2">
                  <c:v>22.71</c:v>
                </c:pt>
                <c:pt idx="3">
                  <c:v>6.87</c:v>
                </c:pt>
                <c:pt idx="4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C0-4E4E-9AB2-30478B4077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B-6D49-B39D-BA9035CE71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B-6D49-B39D-BA9035CE71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5B-6D49-B39D-BA9035CE71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5B-6D49-B39D-BA9035CE71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5B-6D49-B39D-BA9035CE71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multirotor_opt_energy!$K$31:$K$35</c:f>
              <c:numCache>
                <c:formatCode>General</c:formatCode>
                <c:ptCount val="5"/>
                <c:pt idx="0">
                  <c:v>600</c:v>
                </c:pt>
                <c:pt idx="1">
                  <c:v>1241.26</c:v>
                </c:pt>
                <c:pt idx="2">
                  <c:v>638.22</c:v>
                </c:pt>
                <c:pt idx="3">
                  <c:v>193.1</c:v>
                </c:pt>
                <c:pt idx="4">
                  <c:v>137.38999999999999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B-6D49-B39D-BA9035CE71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54-C54F-81DD-33605AD0302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54-C54F-81DD-33605AD0302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54-C54F-81DD-33605AD0302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54-C54F-81DD-33605AD0302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54-C54F-81DD-33605AD030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multirotor_opt_time!$K$39:$K$43</c:f>
              <c:numCache>
                <c:formatCode>General</c:formatCode>
                <c:ptCount val="5"/>
                <c:pt idx="0">
                  <c:v>10.64</c:v>
                </c:pt>
                <c:pt idx="1">
                  <c:v>55.48</c:v>
                </c:pt>
                <c:pt idx="2">
                  <c:v>23.84</c:v>
                </c:pt>
                <c:pt idx="3">
                  <c:v>4.84</c:v>
                </c:pt>
                <c:pt idx="4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54-C54F-81DD-33605AD0302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6E-0F48-B66C-F1894512349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6E-0F48-B66C-F1894512349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6E-0F48-B66C-F1894512349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6E-0F48-B66C-F1894512349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6E-0F48-B66C-F189451234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multirotor_opt_time!$K$31:$K$35</c:f>
              <c:numCache>
                <c:formatCode>General</c:formatCode>
                <c:ptCount val="5"/>
                <c:pt idx="0">
                  <c:v>600</c:v>
                </c:pt>
                <c:pt idx="1">
                  <c:v>3129.4</c:v>
                </c:pt>
                <c:pt idx="2">
                  <c:v>1344.97</c:v>
                </c:pt>
                <c:pt idx="3">
                  <c:v>273.2</c:v>
                </c:pt>
                <c:pt idx="4">
                  <c:v>293.45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6E-0F48-B66C-F189451234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DF-0A48-B860-65C7907DAF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DF-0A48-B860-65C7907DAF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7DF-0A48-B860-65C7907DAF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7DF-0A48-B860-65C7907DAF1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7DF-0A48-B860-65C7907DAF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liftcruise_opt_weight!$K$42:$K$46</c:f>
              <c:numCache>
                <c:formatCode>General</c:formatCode>
                <c:ptCount val="5"/>
                <c:pt idx="0">
                  <c:v>600</c:v>
                </c:pt>
                <c:pt idx="1">
                  <c:v>408.96</c:v>
                </c:pt>
                <c:pt idx="2">
                  <c:v>246.49</c:v>
                </c:pt>
                <c:pt idx="3">
                  <c:v>456.06</c:v>
                </c:pt>
                <c:pt idx="4">
                  <c:v>85.51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DF-0A48-B860-65C7907DAF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89-764D-ADB3-C85B3B957C2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89-764D-ADB3-C85B3B957C2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89-764D-ADB3-C85B3B957C2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289-764D-ADB3-C85B3B957C2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289-764D-ADB3-C85B3B957C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liftcruise_opt_weight!$K$34:$K$38</c:f>
              <c:numCache>
                <c:formatCode>General</c:formatCode>
                <c:ptCount val="5"/>
                <c:pt idx="0">
                  <c:v>33.39</c:v>
                </c:pt>
                <c:pt idx="1">
                  <c:v>22.76</c:v>
                </c:pt>
                <c:pt idx="2">
                  <c:v>13.72</c:v>
                </c:pt>
                <c:pt idx="3">
                  <c:v>25.38</c:v>
                </c:pt>
                <c:pt idx="4">
                  <c:v>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89-764D-ADB3-C85B3B957C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12-8843-A4F5-6299154A0EF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12-8843-A4F5-6299154A0EF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12-8843-A4F5-6299154A0EF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912-8843-A4F5-6299154A0EF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912-8843-A4F5-6299154A0E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liftcruise_opt_energy!$K$42:$K$46</c:f>
              <c:numCache>
                <c:formatCode>General</c:formatCode>
                <c:ptCount val="5"/>
                <c:pt idx="0">
                  <c:v>600</c:v>
                </c:pt>
                <c:pt idx="1">
                  <c:v>376.56</c:v>
                </c:pt>
                <c:pt idx="2">
                  <c:v>241.74</c:v>
                </c:pt>
                <c:pt idx="3">
                  <c:v>564.95000000000005</c:v>
                </c:pt>
                <c:pt idx="4">
                  <c:v>89.29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12-8843-A4F5-6299154A0EF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45-3447-817A-E148A46F88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45-3447-817A-E148A46F88A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45-3447-817A-E148A46F88A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45-3447-817A-E148A46F88A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45-3447-817A-E148A46F88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liftcruise_opt_energy!$K$34:$K$38</c:f>
              <c:numCache>
                <c:formatCode>General</c:formatCode>
                <c:ptCount val="5"/>
                <c:pt idx="0">
                  <c:v>32.04</c:v>
                </c:pt>
                <c:pt idx="1">
                  <c:v>20.11</c:v>
                </c:pt>
                <c:pt idx="2">
                  <c:v>12.91</c:v>
                </c:pt>
                <c:pt idx="3">
                  <c:v>30.17</c:v>
                </c:pt>
                <c:pt idx="4">
                  <c:v>4.7699999999999996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45-3447-817A-E148A46F88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0B-E74E-9233-3B80E5D53AD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0B-E74E-9233-3B80E5D53AD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00B-E74E-9233-3B80E5D53AD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00B-E74E-9233-3B80E5D53AD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00B-E74E-9233-3B80E5D53A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liftcruise_opt_time!$J$42:$J$46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liftcruise_opt_time!$K$42:$K$46</c:f>
              <c:numCache>
                <c:formatCode>General</c:formatCode>
                <c:ptCount val="5"/>
                <c:pt idx="0">
                  <c:v>600</c:v>
                </c:pt>
                <c:pt idx="1">
                  <c:v>1155.28</c:v>
                </c:pt>
                <c:pt idx="2">
                  <c:v>569.62</c:v>
                </c:pt>
                <c:pt idx="3">
                  <c:v>598.01</c:v>
                </c:pt>
                <c:pt idx="4">
                  <c:v>151.32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0B-E74E-9233-3B80E5D53AD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4E-D647-B6D9-88925379B61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4E-D647-B6D9-88925379B61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4E-D647-B6D9-88925379B61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4E-D647-B6D9-88925379B61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4E-D647-B6D9-88925379B6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liftcruise_opt_time!$J$34:$J$38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liftcruise_opt_time!$K$34:$K$38</c:f>
              <c:numCache>
                <c:formatCode>General</c:formatCode>
                <c:ptCount val="5"/>
                <c:pt idx="0">
                  <c:v>19.52</c:v>
                </c:pt>
                <c:pt idx="1">
                  <c:v>37.58</c:v>
                </c:pt>
                <c:pt idx="2">
                  <c:v>18.53</c:v>
                </c:pt>
                <c:pt idx="3">
                  <c:v>19.45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4E-D647-B6D9-88925379B6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5A728-97F7-DF45-97CA-2AE4C58C6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42776-1ABB-CF43-B8F5-52ED5A98F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DEFC1-4F8C-AB42-B60A-924C9E289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C23BF-12B3-3040-AF7F-F08ADBA23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B57518-282F-5D4E-887B-1110506BB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E6E0D-D8FE-3044-84E3-EBBC256B0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74F60-470E-2C4F-A050-2A3304384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F1703-77FE-5340-8B3C-DC20A1BF5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98B67-1C14-2241-889C-4935F9F92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A0C19-5D30-594A-B338-7104856A0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63C57-E300-2844-B639-653AB46AB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F845D0-359E-1A49-9DB8-B6280D77A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DFBB-4DC1-7D4A-8A65-BB29C8D40E75}">
  <dimension ref="B1:AO56"/>
  <sheetViews>
    <sheetView tabSelected="1" workbookViewId="0">
      <selection activeCell="D5" sqref="D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6" t="s">
        <v>0</v>
      </c>
      <c r="C1" s="36"/>
      <c r="D1" s="36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4"/>
      <c r="D3" s="34"/>
      <c r="F3" s="32" t="s">
        <v>80</v>
      </c>
      <c r="G3" s="34"/>
      <c r="H3" s="34"/>
      <c r="J3" s="30" t="s">
        <v>98</v>
      </c>
      <c r="K3" s="30"/>
      <c r="L3" s="30"/>
      <c r="N3" s="30" t="s">
        <v>92</v>
      </c>
      <c r="O3" s="30"/>
      <c r="P3" s="30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585.0876833951661</v>
      </c>
      <c r="L4" s="6" t="s">
        <v>101</v>
      </c>
      <c r="N4" s="6" t="s">
        <v>22</v>
      </c>
      <c r="O4" s="6">
        <f xml:space="preserve"> 0.5 * $C$47 * $C$8^2</f>
        <v>1960.3646354408147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4.2352214645588894E-2</v>
      </c>
      <c r="X4" s="3">
        <v>1</v>
      </c>
      <c r="Y4" s="2">
        <f t="shared" ref="Y4:Y34" si="1" xml:space="preserve"> $O$20 * TAN($O$17/180*PI()) + $O$21 / (2 * SQRT($O$20^2 + X4^2)) - X4</f>
        <v>-0.96372486362075471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-0.46114899302162488</v>
      </c>
      <c r="AB4" s="2">
        <f>W4*AA4</f>
        <v>-1.9530681136049031E-2</v>
      </c>
      <c r="AC4" s="2">
        <f>Y4*AA4</f>
        <v>0.44442075040861378</v>
      </c>
      <c r="AD4" s="2">
        <f>X4-V4</f>
        <v>1</v>
      </c>
      <c r="AF4" s="2">
        <v>0</v>
      </c>
      <c r="AG4" s="2"/>
      <c r="AH4" s="2">
        <f>K27</f>
        <v>-8.6873116410970397E-3</v>
      </c>
      <c r="AI4" s="2"/>
      <c r="AJ4" s="2">
        <f>K27</f>
        <v>-8.6873116410970397E-3</v>
      </c>
      <c r="AK4" s="2"/>
      <c r="AL4" s="2">
        <f>K27</f>
        <v>-8.6873116410970397E-3</v>
      </c>
      <c r="AM4" s="2"/>
      <c r="AN4" s="2"/>
      <c r="AO4" s="2"/>
    </row>
    <row r="5" spans="2:41" x14ac:dyDescent="0.2">
      <c r="B5" s="10" t="s">
        <v>37</v>
      </c>
      <c r="C5" s="10">
        <v>2787.1417767390999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146.27192084879152</v>
      </c>
      <c r="L5" s="6" t="s">
        <v>101</v>
      </c>
      <c r="N5" s="6" t="s">
        <v>114</v>
      </c>
      <c r="O5" s="6">
        <f xml:space="preserve"> $C$18 * 0.85 * ($C$5/$C$18 *2.20462/1000)^(2/3) * 0.3048^2</f>
        <v>0.42053038826294137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4.2352214645588894E-2</v>
      </c>
      <c r="X5" s="2">
        <f>IF(AC4&gt;0, Z4, X4)</f>
        <v>0.5</v>
      </c>
      <c r="Y5" s="2">
        <f t="shared" si="1"/>
        <v>-0.46114899302162488</v>
      </c>
      <c r="Z5" s="2">
        <f t="shared" ref="Z5:Z34" si="3" xml:space="preserve"> (V5 + X5)/2</f>
        <v>0.25</v>
      </c>
      <c r="AA5" s="2">
        <f t="shared" si="2"/>
        <v>-0.20901345357409226</v>
      </c>
      <c r="AB5" s="2">
        <f t="shared" ref="AB5:AB34" si="4">W5*AA5</f>
        <v>-8.8521826495857846E-3</v>
      </c>
      <c r="AC5" s="2">
        <f t="shared" ref="AC5:AC34" si="5">Y5*AA5</f>
        <v>9.6386343643664787E-2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-1135.221259468902</v>
      </c>
      <c r="AI5" s="3">
        <v>10000</v>
      </c>
      <c r="AJ5" s="2">
        <f t="dataTable" ref="AJ5:AJ44" dt2D="0" dtr="0" r1="C5"/>
        <v>748.10169802974269</v>
      </c>
      <c r="AK5" s="2">
        <f>(AG5+AI5)/2</f>
        <v>5250</v>
      </c>
      <c r="AL5" s="2">
        <f t="dataTable" ref="AL5:AL44" dt2D="0" dtr="0" r1="C5" ca="1"/>
        <v>726.71925006285392</v>
      </c>
      <c r="AM5" s="2">
        <f>AH5*AL5</f>
        <v>-824987.14233664889</v>
      </c>
      <c r="AN5" s="2">
        <f>AJ5*AL5</f>
        <v>543659.90496292221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4.2352214645588894E-2</v>
      </c>
      <c r="X6" s="2">
        <f t="shared" ref="X6:X34" si="8">IF(AC5&gt;0, Z5, X5)</f>
        <v>0.25</v>
      </c>
      <c r="Y6" s="2">
        <f t="shared" si="1"/>
        <v>-0.20901345357409226</v>
      </c>
      <c r="Z6" s="2">
        <f t="shared" si="3"/>
        <v>0.125</v>
      </c>
      <c r="AA6" s="2">
        <f t="shared" si="2"/>
        <v>-8.3048785507449874E-2</v>
      </c>
      <c r="AB6" s="2">
        <f t="shared" si="4"/>
        <v>-3.5172999898669894E-3</v>
      </c>
      <c r="AC6" s="2">
        <f t="shared" si="5"/>
        <v>1.7358313474046122E-2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-1135.221259468902</v>
      </c>
      <c r="AI6" s="2">
        <f>IF(AN5&gt;0, AK5, AI5)</f>
        <v>5250</v>
      </c>
      <c r="AJ6" s="2">
        <v>726.71925006285392</v>
      </c>
      <c r="AK6" s="2">
        <f t="shared" ref="AK6:AK43" si="9">(AG6+AI6)/2</f>
        <v>2875</v>
      </c>
      <c r="AL6" s="2">
        <v>34.99911616792906</v>
      </c>
      <c r="AM6" s="2">
        <f t="shared" ref="AM6:AM44" si="10">AH6*AL6</f>
        <v>-39731.740736454834</v>
      </c>
      <c r="AN6" s="2">
        <f t="shared" ref="AN6:AN44" si="11">AJ6*AL6</f>
        <v>25434.531454420114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400.68315226026999</v>
      </c>
      <c r="D7" s="6" t="s">
        <v>125</v>
      </c>
      <c r="F7" t="s">
        <v>121</v>
      </c>
      <c r="G7" s="8">
        <f>$C$6*2*PI()/60*$C$9</f>
        <v>144.80388481876139</v>
      </c>
      <c r="H7" s="6" t="s">
        <v>10</v>
      </c>
      <c r="J7" s="30" t="s">
        <v>21</v>
      </c>
      <c r="K7" s="30"/>
      <c r="L7" s="30"/>
      <c r="N7" s="6" t="s">
        <v>159</v>
      </c>
      <c r="O7" s="6">
        <f>O5+$O$6</f>
        <v>1.0508070115980375</v>
      </c>
      <c r="P7" s="6" t="s">
        <v>115</v>
      </c>
      <c r="U7" s="2">
        <v>3</v>
      </c>
      <c r="V7" s="2">
        <f t="shared" si="7"/>
        <v>0</v>
      </c>
      <c r="W7" s="2">
        <f t="shared" si="0"/>
        <v>4.2352214645588894E-2</v>
      </c>
      <c r="X7" s="2">
        <f t="shared" si="8"/>
        <v>0.125</v>
      </c>
      <c r="Y7" s="2">
        <f t="shared" si="1"/>
        <v>-8.3048785507449874E-2</v>
      </c>
      <c r="Z7" s="2">
        <f t="shared" si="3"/>
        <v>6.25E-2</v>
      </c>
      <c r="AA7" s="2">
        <f t="shared" si="2"/>
        <v>-2.0252715998588647E-2</v>
      </c>
      <c r="AB7" s="2">
        <f t="shared" si="4"/>
        <v>-8.5774737512837862E-4</v>
      </c>
      <c r="AC7" s="2">
        <f t="shared" si="5"/>
        <v>1.6819634669100871E-3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-1135.221259468902</v>
      </c>
      <c r="AI7" s="2">
        <f t="shared" ref="AI7:AI44" si="14">IF(AN6&gt;0, AK6, AI6)</f>
        <v>2875</v>
      </c>
      <c r="AJ7" s="2">
        <v>34.99911616792906</v>
      </c>
      <c r="AK7" s="2">
        <f t="shared" si="9"/>
        <v>1687.5</v>
      </c>
      <c r="AL7" s="2">
        <v>-489.2577389931264</v>
      </c>
      <c r="AM7" s="2">
        <f t="shared" si="10"/>
        <v>555415.7866646843</v>
      </c>
      <c r="AN7" s="2">
        <f t="shared" si="11"/>
        <v>-17123.588443078745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224.459708284725 * 1000/3600</f>
        <v>62.349918967979164</v>
      </c>
      <c r="D8" s="6" t="s">
        <v>10</v>
      </c>
      <c r="F8" t="s">
        <v>124</v>
      </c>
      <c r="G8" s="8">
        <f>G7/$C$43</f>
        <v>0.43365240120059728</v>
      </c>
      <c r="H8" s="6" t="s">
        <v>122</v>
      </c>
      <c r="J8" s="6" t="s">
        <v>96</v>
      </c>
      <c r="K8" s="6">
        <f xml:space="preserve"> $C$15 * (G12*G6 + G22*G15 + G31*G27 +G35*G34)/3600</f>
        <v>213.33847400343686</v>
      </c>
      <c r="L8" s="6" t="s">
        <v>102</v>
      </c>
      <c r="N8" s="6" t="s">
        <v>38</v>
      </c>
      <c r="O8" s="6">
        <f xml:space="preserve"> O4 *O7</f>
        <v>2059.9649042100386</v>
      </c>
      <c r="P8" s="6" t="s">
        <v>20</v>
      </c>
      <c r="U8" s="2">
        <v>4</v>
      </c>
      <c r="V8" s="2">
        <f t="shared" si="7"/>
        <v>0</v>
      </c>
      <c r="W8" s="2">
        <f t="shared" si="0"/>
        <v>4.2352214645588894E-2</v>
      </c>
      <c r="X8" s="2">
        <f t="shared" si="8"/>
        <v>6.25E-2</v>
      </c>
      <c r="Y8" s="2">
        <f t="shared" si="1"/>
        <v>-2.0252715998588647E-2</v>
      </c>
      <c r="Z8" s="2">
        <f t="shared" si="3"/>
        <v>3.125E-2</v>
      </c>
      <c r="AA8" s="2">
        <f t="shared" si="2"/>
        <v>1.1075670182297694E-2</v>
      </c>
      <c r="AB8" s="2">
        <f t="shared" si="4"/>
        <v>4.6907916090442061E-4</v>
      </c>
      <c r="AC8" s="2">
        <f t="shared" si="5"/>
        <v>-2.2431240269611173E-4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-489.2577389931264</v>
      </c>
      <c r="AI8" s="2">
        <f t="shared" si="14"/>
        <v>2875</v>
      </c>
      <c r="AJ8" s="2">
        <v>34.99911616792906</v>
      </c>
      <c r="AK8" s="2">
        <f t="shared" si="9"/>
        <v>2281.25</v>
      </c>
      <c r="AL8" s="2">
        <v>-214.14612285582461</v>
      </c>
      <c r="AM8" s="2">
        <f t="shared" si="10"/>
        <v>104772.64788258502</v>
      </c>
      <c r="AN8" s="2">
        <f t="shared" si="11"/>
        <v>-7494.9250307426137</v>
      </c>
      <c r="AO8" s="2">
        <f t="shared" si="12"/>
        <v>1187.5</v>
      </c>
    </row>
    <row r="9" spans="2:41" x14ac:dyDescent="0.2">
      <c r="B9" s="6" t="s">
        <v>95</v>
      </c>
      <c r="C9" s="17">
        <v>3.4569381071723</v>
      </c>
      <c r="D9" s="6" t="s">
        <v>8</v>
      </c>
      <c r="F9" t="s">
        <v>19</v>
      </c>
      <c r="G9" s="6">
        <f xml:space="preserve"> $C$5 * $C$44 / $C$18</f>
        <v>6829.536394170249</v>
      </c>
      <c r="H9" s="6" t="s">
        <v>20</v>
      </c>
      <c r="J9" s="6" t="s">
        <v>138</v>
      </c>
      <c r="K9" s="6">
        <f xml:space="preserve"> $C$15 * (G6 + G15 + G27 + G34)/60</f>
        <v>52.064188709787167</v>
      </c>
      <c r="L9" s="6" t="s">
        <v>103</v>
      </c>
      <c r="N9" s="6" t="s">
        <v>39</v>
      </c>
      <c r="O9" s="6">
        <f xml:space="preserve"> O8</f>
        <v>2059.9649042100386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1.1075670182297694E-2</v>
      </c>
      <c r="X9" s="2">
        <f t="shared" si="8"/>
        <v>6.25E-2</v>
      </c>
      <c r="Y9" s="2">
        <f t="shared" si="1"/>
        <v>-2.0252715998588647E-2</v>
      </c>
      <c r="Z9" s="2">
        <f t="shared" si="3"/>
        <v>4.6875E-2</v>
      </c>
      <c r="AA9" s="2">
        <f t="shared" si="2"/>
        <v>-4.5822158422129389E-3</v>
      </c>
      <c r="AB9" s="2">
        <f t="shared" si="4"/>
        <v>-5.0751111372449961E-5</v>
      </c>
      <c r="AC9" s="2">
        <f t="shared" si="5"/>
        <v>9.2802316096572335E-5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-214.14612285582461</v>
      </c>
      <c r="AI9" s="2">
        <f t="shared" si="14"/>
        <v>2875</v>
      </c>
      <c r="AJ9" s="2">
        <v>34.99911616792906</v>
      </c>
      <c r="AK9" s="2">
        <f t="shared" si="9"/>
        <v>2578.125</v>
      </c>
      <c r="AL9" s="2">
        <v>-85.977418590217894</v>
      </c>
      <c r="AM9" s="2">
        <f t="shared" si="10"/>
        <v>18411.73084424746</v>
      </c>
      <c r="AN9" s="2">
        <f t="shared" si="11"/>
        <v>-3009.1336610576996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97.514613899194359</v>
      </c>
      <c r="H10" s="6" t="s">
        <v>101</v>
      </c>
      <c r="N10" s="6" t="s">
        <v>113</v>
      </c>
      <c r="O10" s="6">
        <f>O7/(0.3048^2)/($C$5*2.20462/1000)^(2/3)</f>
        <v>3.3715621316664968</v>
      </c>
      <c r="U10" s="2">
        <v>6</v>
      </c>
      <c r="V10" s="2">
        <f t="shared" si="7"/>
        <v>3.125E-2</v>
      </c>
      <c r="W10" s="2">
        <f t="shared" si="0"/>
        <v>1.1075670182297694E-2</v>
      </c>
      <c r="X10" s="2">
        <f t="shared" si="8"/>
        <v>4.6875E-2</v>
      </c>
      <c r="Y10" s="2">
        <f t="shared" si="1"/>
        <v>-4.5822158422129389E-3</v>
      </c>
      <c r="Z10" s="2">
        <f t="shared" si="3"/>
        <v>3.90625E-2</v>
      </c>
      <c r="AA10" s="2">
        <f t="shared" si="2"/>
        <v>3.2483312481010954E-3</v>
      </c>
      <c r="AB10" s="2">
        <f t="shared" si="4"/>
        <v>3.5977445546819157E-5</v>
      </c>
      <c r="AC10" s="2">
        <f t="shared" si="5"/>
        <v>-1.4884554905804168E-5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-85.977418590217894</v>
      </c>
      <c r="AI10" s="2">
        <f t="shared" si="14"/>
        <v>2875</v>
      </c>
      <c r="AJ10" s="2">
        <v>34.99911616792906</v>
      </c>
      <c r="AK10" s="2">
        <f t="shared" si="9"/>
        <v>2726.5625</v>
      </c>
      <c r="AL10" s="2">
        <v>-24.541630884373717</v>
      </c>
      <c r="AM10" s="2">
        <f t="shared" si="10"/>
        <v>2110.0260714324186</v>
      </c>
      <c r="AN10" s="2">
        <f t="shared" si="11"/>
        <v>-858.93539027263137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7.1454463728388067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3.90625E-2</v>
      </c>
      <c r="W11" s="2">
        <f t="shared" si="0"/>
        <v>3.2483312481010954E-3</v>
      </c>
      <c r="X11" s="2">
        <f t="shared" si="8"/>
        <v>4.6875E-2</v>
      </c>
      <c r="Y11" s="2">
        <f t="shared" si="1"/>
        <v>-4.5822158422129389E-3</v>
      </c>
      <c r="Z11" s="2">
        <f t="shared" si="3"/>
        <v>4.296875E-2</v>
      </c>
      <c r="AA11" s="2">
        <f t="shared" si="2"/>
        <v>-6.6654435301789078E-4</v>
      </c>
      <c r="AB11" s="2">
        <f t="shared" si="4"/>
        <v>-2.1651568501533422E-6</v>
      </c>
      <c r="AC11" s="2">
        <f t="shared" si="5"/>
        <v>3.0542500939361529E-6</v>
      </c>
      <c r="AD11" s="2">
        <f t="shared" si="6"/>
        <v>7.8125E-3</v>
      </c>
      <c r="AF11" s="2">
        <v>7</v>
      </c>
      <c r="AG11" s="2">
        <f t="shared" si="13"/>
        <v>2726.5625</v>
      </c>
      <c r="AH11" s="2">
        <v>-24.541630884373717</v>
      </c>
      <c r="AI11" s="2">
        <f t="shared" si="14"/>
        <v>2875</v>
      </c>
      <c r="AJ11" s="2">
        <v>34.99911616792906</v>
      </c>
      <c r="AK11" s="2">
        <f t="shared" si="9"/>
        <v>2800.78125</v>
      </c>
      <c r="AL11" s="2">
        <v>5.4707596407515666</v>
      </c>
      <c r="AM11" s="2">
        <f t="shared" si="10"/>
        <v>-134.26136376045392</v>
      </c>
      <c r="AN11" s="2">
        <f t="shared" si="11"/>
        <v>191.47175219348193</v>
      </c>
      <c r="AO11" s="2">
        <f t="shared" si="12"/>
        <v>148.4375</v>
      </c>
    </row>
    <row r="12" spans="2:41" x14ac:dyDescent="0.2">
      <c r="B12" s="30" t="s">
        <v>11</v>
      </c>
      <c r="C12" s="30"/>
      <c r="D12" s="30"/>
      <c r="F12" s="24" t="s">
        <v>82</v>
      </c>
      <c r="G12" s="25">
        <f xml:space="preserve"> 1/1000 * (($C$5*$C$44)/$C$21 * ( ($G$4/2) + SQRT( ($G$4/2)^2 + ($C$5*$C$44) / (2*$C$41*PI()*$C$9^2 * $C$18) ) ) )</f>
        <v>390.05845559677743</v>
      </c>
      <c r="H12" s="25" t="s">
        <v>101</v>
      </c>
      <c r="J12" s="10" t="s">
        <v>79</v>
      </c>
      <c r="K12" s="6">
        <f>C5</f>
        <v>2787.1417767390999</v>
      </c>
      <c r="L12" s="6" t="s">
        <v>7</v>
      </c>
      <c r="N12" s="32" t="s">
        <v>73</v>
      </c>
      <c r="O12" s="35"/>
      <c r="P12" s="35"/>
      <c r="U12" s="2">
        <v>8</v>
      </c>
      <c r="V12" s="2">
        <f t="shared" si="7"/>
        <v>3.90625E-2</v>
      </c>
      <c r="W12" s="2">
        <f t="shared" si="0"/>
        <v>3.2483312481010954E-3</v>
      </c>
      <c r="X12" s="2">
        <f t="shared" si="8"/>
        <v>4.296875E-2</v>
      </c>
      <c r="Y12" s="2">
        <f t="shared" si="1"/>
        <v>-6.6654435301789078E-4</v>
      </c>
      <c r="Z12" s="2">
        <f t="shared" si="3"/>
        <v>4.1015625E-2</v>
      </c>
      <c r="AA12" s="2">
        <f t="shared" si="2"/>
        <v>1.2909933397125262E-3</v>
      </c>
      <c r="AB12" s="2">
        <f t="shared" si="4"/>
        <v>4.1935740064785913E-6</v>
      </c>
      <c r="AC12" s="2">
        <f t="shared" si="5"/>
        <v>-8.6050432036909181E-7</v>
      </c>
      <c r="AD12" s="2">
        <f t="shared" si="6"/>
        <v>3.90625E-3</v>
      </c>
      <c r="AF12" s="2">
        <v>8</v>
      </c>
      <c r="AG12" s="2">
        <f t="shared" si="13"/>
        <v>2726.5625</v>
      </c>
      <c r="AH12" s="2">
        <v>-24.541630884373717</v>
      </c>
      <c r="AI12" s="2">
        <f t="shared" si="14"/>
        <v>2800.78125</v>
      </c>
      <c r="AJ12" s="2">
        <v>5.4707596407515666</v>
      </c>
      <c r="AK12" s="2">
        <f t="shared" si="9"/>
        <v>2763.671875</v>
      </c>
      <c r="AL12" s="2">
        <v>-9.4754883462355792</v>
      </c>
      <c r="AM12" s="2">
        <f t="shared" si="10"/>
        <v>232.54393744249833</v>
      </c>
      <c r="AN12" s="2">
        <f t="shared" si="11"/>
        <v>-51.838119220997413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1254.9322000202169</v>
      </c>
      <c r="L13" s="6" t="s">
        <v>7</v>
      </c>
      <c r="N13" s="6" t="s">
        <v>74</v>
      </c>
      <c r="O13" s="6">
        <f xml:space="preserve"> SQRT( ($C$5*$C$50)^2 + O9^2)</f>
        <v>27393.097198468458</v>
      </c>
      <c r="P13" s="6" t="s">
        <v>20</v>
      </c>
      <c r="U13" s="2">
        <v>9</v>
      </c>
      <c r="V13" s="2">
        <f t="shared" si="7"/>
        <v>4.1015625E-2</v>
      </c>
      <c r="W13" s="2">
        <f t="shared" si="0"/>
        <v>1.2909933397125262E-3</v>
      </c>
      <c r="X13" s="2">
        <f t="shared" si="8"/>
        <v>4.296875E-2</v>
      </c>
      <c r="Y13" s="2">
        <f t="shared" si="1"/>
        <v>-6.6654435301789078E-4</v>
      </c>
      <c r="Z13" s="2">
        <f t="shared" si="3"/>
        <v>4.19921875E-2</v>
      </c>
      <c r="AA13" s="2">
        <f t="shared" si="2"/>
        <v>3.1224941696106345E-4</v>
      </c>
      <c r="AB13" s="2">
        <f t="shared" si="4"/>
        <v>4.031119176258524E-7</v>
      </c>
      <c r="AC13" s="2">
        <f t="shared" si="5"/>
        <v>-2.0812808560852566E-7</v>
      </c>
      <c r="AD13" s="2">
        <f t="shared" si="6"/>
        <v>1.953125E-3</v>
      </c>
      <c r="AF13" s="2">
        <v>9</v>
      </c>
      <c r="AG13" s="2">
        <f t="shared" si="13"/>
        <v>2763.671875</v>
      </c>
      <c r="AH13" s="2">
        <v>-9.4754883462355792</v>
      </c>
      <c r="AI13" s="2">
        <f t="shared" si="14"/>
        <v>2800.78125</v>
      </c>
      <c r="AJ13" s="2">
        <v>5.4707596407515666</v>
      </c>
      <c r="AK13" s="2">
        <f t="shared" si="9"/>
        <v>2782.2265625</v>
      </c>
      <c r="AL13" s="2">
        <v>-1.9873119312601375</v>
      </c>
      <c r="AM13" s="2">
        <f t="shared" si="10"/>
        <v>18.830751044990354</v>
      </c>
      <c r="AN13" s="2">
        <f t="shared" si="11"/>
        <v>-10.872105907122013</v>
      </c>
      <c r="AO13" s="2">
        <f t="shared" si="12"/>
        <v>37.109375</v>
      </c>
    </row>
    <row r="14" spans="2:41" x14ac:dyDescent="0.2">
      <c r="B14" s="6" t="s">
        <v>12</v>
      </c>
      <c r="C14" s="17">
        <f>100 * 1000</f>
        <v>100000</v>
      </c>
      <c r="D14" s="6" t="s">
        <v>8</v>
      </c>
      <c r="F14" s="32" t="s">
        <v>86</v>
      </c>
      <c r="G14" s="34"/>
      <c r="H14" s="34"/>
      <c r="J14" s="12" t="s">
        <v>126</v>
      </c>
      <c r="K14" s="6">
        <f xml:space="preserve"> $C$54 * $C$18 * (0.0095 * MAX(G9,O18,G28) - 1.9275)</f>
        <v>202.01953870836027</v>
      </c>
      <c r="L14" s="6" t="s">
        <v>7</v>
      </c>
      <c r="N14" s="6" t="s">
        <v>75</v>
      </c>
      <c r="O14" s="6">
        <f>$C$5*$C$50/O13</f>
        <v>0.99716846022441152</v>
      </c>
      <c r="U14" s="2">
        <v>10</v>
      </c>
      <c r="V14" s="2">
        <f t="shared" si="7"/>
        <v>4.19921875E-2</v>
      </c>
      <c r="W14" s="2">
        <f t="shared" si="0"/>
        <v>3.1224941696106345E-4</v>
      </c>
      <c r="X14" s="2">
        <f t="shared" si="8"/>
        <v>4.296875E-2</v>
      </c>
      <c r="Y14" s="2">
        <f t="shared" si="1"/>
        <v>-6.6654435301789078E-4</v>
      </c>
      <c r="Z14" s="2">
        <f t="shared" si="3"/>
        <v>4.248046875E-2</v>
      </c>
      <c r="AA14" s="2">
        <f t="shared" si="2"/>
        <v>-1.7714124342157328E-4</v>
      </c>
      <c r="AB14" s="2">
        <f t="shared" si="4"/>
        <v>-5.5312249978144075E-8</v>
      </c>
      <c r="AC14" s="2">
        <f t="shared" si="5"/>
        <v>1.1807249548921727E-7</v>
      </c>
      <c r="AD14" s="2">
        <f t="shared" si="6"/>
        <v>9.765625E-4</v>
      </c>
      <c r="AF14" s="2">
        <v>10</v>
      </c>
      <c r="AG14" s="2">
        <f t="shared" si="13"/>
        <v>2782.2265625</v>
      </c>
      <c r="AH14" s="2">
        <v>-1.9873119312601375</v>
      </c>
      <c r="AI14" s="2">
        <f t="shared" si="14"/>
        <v>2800.78125</v>
      </c>
      <c r="AJ14" s="2">
        <v>5.4707596407515666</v>
      </c>
      <c r="AK14" s="2">
        <f t="shared" si="9"/>
        <v>2791.50390625</v>
      </c>
      <c r="AL14" s="2">
        <v>1.745508904946746</v>
      </c>
      <c r="AM14" s="2">
        <f t="shared" si="10"/>
        <v>-3.4688706729214855</v>
      </c>
      <c r="AN14" s="2">
        <f t="shared" si="11"/>
        <v>9.54925966975512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1603.85132258723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245.99086321153712</v>
      </c>
      <c r="L15" s="6" t="s">
        <v>7</v>
      </c>
      <c r="U15" s="2">
        <v>11</v>
      </c>
      <c r="V15" s="2">
        <f t="shared" si="7"/>
        <v>4.19921875E-2</v>
      </c>
      <c r="W15" s="2">
        <f t="shared" si="0"/>
        <v>3.1224941696106345E-4</v>
      </c>
      <c r="X15" s="2">
        <f t="shared" si="8"/>
        <v>4.248046875E-2</v>
      </c>
      <c r="Y15" s="2">
        <f t="shared" si="1"/>
        <v>-1.7714124342157328E-4</v>
      </c>
      <c r="Z15" s="2">
        <f t="shared" si="3"/>
        <v>4.2236328125E-2</v>
      </c>
      <c r="AA15" s="2">
        <f t="shared" si="2"/>
        <v>6.755564371377365E-5</v>
      </c>
      <c r="AB15" s="2">
        <f t="shared" si="4"/>
        <v>2.1094210362055155E-8</v>
      </c>
      <c r="AC15" s="2">
        <f t="shared" si="5"/>
        <v>-1.1966890727602655E-8</v>
      </c>
      <c r="AD15" s="2">
        <f t="shared" si="6"/>
        <v>4.8828125E-4</v>
      </c>
      <c r="AF15" s="2">
        <v>11</v>
      </c>
      <c r="AG15" s="2">
        <f t="shared" si="13"/>
        <v>2782.2265625</v>
      </c>
      <c r="AH15" s="2">
        <v>-1.9873119312601375</v>
      </c>
      <c r="AI15" s="2">
        <f t="shared" si="14"/>
        <v>2791.50390625</v>
      </c>
      <c r="AJ15" s="2">
        <v>1.745508904946746</v>
      </c>
      <c r="AK15" s="2">
        <f t="shared" si="9"/>
        <v>2786.865234375</v>
      </c>
      <c r="AL15" s="2">
        <v>-0.11996744950874927</v>
      </c>
      <c r="AM15" s="2">
        <f t="shared" si="10"/>
        <v>0.23841274377158556</v>
      </c>
      <c r="AN15" s="2">
        <f t="shared" si="11"/>
        <v>-0.20940425142127098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145.05119257178589</v>
      </c>
      <c r="H16" s="6" t="s">
        <v>10</v>
      </c>
      <c r="J16" s="13" t="s">
        <v>53</v>
      </c>
      <c r="K16" s="6">
        <f xml:space="preserve"> $C$54 * 0.2138 * K4</f>
        <v>100.07339736790921</v>
      </c>
      <c r="L16" s="6" t="s">
        <v>7</v>
      </c>
      <c r="N16" s="32" t="s">
        <v>24</v>
      </c>
      <c r="O16" s="35"/>
      <c r="P16" s="35"/>
      <c r="U16" s="2">
        <v>12</v>
      </c>
      <c r="V16" s="2">
        <f t="shared" si="7"/>
        <v>4.2236328125E-2</v>
      </c>
      <c r="W16" s="2">
        <f t="shared" si="0"/>
        <v>6.755564371377365E-5</v>
      </c>
      <c r="X16" s="2">
        <f t="shared" si="8"/>
        <v>4.248046875E-2</v>
      </c>
      <c r="Y16" s="2">
        <f t="shared" si="1"/>
        <v>-1.7714124342157328E-4</v>
      </c>
      <c r="Z16" s="2">
        <f t="shared" si="3"/>
        <v>4.23583984375E-2</v>
      </c>
      <c r="AA16" s="2">
        <f t="shared" si="2"/>
        <v>-5.4792410716604512E-5</v>
      </c>
      <c r="AB16" s="2">
        <f t="shared" si="4"/>
        <v>-3.7015365765896875E-9</v>
      </c>
      <c r="AC16" s="2">
        <f t="shared" si="5"/>
        <v>9.7059957644048595E-9</v>
      </c>
      <c r="AD16" s="2">
        <f t="shared" si="6"/>
        <v>2.44140625E-4</v>
      </c>
      <c r="AF16" s="2">
        <v>12</v>
      </c>
      <c r="AG16" s="2">
        <f t="shared" si="13"/>
        <v>2786.865234375</v>
      </c>
      <c r="AH16" s="2">
        <v>-0.11996744950874927</v>
      </c>
      <c r="AI16" s="2">
        <f t="shared" si="14"/>
        <v>2791.50390625</v>
      </c>
      <c r="AJ16" s="2">
        <v>1.745508904946746</v>
      </c>
      <c r="AK16" s="2">
        <f t="shared" si="9"/>
        <v>2789.1845703125</v>
      </c>
      <c r="AL16" s="2">
        <v>0.81300023871062876</v>
      </c>
      <c r="AM16" s="2">
        <f t="shared" si="10"/>
        <v>-9.753356508811846E-2</v>
      </c>
      <c r="AN16" s="2">
        <f t="shared" si="11"/>
        <v>1.4190991563932327</v>
      </c>
      <c r="AO16" s="2">
        <f t="shared" si="12"/>
        <v>4.638671875</v>
      </c>
    </row>
    <row r="17" spans="2:41" x14ac:dyDescent="0.2">
      <c r="B17" s="33" t="s">
        <v>110</v>
      </c>
      <c r="C17" s="33"/>
      <c r="D17" s="33"/>
      <c r="F17" s="6" t="s">
        <v>124</v>
      </c>
      <c r="G17" s="6">
        <f>G16/$C$49</f>
        <v>0.43595344048087437</v>
      </c>
      <c r="H17" s="6" t="s">
        <v>122</v>
      </c>
      <c r="J17" s="13" t="s">
        <v>77</v>
      </c>
      <c r="K17" s="6">
        <f xml:space="preserve"> $C$54 * 0.1149 * K4</f>
        <v>53.781259857683672</v>
      </c>
      <c r="L17" s="6" t="s">
        <v>7</v>
      </c>
      <c r="N17" s="6" t="s">
        <v>25</v>
      </c>
      <c r="O17" s="6">
        <f xml:space="preserve"> ACOS(O14)/PI()*180</f>
        <v>4.3127222922911548</v>
      </c>
      <c r="P17" s="6" t="s">
        <v>40</v>
      </c>
      <c r="U17" s="2">
        <v>13</v>
      </c>
      <c r="V17" s="2">
        <f t="shared" si="7"/>
        <v>4.2236328125E-2</v>
      </c>
      <c r="W17" s="2">
        <f t="shared" si="0"/>
        <v>6.755564371377365E-5</v>
      </c>
      <c r="X17" s="2">
        <f t="shared" si="8"/>
        <v>4.23583984375E-2</v>
      </c>
      <c r="Y17" s="2">
        <f t="shared" si="1"/>
        <v>-5.4792410716604512E-5</v>
      </c>
      <c r="Z17" s="2">
        <f t="shared" si="3"/>
        <v>4.229736328125E-2</v>
      </c>
      <c r="AA17" s="2">
        <f t="shared" si="2"/>
        <v>6.3817137952726366E-6</v>
      </c>
      <c r="AB17" s="2">
        <f t="shared" si="4"/>
        <v>4.3112078343671249E-10</v>
      </c>
      <c r="AC17" s="2">
        <f t="shared" si="5"/>
        <v>-3.4966948334639929E-10</v>
      </c>
      <c r="AD17" s="2">
        <f t="shared" si="6"/>
        <v>1.220703125E-4</v>
      </c>
      <c r="AF17" s="2">
        <v>13</v>
      </c>
      <c r="AG17" s="2">
        <f t="shared" si="13"/>
        <v>2786.865234375</v>
      </c>
      <c r="AH17" s="2">
        <v>-0.11996744950874927</v>
      </c>
      <c r="AI17" s="2">
        <f t="shared" si="14"/>
        <v>2789.1845703125</v>
      </c>
      <c r="AJ17" s="2">
        <v>0.81300023871062876</v>
      </c>
      <c r="AK17" s="2">
        <f t="shared" si="9"/>
        <v>2788.02490234375</v>
      </c>
      <c r="AL17" s="2">
        <v>0.34659330713657255</v>
      </c>
      <c r="AM17" s="2">
        <f t="shared" si="10"/>
        <v>-4.1579915073977194E-2</v>
      </c>
      <c r="AN17" s="2">
        <f t="shared" si="11"/>
        <v>0.28178044143753977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6848.2742996171146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136.36941105519452</v>
      </c>
      <c r="L18" s="6" t="s">
        <v>7</v>
      </c>
      <c r="N18" s="6" t="s">
        <v>19</v>
      </c>
      <c r="O18" s="6">
        <f xml:space="preserve"> O13 / $C$18</f>
        <v>6848.2742996171146</v>
      </c>
      <c r="P18" s="6" t="s">
        <v>20</v>
      </c>
      <c r="U18" s="2">
        <v>14</v>
      </c>
      <c r="V18" s="2">
        <f t="shared" si="7"/>
        <v>4.229736328125E-2</v>
      </c>
      <c r="W18" s="2">
        <f t="shared" si="0"/>
        <v>6.3817137952726366E-6</v>
      </c>
      <c r="X18" s="2">
        <f t="shared" si="8"/>
        <v>4.23583984375E-2</v>
      </c>
      <c r="Y18" s="2">
        <f t="shared" si="1"/>
        <v>-5.4792410716604512E-5</v>
      </c>
      <c r="Z18" s="2">
        <f t="shared" si="3"/>
        <v>4.2327880859375E-2</v>
      </c>
      <c r="AA18" s="2">
        <f t="shared" si="2"/>
        <v>-2.4205324138042161E-5</v>
      </c>
      <c r="AB18" s="2">
        <f t="shared" si="4"/>
        <v>-1.5447145097078941E-10</v>
      </c>
      <c r="AC18" s="2">
        <f t="shared" si="5"/>
        <v>1.3262680617001472E-9</v>
      </c>
      <c r="AD18" s="2">
        <f t="shared" si="6"/>
        <v>6.103515625E-5</v>
      </c>
      <c r="AF18" s="2">
        <v>14</v>
      </c>
      <c r="AG18" s="2">
        <f t="shared" si="13"/>
        <v>2786.865234375</v>
      </c>
      <c r="AH18" s="2">
        <v>-0.11996744950874927</v>
      </c>
      <c r="AI18" s="2">
        <f t="shared" si="14"/>
        <v>2788.02490234375</v>
      </c>
      <c r="AJ18" s="2">
        <v>0.34659330713657255</v>
      </c>
      <c r="AK18" s="2">
        <f t="shared" si="9"/>
        <v>2787.445068359375</v>
      </c>
      <c r="AL18" s="2">
        <v>0.11332722910765369</v>
      </c>
      <c r="AM18" s="2">
        <f t="shared" si="10"/>
        <v>-1.3595578635938904E-2</v>
      </c>
      <c r="AN18" s="2">
        <f t="shared" si="11"/>
        <v>3.9278459125045739E-2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58.230334919759535</v>
      </c>
      <c r="H19" s="6" t="s">
        <v>101</v>
      </c>
      <c r="J19" s="14" t="s">
        <v>61</v>
      </c>
      <c r="K19" s="6">
        <f xml:space="preserve"> $C$55 * C31 * $C$5</f>
        <v>31.215987899477923</v>
      </c>
      <c r="L19" s="6" t="s">
        <v>7</v>
      </c>
      <c r="N19" s="6" t="s">
        <v>26</v>
      </c>
      <c r="O19" s="6">
        <f>$C$7*2*PI()/60</f>
        <v>41.95944158526882</v>
      </c>
      <c r="P19" s="6" t="s">
        <v>27</v>
      </c>
      <c r="U19" s="2">
        <v>15</v>
      </c>
      <c r="V19" s="2">
        <f t="shared" si="7"/>
        <v>4.229736328125E-2</v>
      </c>
      <c r="W19" s="2">
        <f t="shared" si="0"/>
        <v>6.3817137952726366E-6</v>
      </c>
      <c r="X19" s="2">
        <f t="shared" si="8"/>
        <v>4.2327880859375E-2</v>
      </c>
      <c r="Y19" s="2">
        <f t="shared" si="1"/>
        <v>-2.4205324138042161E-5</v>
      </c>
      <c r="Z19" s="2">
        <f t="shared" si="3"/>
        <v>4.23126220703125E-2</v>
      </c>
      <c r="AA19" s="2">
        <f t="shared" si="2"/>
        <v>-8.9117990905371314E-6</v>
      </c>
      <c r="AB19" s="2">
        <f t="shared" si="4"/>
        <v>-5.6872551196778945E-11</v>
      </c>
      <c r="AC19" s="2">
        <f t="shared" si="5"/>
        <v>2.157129856395606E-10</v>
      </c>
      <c r="AD19" s="2">
        <f t="shared" si="6"/>
        <v>3.0517578125E-5</v>
      </c>
      <c r="AF19" s="2">
        <v>15</v>
      </c>
      <c r="AG19" s="2">
        <f t="shared" si="13"/>
        <v>2786.865234375</v>
      </c>
      <c r="AH19" s="2">
        <v>-0.11996744950874927</v>
      </c>
      <c r="AI19" s="2">
        <f t="shared" si="14"/>
        <v>2787.445068359375</v>
      </c>
      <c r="AJ19" s="2">
        <v>0.11332722910765369</v>
      </c>
      <c r="AK19" s="2">
        <f t="shared" si="9"/>
        <v>2787.1551513671875</v>
      </c>
      <c r="AL19" s="2">
        <v>-3.3116268250523717E-3</v>
      </c>
      <c r="AM19" s="2">
        <f t="shared" si="10"/>
        <v>3.9728742392629003E-4</v>
      </c>
      <c r="AN19" s="2">
        <f t="shared" si="11"/>
        <v>-3.7529749192176192E-4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12.000000056166169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0.42863055166986641</v>
      </c>
      <c r="U20" s="2">
        <v>16</v>
      </c>
      <c r="V20" s="2">
        <f t="shared" si="7"/>
        <v>4.229736328125E-2</v>
      </c>
      <c r="W20" s="2">
        <f t="shared" si="0"/>
        <v>6.3817137952726366E-6</v>
      </c>
      <c r="X20" s="2">
        <f t="shared" si="8"/>
        <v>4.23126220703125E-2</v>
      </c>
      <c r="Y20" s="2">
        <f t="shared" si="1"/>
        <v>-8.9117990905371314E-6</v>
      </c>
      <c r="Z20" s="2">
        <f t="shared" si="3"/>
        <v>4.230499267578125E-2</v>
      </c>
      <c r="AA20" s="2">
        <f t="shared" si="2"/>
        <v>-1.2650411273934514E-6</v>
      </c>
      <c r="AB20" s="2">
        <f t="shared" si="4"/>
        <v>-8.0731304142740372E-12</v>
      </c>
      <c r="AC20" s="2">
        <f t="shared" si="5"/>
        <v>1.1273792368597027E-11</v>
      </c>
      <c r="AD20" s="2">
        <f t="shared" si="6"/>
        <v>1.52587890625E-5</v>
      </c>
      <c r="AF20" s="2">
        <v>16</v>
      </c>
      <c r="AG20" s="2">
        <f t="shared" si="13"/>
        <v>2787.1551513671875</v>
      </c>
      <c r="AH20" s="2">
        <v>-3.3116268250523717E-3</v>
      </c>
      <c r="AI20" s="2">
        <f t="shared" si="14"/>
        <v>2787.445068359375</v>
      </c>
      <c r="AJ20" s="2">
        <v>0.11332722910765369</v>
      </c>
      <c r="AK20" s="2">
        <f t="shared" si="9"/>
        <v>2787.3001098632812</v>
      </c>
      <c r="AL20" s="2">
        <v>5.5017287892042077E-2</v>
      </c>
      <c r="AM20" s="2">
        <f t="shared" si="10"/>
        <v>-1.8219672642491558E-4</v>
      </c>
      <c r="AN20" s="2">
        <f t="shared" si="11"/>
        <v>6.2349567898231937E-3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0.13999999999152579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8.5962767857591157E-3</v>
      </c>
      <c r="U21" s="2">
        <v>17</v>
      </c>
      <c r="V21" s="2">
        <f t="shared" si="7"/>
        <v>4.229736328125E-2</v>
      </c>
      <c r="W21" s="2">
        <f t="shared" si="0"/>
        <v>6.3817137952726366E-6</v>
      </c>
      <c r="X21" s="2">
        <f t="shared" si="8"/>
        <v>4.230499267578125E-2</v>
      </c>
      <c r="Y21" s="2">
        <f t="shared" si="1"/>
        <v>-1.2650411273934514E-6</v>
      </c>
      <c r="Z21" s="2">
        <f t="shared" si="3"/>
        <v>4.2301177978515625E-2</v>
      </c>
      <c r="AA21" s="2">
        <f t="shared" si="2"/>
        <v>2.5583367139966895E-6</v>
      </c>
      <c r="AB21" s="2">
        <f t="shared" si="4"/>
        <v>1.632657270066514E-11</v>
      </c>
      <c r="AC21" s="2">
        <f t="shared" si="5"/>
        <v>-3.2364011609264299E-12</v>
      </c>
      <c r="AD21" s="2">
        <f t="shared" si="6"/>
        <v>7.62939453125E-6</v>
      </c>
      <c r="AF21" s="2">
        <v>17</v>
      </c>
      <c r="AG21" s="2">
        <f t="shared" si="13"/>
        <v>2787.1551513671875</v>
      </c>
      <c r="AH21" s="2">
        <v>-3.3116268250523717E-3</v>
      </c>
      <c r="AI21" s="2">
        <f t="shared" si="14"/>
        <v>2787.3001098632812</v>
      </c>
      <c r="AJ21" s="2">
        <v>5.5017287892042077E-2</v>
      </c>
      <c r="AK21" s="2">
        <f t="shared" si="9"/>
        <v>2787.2276306152344</v>
      </c>
      <c r="AL21" s="2">
        <v>2.5852746922737424E-2</v>
      </c>
      <c r="AM21" s="2">
        <f t="shared" si="10"/>
        <v>-8.5614650210627402E-5</v>
      </c>
      <c r="AN21" s="2">
        <f t="shared" si="11"/>
        <v>1.4223480202483498E-3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232.92133967903814</v>
      </c>
      <c r="H22" s="25" t="s">
        <v>101</v>
      </c>
      <c r="J22" s="14" t="s">
        <v>112</v>
      </c>
      <c r="K22" s="6">
        <f>$C$55*(0.14*$G$12*1000/745.7)*0.453592</f>
        <v>26.573512456749352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4.2301177978515625E-2</v>
      </c>
      <c r="W22" s="2">
        <f t="shared" si="0"/>
        <v>2.5583367139966895E-6</v>
      </c>
      <c r="X22" s="2">
        <f t="shared" si="8"/>
        <v>4.230499267578125E-2</v>
      </c>
      <c r="Y22" s="2">
        <f t="shared" si="1"/>
        <v>-1.2650411273934514E-6</v>
      </c>
      <c r="Z22" s="2">
        <f t="shared" si="3"/>
        <v>4.2303085327148438E-2</v>
      </c>
      <c r="AA22" s="2">
        <f t="shared" si="2"/>
        <v>6.4664788831936271E-7</v>
      </c>
      <c r="AB22" s="2">
        <f t="shared" si="4"/>
        <v>1.6543430337158566E-12</v>
      </c>
      <c r="AC22" s="2">
        <f t="shared" si="5"/>
        <v>-8.1803617366612131E-13</v>
      </c>
      <c r="AD22" s="2">
        <f t="shared" si="6"/>
        <v>3.814697265625E-6</v>
      </c>
      <c r="AF22" s="2">
        <v>18</v>
      </c>
      <c r="AG22" s="2">
        <f t="shared" si="13"/>
        <v>2787.1551513671875</v>
      </c>
      <c r="AH22" s="2">
        <v>-3.3116268250523717E-3</v>
      </c>
      <c r="AI22" s="2">
        <f t="shared" si="14"/>
        <v>2787.2276306152344</v>
      </c>
      <c r="AJ22" s="2">
        <v>2.5852746922737424E-2</v>
      </c>
      <c r="AK22" s="2">
        <f t="shared" si="9"/>
        <v>2787.1913909912109</v>
      </c>
      <c r="AL22" s="2">
        <v>1.1260718903031375E-2</v>
      </c>
      <c r="AM22" s="2">
        <f t="shared" si="10"/>
        <v>-3.7291298788653019E-5</v>
      </c>
      <c r="AN22" s="2">
        <f t="shared" si="11"/>
        <v>2.9112051596815553E-4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59.756319693286315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14637.216087589824</v>
      </c>
      <c r="P23" s="6" t="s">
        <v>18</v>
      </c>
      <c r="U23" s="2">
        <v>19</v>
      </c>
      <c r="V23" s="2">
        <f t="shared" si="7"/>
        <v>4.2303085327148438E-2</v>
      </c>
      <c r="W23" s="2">
        <f t="shared" si="0"/>
        <v>6.4664788831936271E-7</v>
      </c>
      <c r="X23" s="2">
        <f t="shared" si="8"/>
        <v>4.230499267578125E-2</v>
      </c>
      <c r="Y23" s="2">
        <f t="shared" si="1"/>
        <v>-1.2650411273934514E-6</v>
      </c>
      <c r="Z23" s="2">
        <f t="shared" si="3"/>
        <v>4.2304039001464844E-2</v>
      </c>
      <c r="AA23" s="2">
        <f t="shared" si="2"/>
        <v>-3.0919659578521053E-7</v>
      </c>
      <c r="AB23" s="2">
        <f t="shared" si="4"/>
        <v>-1.9994132574004194E-13</v>
      </c>
      <c r="AC23" s="2">
        <f t="shared" si="5"/>
        <v>3.9114641011834002E-13</v>
      </c>
      <c r="AD23" s="2">
        <f t="shared" si="6"/>
        <v>1.9073486328125E-6</v>
      </c>
      <c r="AF23" s="2">
        <v>19</v>
      </c>
      <c r="AG23" s="2">
        <f t="shared" si="13"/>
        <v>2787.1551513671875</v>
      </c>
      <c r="AH23" s="2">
        <v>-3.3116268250523717E-3</v>
      </c>
      <c r="AI23" s="2">
        <f t="shared" si="14"/>
        <v>2787.1913909912109</v>
      </c>
      <c r="AJ23" s="2">
        <v>1.1260718903031375E-2</v>
      </c>
      <c r="AK23" s="2">
        <f t="shared" si="9"/>
        <v>2787.1732711791992</v>
      </c>
      <c r="AL23" s="2">
        <v>3.9745408448652597E-3</v>
      </c>
      <c r="AM23" s="2">
        <f t="shared" si="10"/>
        <v>-1.3162196079122111E-5</v>
      </c>
      <c r="AN23" s="2">
        <f t="shared" si="11"/>
        <v>4.4756187222644522E-5</v>
      </c>
      <c r="AO23" s="2">
        <f t="shared" si="12"/>
        <v>3.62396240234375E-2</v>
      </c>
    </row>
    <row r="24" spans="2:41" x14ac:dyDescent="0.2">
      <c r="B24" s="33" t="s">
        <v>104</v>
      </c>
      <c r="C24" s="33"/>
      <c r="D24" s="33"/>
      <c r="F24" s="32" t="s">
        <v>81</v>
      </c>
      <c r="G24" s="34"/>
      <c r="H24" s="34"/>
      <c r="J24" s="15" t="s">
        <v>65</v>
      </c>
      <c r="K24" s="6">
        <f xml:space="preserve"> $C$56 * (11.5 * ($C$5*2.20462/1000)^0.4 * 0.453592)</f>
        <v>8.6268120292693382</v>
      </c>
      <c r="L24" s="6" t="s">
        <v>7</v>
      </c>
      <c r="N24" s="6" t="s">
        <v>31</v>
      </c>
      <c r="O24" s="18">
        <f>Z34</f>
        <v>4.2303730268031359E-2</v>
      </c>
      <c r="U24" s="2">
        <v>20</v>
      </c>
      <c r="V24" s="2">
        <f t="shared" si="7"/>
        <v>4.2303085327148438E-2</v>
      </c>
      <c r="W24" s="2">
        <f t="shared" si="0"/>
        <v>6.4664788831936271E-7</v>
      </c>
      <c r="X24" s="2">
        <f t="shared" si="8"/>
        <v>4.2304039001464844E-2</v>
      </c>
      <c r="Y24" s="2">
        <f t="shared" si="1"/>
        <v>-3.0919659578521053E-7</v>
      </c>
      <c r="Z24" s="2">
        <f t="shared" si="3"/>
        <v>4.2303562164306641E-2</v>
      </c>
      <c r="AA24" s="2">
        <f t="shared" si="2"/>
        <v>1.6872565219983038E-7</v>
      </c>
      <c r="AB24" s="2">
        <f t="shared" si="4"/>
        <v>1.0910608670032755E-13</v>
      </c>
      <c r="AC24" s="2">
        <f t="shared" si="5"/>
        <v>-5.2169397281826972E-14</v>
      </c>
      <c r="AD24" s="2">
        <f t="shared" si="6"/>
        <v>9.5367431640625E-7</v>
      </c>
      <c r="AF24" s="2">
        <v>20</v>
      </c>
      <c r="AG24" s="2">
        <f t="shared" si="13"/>
        <v>2787.1551513671875</v>
      </c>
      <c r="AH24" s="2">
        <v>-3.3116268250523717E-3</v>
      </c>
      <c r="AI24" s="2">
        <f t="shared" si="14"/>
        <v>2787.1732711791992</v>
      </c>
      <c r="AJ24" s="2">
        <v>3.9745408448652597E-3</v>
      </c>
      <c r="AK24" s="2">
        <f t="shared" si="9"/>
        <v>2787.1642112731934</v>
      </c>
      <c r="AL24" s="2">
        <v>3.4127585240639746E-4</v>
      </c>
      <c r="AM24" s="2">
        <f t="shared" si="10"/>
        <v>-1.1301782675716399E-6</v>
      </c>
      <c r="AN24" s="2">
        <f t="shared" si="11"/>
        <v>1.3564148147554346E-6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17.837707371130239</v>
      </c>
      <c r="L25" s="6" t="s">
        <v>7</v>
      </c>
      <c r="N25" s="6" t="s">
        <v>32</v>
      </c>
      <c r="O25" s="6">
        <f xml:space="preserve"> O19 * $C$9 * O24 - $C$8 * SIN(O17/180*PI())</f>
        <v>1.4474835263912249</v>
      </c>
      <c r="P25" s="6" t="s">
        <v>10</v>
      </c>
      <c r="U25" s="2">
        <v>21</v>
      </c>
      <c r="V25" s="2">
        <f t="shared" si="7"/>
        <v>4.2303562164306641E-2</v>
      </c>
      <c r="W25" s="2">
        <f t="shared" si="0"/>
        <v>1.6872565219983038E-7</v>
      </c>
      <c r="X25" s="2">
        <f t="shared" si="8"/>
        <v>4.2304039001464844E-2</v>
      </c>
      <c r="Y25" s="2">
        <f t="shared" si="1"/>
        <v>-3.0919659578521053E-7</v>
      </c>
      <c r="Z25" s="2">
        <f t="shared" si="3"/>
        <v>4.2303800582885742E-2</v>
      </c>
      <c r="AA25" s="2">
        <f t="shared" si="2"/>
        <v>-7.0235470307766779E-8</v>
      </c>
      <c r="AB25" s="2">
        <f t="shared" si="4"/>
        <v>-1.1850525535239772E-14</v>
      </c>
      <c r="AC25" s="2">
        <f t="shared" si="5"/>
        <v>2.1716568322534721E-14</v>
      </c>
      <c r="AD25" s="2">
        <f t="shared" si="6"/>
        <v>4.76837158203125E-7</v>
      </c>
      <c r="AF25" s="2">
        <v>21</v>
      </c>
      <c r="AG25" s="2">
        <f t="shared" si="13"/>
        <v>2787.1551513671875</v>
      </c>
      <c r="AH25" s="2">
        <v>-3.3116268250523717E-3</v>
      </c>
      <c r="AI25" s="2">
        <f t="shared" si="14"/>
        <v>2787.1642112731934</v>
      </c>
      <c r="AJ25" s="2">
        <v>3.4127585240639746E-4</v>
      </c>
      <c r="AK25" s="2">
        <f t="shared" si="9"/>
        <v>2787.1596813201904</v>
      </c>
      <c r="AL25" s="2">
        <v>-1.4851758173790586E-3</v>
      </c>
      <c r="AM25" s="2">
        <f t="shared" si="10"/>
        <v>4.9183480767515727E-6</v>
      </c>
      <c r="AN25" s="2">
        <f t="shared" si="11"/>
        <v>-5.0685464304940634E-7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49.973454379925684</v>
      </c>
      <c r="L26" s="6" t="s">
        <v>7</v>
      </c>
      <c r="N26" s="6" t="s">
        <v>33</v>
      </c>
      <c r="O26" s="6">
        <f xml:space="preserve"> 1/$C$21 - O23 * SQRT( (2*$C$47*PI()*$C$9^2) / O18^3 )</f>
        <v>1.1085749829778988</v>
      </c>
      <c r="U26" s="2">
        <v>22</v>
      </c>
      <c r="V26" s="2">
        <f t="shared" si="7"/>
        <v>4.2303562164306641E-2</v>
      </c>
      <c r="W26" s="2">
        <f t="shared" si="0"/>
        <v>1.6872565219983038E-7</v>
      </c>
      <c r="X26" s="2">
        <f t="shared" si="8"/>
        <v>4.2303800582885742E-2</v>
      </c>
      <c r="Y26" s="2">
        <f t="shared" si="1"/>
        <v>-7.0235470307766779E-8</v>
      </c>
      <c r="Z26" s="2">
        <f t="shared" si="3"/>
        <v>4.2303681373596191E-2</v>
      </c>
      <c r="AA26" s="2">
        <f t="shared" si="2"/>
        <v>4.9245091317262624E-8</v>
      </c>
      <c r="AB26" s="2">
        <f t="shared" si="4"/>
        <v>8.3089101501453401E-15</v>
      </c>
      <c r="AC26" s="2">
        <f t="shared" si="5"/>
        <v>-3.4587521490168624E-15</v>
      </c>
      <c r="AD26" s="2">
        <f t="shared" si="6"/>
        <v>2.384185791015625E-7</v>
      </c>
      <c r="AF26" s="2">
        <v>22</v>
      </c>
      <c r="AG26" s="2">
        <f t="shared" si="13"/>
        <v>2787.1596813201904</v>
      </c>
      <c r="AH26" s="2">
        <v>-1.4851758173790586E-3</v>
      </c>
      <c r="AI26" s="2">
        <f t="shared" si="14"/>
        <v>2787.1642112731934</v>
      </c>
      <c r="AJ26" s="2">
        <v>3.4127585240639746E-4</v>
      </c>
      <c r="AK26" s="2">
        <f t="shared" si="9"/>
        <v>2787.1619462966919</v>
      </c>
      <c r="AL26" s="2">
        <v>-5.7195006593246944E-4</v>
      </c>
      <c r="AM26" s="2">
        <f t="shared" si="10"/>
        <v>8.4944640667126171E-7</v>
      </c>
      <c r="AN26" s="2">
        <f t="shared" si="11"/>
        <v>-1.9519274628499874E-7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-8.6873116410970397E-3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4.2303681373596191E-2</v>
      </c>
      <c r="W27" s="2">
        <f t="shared" si="0"/>
        <v>4.9245091317262624E-8</v>
      </c>
      <c r="X27" s="2">
        <f t="shared" si="8"/>
        <v>4.2303800582885742E-2</v>
      </c>
      <c r="Y27" s="2">
        <f t="shared" si="1"/>
        <v>-7.0235470307766779E-8</v>
      </c>
      <c r="Z27" s="2">
        <f t="shared" si="3"/>
        <v>4.2303740978240967E-2</v>
      </c>
      <c r="AA27" s="2">
        <f t="shared" si="2"/>
        <v>-1.0495189398107563E-8</v>
      </c>
      <c r="AB27" s="2">
        <f t="shared" si="4"/>
        <v>-5.1683656030177347E-16</v>
      </c>
      <c r="AC27" s="2">
        <f t="shared" si="5"/>
        <v>7.3713456334517244E-16</v>
      </c>
      <c r="AD27" s="2">
        <f t="shared" si="6"/>
        <v>1.1920928955078125E-7</v>
      </c>
      <c r="AF27" s="2">
        <v>23</v>
      </c>
      <c r="AG27" s="2">
        <f t="shared" si="13"/>
        <v>2787.1619462966919</v>
      </c>
      <c r="AH27" s="2">
        <v>-5.7195006593246944E-4</v>
      </c>
      <c r="AI27" s="2">
        <f t="shared" si="14"/>
        <v>2787.1642112731934</v>
      </c>
      <c r="AJ27" s="2">
        <v>3.4127585240639746E-4</v>
      </c>
      <c r="AK27" s="2">
        <f t="shared" si="9"/>
        <v>2787.1630787849426</v>
      </c>
      <c r="AL27" s="2">
        <v>-1.1533712631717208E-4</v>
      </c>
      <c r="AM27" s="2">
        <f t="shared" si="10"/>
        <v>6.5967077001568122E-8</v>
      </c>
      <c r="AN27" s="2">
        <f t="shared" si="11"/>
        <v>-3.9361776097997239E-8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6829.536394170249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1.1584516032830623</v>
      </c>
      <c r="U28" s="2">
        <v>24</v>
      </c>
      <c r="V28" s="2">
        <f t="shared" si="7"/>
        <v>4.2303681373596191E-2</v>
      </c>
      <c r="W28" s="2">
        <f t="shared" si="0"/>
        <v>4.9245091317262624E-8</v>
      </c>
      <c r="X28" s="2">
        <f t="shared" si="8"/>
        <v>4.2303740978240967E-2</v>
      </c>
      <c r="Y28" s="2">
        <f t="shared" si="1"/>
        <v>-1.0495189398107563E-8</v>
      </c>
      <c r="Z28" s="2">
        <f t="shared" si="3"/>
        <v>4.2303711175918579E-2</v>
      </c>
      <c r="AA28" s="2">
        <f t="shared" si="2"/>
        <v>1.9374950983863659E-8</v>
      </c>
      <c r="AB28" s="2">
        <f t="shared" si="4"/>
        <v>9.5412123046785327E-16</v>
      </c>
      <c r="AC28" s="2">
        <f t="shared" si="5"/>
        <v>-2.0334378015469957E-16</v>
      </c>
      <c r="AD28" s="2">
        <f t="shared" si="6"/>
        <v>5.9604644775390625E-8</v>
      </c>
      <c r="AF28" s="2">
        <v>24</v>
      </c>
      <c r="AG28" s="2">
        <f t="shared" si="13"/>
        <v>2787.1630787849426</v>
      </c>
      <c r="AH28" s="2">
        <v>-1.1533712631717208E-4</v>
      </c>
      <c r="AI28" s="2">
        <f t="shared" si="14"/>
        <v>2787.1642112731934</v>
      </c>
      <c r="AJ28" s="2">
        <v>3.4127585240639746E-4</v>
      </c>
      <c r="AK28" s="2">
        <f t="shared" si="9"/>
        <v>2787.163645029068</v>
      </c>
      <c r="AL28" s="2">
        <v>1.1296935781501816E-4</v>
      </c>
      <c r="AM28" s="2">
        <f t="shared" si="10"/>
        <v>-1.3029561092280559E-8</v>
      </c>
      <c r="AN28" s="2">
        <f t="shared" si="11"/>
        <v>3.855371388412364E-8</v>
      </c>
      <c r="AO28" s="2">
        <f t="shared" si="12"/>
        <v>1.1324882507324219E-3</v>
      </c>
    </row>
    <row r="29" spans="2:41" x14ac:dyDescent="0.2">
      <c r="B29" s="33" t="s">
        <v>108</v>
      </c>
      <c r="C29" s="33"/>
      <c r="D29" s="33"/>
      <c r="F29" t="s">
        <v>97</v>
      </c>
      <c r="G29" s="6">
        <f>G31/$C$18</f>
        <v>85.168356778623462</v>
      </c>
      <c r="H29" t="s">
        <v>18</v>
      </c>
      <c r="U29" s="2">
        <v>25</v>
      </c>
      <c r="V29" s="2">
        <f t="shared" si="7"/>
        <v>4.2303711175918579E-2</v>
      </c>
      <c r="W29" s="2">
        <f t="shared" si="0"/>
        <v>1.9374950983863659E-8</v>
      </c>
      <c r="X29" s="2">
        <f t="shared" si="8"/>
        <v>4.2303740978240967E-2</v>
      </c>
      <c r="Y29" s="2">
        <f t="shared" si="1"/>
        <v>-1.0495189398107563E-8</v>
      </c>
      <c r="Z29" s="2">
        <f t="shared" si="3"/>
        <v>4.2303726077079773E-2</v>
      </c>
      <c r="AA29" s="2">
        <f t="shared" si="2"/>
        <v>4.4398807963474951E-9</v>
      </c>
      <c r="AB29" s="2">
        <f t="shared" si="4"/>
        <v>8.602247280343027E-17</v>
      </c>
      <c r="AC29" s="2">
        <f t="shared" si="5"/>
        <v>-4.6597389862687595E-17</v>
      </c>
      <c r="AD29" s="2">
        <f t="shared" si="6"/>
        <v>2.9802322387695312E-8</v>
      </c>
      <c r="AF29" s="2">
        <v>25</v>
      </c>
      <c r="AG29" s="2">
        <f t="shared" si="13"/>
        <v>2787.1630787849426</v>
      </c>
      <c r="AH29" s="2">
        <v>-1.1533712631717208E-4</v>
      </c>
      <c r="AI29" s="2">
        <f t="shared" si="14"/>
        <v>2787.163645029068</v>
      </c>
      <c r="AJ29" s="2">
        <v>1.1296935781501816E-4</v>
      </c>
      <c r="AK29" s="2">
        <f t="shared" si="9"/>
        <v>2787.1633619070053</v>
      </c>
      <c r="AL29" s="2">
        <v>-1.10040232357278E-5</v>
      </c>
      <c r="AM29" s="2">
        <f t="shared" si="10"/>
        <v>1.2691724179362339E-9</v>
      </c>
      <c r="AN29" s="2">
        <f t="shared" si="11"/>
        <v>-1.2431174383217077E-9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8.1812714315472412</v>
      </c>
      <c r="H30" s="6" t="s">
        <v>147</v>
      </c>
      <c r="J30" s="30" t="s">
        <v>111</v>
      </c>
      <c r="K30" s="30"/>
      <c r="L30" s="30"/>
      <c r="U30" s="2">
        <v>26</v>
      </c>
      <c r="V30" s="2">
        <f t="shared" si="7"/>
        <v>4.2303726077079773E-2</v>
      </c>
      <c r="W30" s="2">
        <f t="shared" si="0"/>
        <v>4.4398807963474951E-9</v>
      </c>
      <c r="X30" s="2">
        <f t="shared" si="8"/>
        <v>4.2303740978240967E-2</v>
      </c>
      <c r="Y30" s="2">
        <f t="shared" si="1"/>
        <v>-1.0495189398107563E-8</v>
      </c>
      <c r="Z30" s="2">
        <f t="shared" si="3"/>
        <v>4.230373352766037E-2</v>
      </c>
      <c r="AA30" s="2">
        <f t="shared" si="2"/>
        <v>-3.0276543008800338E-9</v>
      </c>
      <c r="AB30" s="2">
        <f t="shared" si="4"/>
        <v>-1.3442424188456164E-17</v>
      </c>
      <c r="AC30" s="2">
        <f t="shared" si="5"/>
        <v>3.1775805319730895E-17</v>
      </c>
      <c r="AD30" s="2">
        <f t="shared" si="6"/>
        <v>1.4901161193847656E-8</v>
      </c>
      <c r="AF30" s="2">
        <v>26</v>
      </c>
      <c r="AG30" s="2">
        <f t="shared" si="13"/>
        <v>2787.1633619070053</v>
      </c>
      <c r="AH30" s="2">
        <v>-1.10040232357278E-5</v>
      </c>
      <c r="AI30" s="2">
        <f t="shared" si="14"/>
        <v>2787.163645029068</v>
      </c>
      <c r="AJ30" s="2">
        <v>1.1296935781501816E-4</v>
      </c>
      <c r="AK30" s="2">
        <f t="shared" si="9"/>
        <v>2787.1635034680367</v>
      </c>
      <c r="AL30" s="2">
        <v>5.0982665470655775E-5</v>
      </c>
      <c r="AM30" s="2">
        <f t="shared" si="10"/>
        <v>-5.6101443545843354E-10</v>
      </c>
      <c r="AN30" s="2">
        <f t="shared" si="11"/>
        <v>5.7594789779178835E-9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340.67342711449385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4.2303726077079773E-2</v>
      </c>
      <c r="W31" s="2">
        <f t="shared" si="0"/>
        <v>4.4398807963474951E-9</v>
      </c>
      <c r="X31" s="2">
        <f t="shared" si="8"/>
        <v>4.230373352766037E-2</v>
      </c>
      <c r="Y31" s="2">
        <f t="shared" si="1"/>
        <v>-3.0276543008800338E-9</v>
      </c>
      <c r="Z31" s="2">
        <f t="shared" si="3"/>
        <v>4.2303729802370071E-2</v>
      </c>
      <c r="AA31" s="2">
        <f t="shared" si="2"/>
        <v>7.0611325120317758E-10</v>
      </c>
      <c r="AB31" s="2">
        <f t="shared" si="4"/>
        <v>3.1350586640634829E-18</v>
      </c>
      <c r="AC31" s="2">
        <f t="shared" si="5"/>
        <v>-2.1378668219136845E-18</v>
      </c>
      <c r="AD31" s="2">
        <f t="shared" si="6"/>
        <v>7.4505805969238281E-9</v>
      </c>
      <c r="AF31" s="2">
        <v>27</v>
      </c>
      <c r="AG31" s="2">
        <f t="shared" si="13"/>
        <v>2787.1633619070053</v>
      </c>
      <c r="AH31" s="2">
        <v>-1.10040232357278E-5</v>
      </c>
      <c r="AI31" s="2">
        <f t="shared" si="14"/>
        <v>2787.1635034680367</v>
      </c>
      <c r="AJ31" s="2">
        <v>5.0982665470655775E-5</v>
      </c>
      <c r="AK31" s="2">
        <f t="shared" si="9"/>
        <v>2787.163432687521</v>
      </c>
      <c r="AL31" s="2">
        <v>2.9809460102114826E-5</v>
      </c>
      <c r="AM31" s="2">
        <f t="shared" si="10"/>
        <v>-3.2802399160817235E-10</v>
      </c>
      <c r="AN31" s="2">
        <f t="shared" si="11"/>
        <v>1.5197657322469805E-9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1254.93</v>
      </c>
      <c r="L32" s="6" t="s">
        <v>7</v>
      </c>
      <c r="U32" s="2">
        <v>28</v>
      </c>
      <c r="V32" s="2">
        <f t="shared" si="7"/>
        <v>4.2303729802370071E-2</v>
      </c>
      <c r="W32" s="2">
        <f t="shared" si="0"/>
        <v>7.0611325120317758E-10</v>
      </c>
      <c r="X32" s="2">
        <f t="shared" si="8"/>
        <v>4.230373352766037E-2</v>
      </c>
      <c r="Y32" s="2">
        <f t="shared" si="1"/>
        <v>-3.0276543008800338E-9</v>
      </c>
      <c r="Z32" s="2">
        <f t="shared" si="3"/>
        <v>4.2303731665015221E-2</v>
      </c>
      <c r="AA32" s="2">
        <f t="shared" si="2"/>
        <v>-1.1607705213689812E-9</v>
      </c>
      <c r="AB32" s="2">
        <f t="shared" si="4"/>
        <v>-8.1963544674465882E-19</v>
      </c>
      <c r="AC32" s="2">
        <f t="shared" si="5"/>
        <v>3.5144118613575548E-18</v>
      </c>
      <c r="AD32" s="2">
        <f t="shared" si="6"/>
        <v>3.7252902984619141E-9</v>
      </c>
      <c r="AF32" s="2">
        <v>28</v>
      </c>
      <c r="AG32" s="2">
        <f t="shared" si="13"/>
        <v>2787.1633619070053</v>
      </c>
      <c r="AH32" s="2">
        <v>-1.10040232357278E-5</v>
      </c>
      <c r="AI32" s="2">
        <f t="shared" si="14"/>
        <v>2787.163432687521</v>
      </c>
      <c r="AJ32" s="2">
        <v>2.9809460102114826E-5</v>
      </c>
      <c r="AK32" s="2">
        <f t="shared" si="9"/>
        <v>2787.1633972972631</v>
      </c>
      <c r="AL32" s="2">
        <v>-4.1742077883100137E-7</v>
      </c>
      <c r="AM32" s="2">
        <f t="shared" si="10"/>
        <v>4.5933079493319341E-12</v>
      </c>
      <c r="AN32" s="2">
        <f t="shared" si="11"/>
        <v>-1.2443088052356433E-11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4"/>
      <c r="H33" s="34"/>
      <c r="J33" s="19" t="s">
        <v>78</v>
      </c>
      <c r="K33" s="6">
        <f>ROUND(SUM(K14:K17),2)</f>
        <v>601.87</v>
      </c>
      <c r="L33" s="6" t="s">
        <v>7</v>
      </c>
      <c r="U33" s="2">
        <v>29</v>
      </c>
      <c r="V33" s="2">
        <f t="shared" si="7"/>
        <v>4.2303729802370071E-2</v>
      </c>
      <c r="W33" s="2">
        <f t="shared" si="0"/>
        <v>7.0611325120317758E-10</v>
      </c>
      <c r="X33" s="2">
        <f t="shared" si="8"/>
        <v>4.2303731665015221E-2</v>
      </c>
      <c r="Y33" s="2">
        <f t="shared" si="1"/>
        <v>-1.1607705213689812E-9</v>
      </c>
      <c r="Z33" s="2">
        <f t="shared" si="3"/>
        <v>4.2303730733692646E-2</v>
      </c>
      <c r="AA33" s="2">
        <f t="shared" si="2"/>
        <v>-2.273286420217957E-10</v>
      </c>
      <c r="AB33" s="2">
        <f t="shared" si="4"/>
        <v>-1.6051976650961346E-19</v>
      </c>
      <c r="AC33" s="2">
        <f t="shared" si="5"/>
        <v>2.6387638632174228E-19</v>
      </c>
      <c r="AD33" s="2">
        <f t="shared" si="6"/>
        <v>1.862645149230957E-9</v>
      </c>
      <c r="AF33" s="2">
        <v>29</v>
      </c>
      <c r="AG33" s="2">
        <f t="shared" si="13"/>
        <v>2787.1633972972631</v>
      </c>
      <c r="AH33" s="2">
        <v>-4.1742077883100137E-7</v>
      </c>
      <c r="AI33" s="2">
        <f t="shared" si="14"/>
        <v>2787.163432687521</v>
      </c>
      <c r="AJ33" s="2">
        <v>2.9809460102114826E-5</v>
      </c>
      <c r="AK33" s="2">
        <f t="shared" si="9"/>
        <v>2787.1634149923921</v>
      </c>
      <c r="AL33" s="2">
        <v>4.8758815864857752E-6</v>
      </c>
      <c r="AM33" s="2">
        <f t="shared" si="10"/>
        <v>-2.0352942893186308E-12</v>
      </c>
      <c r="AN33" s="2">
        <f t="shared" si="11"/>
        <v>1.4534739761498406E-10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194.16</v>
      </c>
      <c r="L34" s="6" t="s">
        <v>7</v>
      </c>
      <c r="U34" s="2">
        <v>30</v>
      </c>
      <c r="V34" s="2">
        <f t="shared" si="7"/>
        <v>4.2303729802370071E-2</v>
      </c>
      <c r="W34" s="2">
        <f t="shared" si="0"/>
        <v>7.0611325120317758E-10</v>
      </c>
      <c r="X34" s="2">
        <f t="shared" si="8"/>
        <v>4.2303730733692646E-2</v>
      </c>
      <c r="Y34" s="2">
        <f t="shared" si="1"/>
        <v>-2.273286420217957E-10</v>
      </c>
      <c r="Z34" s="2">
        <f t="shared" si="3"/>
        <v>4.2303730268031359E-2</v>
      </c>
      <c r="AA34" s="2">
        <f t="shared" si="2"/>
        <v>2.3939230459069094E-10</v>
      </c>
      <c r="AB34" s="2">
        <f t="shared" si="4"/>
        <v>1.6903807850755415E-19</v>
      </c>
      <c r="AC34" s="2">
        <f t="shared" si="5"/>
        <v>-5.4420727513069861E-20</v>
      </c>
      <c r="AD34" s="2">
        <f>X34-V34</f>
        <v>9.3132257461547852E-10</v>
      </c>
      <c r="AF34" s="2">
        <v>30</v>
      </c>
      <c r="AG34" s="2">
        <f t="shared" si="13"/>
        <v>2787.1633972972631</v>
      </c>
      <c r="AH34" s="2">
        <v>-4.1742077883100137E-7</v>
      </c>
      <c r="AI34" s="2">
        <f t="shared" si="14"/>
        <v>2787.1634149923921</v>
      </c>
      <c r="AJ34" s="2">
        <v>4.8758815864857752E-6</v>
      </c>
      <c r="AK34" s="2">
        <f t="shared" si="9"/>
        <v>2787.1634061448276</v>
      </c>
      <c r="AL34" s="2">
        <v>2.2292292669590097E-6</v>
      </c>
      <c r="AM34" s="2">
        <f t="shared" si="10"/>
        <v>-9.305266168068921E-13</v>
      </c>
      <c r="AN34" s="2">
        <f t="shared" si="11"/>
        <v>1.0869457934820618E-11</v>
      </c>
      <c r="AO34" s="2">
        <f t="shared" si="12"/>
        <v>1.7695128917694092E-5</v>
      </c>
    </row>
    <row r="35" spans="2:41" x14ac:dyDescent="0.2">
      <c r="B35" s="30" t="s">
        <v>2</v>
      </c>
      <c r="C35" s="30"/>
      <c r="D35" s="30"/>
      <c r="F35" s="26" t="s">
        <v>132</v>
      </c>
      <c r="G35" s="25">
        <f xml:space="preserve"> G22</f>
        <v>232.92133967903814</v>
      </c>
      <c r="H35" s="25" t="s">
        <v>101</v>
      </c>
      <c r="J35" s="15" t="s">
        <v>70</v>
      </c>
      <c r="K35" s="6">
        <f>ROUND(SUM(K23:K26),2)</f>
        <v>136.19</v>
      </c>
      <c r="L35" s="6" t="s">
        <v>7</v>
      </c>
      <c r="AF35" s="2">
        <v>31</v>
      </c>
      <c r="AG35" s="2">
        <f t="shared" si="13"/>
        <v>2787.1633972972631</v>
      </c>
      <c r="AH35" s="2">
        <v>-4.1742077883100137E-7</v>
      </c>
      <c r="AI35" s="2">
        <f t="shared" si="14"/>
        <v>2787.1634061448276</v>
      </c>
      <c r="AJ35" s="2">
        <v>2.2292292669590097E-6</v>
      </c>
      <c r="AK35" s="2">
        <f t="shared" si="9"/>
        <v>2787.1634017210454</v>
      </c>
      <c r="AL35" s="2">
        <v>9.0590219770092517E-7</v>
      </c>
      <c r="AM35" s="2">
        <f t="shared" si="10"/>
        <v>-3.7814240090903596E-13</v>
      </c>
      <c r="AN35" s="2">
        <f t="shared" si="11"/>
        <v>2.0194636921173893E-12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2787.15</v>
      </c>
      <c r="L36" s="6" t="s">
        <v>7</v>
      </c>
      <c r="AF36" s="2">
        <v>32</v>
      </c>
      <c r="AG36" s="2">
        <f t="shared" si="13"/>
        <v>2787.1633972972631</v>
      </c>
      <c r="AH36" s="2">
        <v>-4.1742077883100137E-7</v>
      </c>
      <c r="AI36" s="2">
        <f t="shared" si="14"/>
        <v>2787.1634017210454</v>
      </c>
      <c r="AJ36" s="2">
        <v>9.0590219770092517E-7</v>
      </c>
      <c r="AK36" s="2">
        <f t="shared" si="9"/>
        <v>2787.1633995091543</v>
      </c>
      <c r="AL36" s="2">
        <v>2.4424161892966367E-7</v>
      </c>
      <c r="AM36" s="2">
        <f t="shared" si="10"/>
        <v>-1.0195152679656486E-13</v>
      </c>
      <c r="AN36" s="2">
        <f t="shared" si="11"/>
        <v>2.2125901935841421E-13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2787.1633972972631</v>
      </c>
      <c r="AH37" s="2">
        <v>-4.1742077883100137E-7</v>
      </c>
      <c r="AI37" s="2">
        <f t="shared" si="14"/>
        <v>2787.1633995091543</v>
      </c>
      <c r="AJ37" s="2">
        <v>2.4424161892966367E-7</v>
      </c>
      <c r="AK37" s="2">
        <f t="shared" si="9"/>
        <v>2787.1633984032087</v>
      </c>
      <c r="AL37" s="2">
        <v>-8.6587988334940746E-8</v>
      </c>
      <c r="AM37" s="2">
        <f t="shared" si="10"/>
        <v>3.6143625528180628E-14</v>
      </c>
      <c r="AN37" s="2">
        <f t="shared" si="11"/>
        <v>-2.1148390450788761E-14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0" t="s">
        <v>56</v>
      </c>
      <c r="K38" s="30"/>
      <c r="L38" s="30"/>
      <c r="AF38" s="2">
        <v>34</v>
      </c>
      <c r="AG38" s="2">
        <f t="shared" si="13"/>
        <v>2787.1633984032087</v>
      </c>
      <c r="AH38" s="2">
        <v>-8.6587988334940746E-8</v>
      </c>
      <c r="AI38" s="2">
        <f t="shared" si="14"/>
        <v>2787.1633995091543</v>
      </c>
      <c r="AJ38" s="2">
        <v>2.4424161892966367E-7</v>
      </c>
      <c r="AK38" s="2">
        <f t="shared" si="9"/>
        <v>2787.1633989561815</v>
      </c>
      <c r="AL38" s="2">
        <v>7.882727004471235E-8</v>
      </c>
      <c r="AM38" s="2">
        <f t="shared" si="10"/>
        <v>-6.8254947391067771E-15</v>
      </c>
      <c r="AN38" s="2">
        <f t="shared" si="11"/>
        <v>1.9252900051526326E-14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21.53</v>
      </c>
      <c r="L39" s="6" t="s">
        <v>58</v>
      </c>
      <c r="AF39" s="2">
        <v>35</v>
      </c>
      <c r="AG39" s="2">
        <f t="shared" si="13"/>
        <v>2787.1633984032087</v>
      </c>
      <c r="AH39" s="2">
        <v>-8.6587988334940746E-8</v>
      </c>
      <c r="AI39" s="2">
        <f t="shared" si="14"/>
        <v>2787.1633989561815</v>
      </c>
      <c r="AJ39" s="2">
        <v>7.882727004471235E-8</v>
      </c>
      <c r="AK39" s="2">
        <f t="shared" si="9"/>
        <v>2787.1633986796951</v>
      </c>
      <c r="AL39" s="2">
        <v>-3.8794496504124254E-9</v>
      </c>
      <c r="AM39" s="2">
        <f t="shared" si="10"/>
        <v>3.3591374107590105E-16</v>
      </c>
      <c r="AN39" s="2">
        <f t="shared" si="11"/>
        <v>-3.0580642521792518E-16</v>
      </c>
      <c r="AO39" s="2">
        <f t="shared" si="12"/>
        <v>5.5297277867794037E-7</v>
      </c>
    </row>
    <row r="40" spans="2:41" x14ac:dyDescent="0.2">
      <c r="B40" s="30" t="s">
        <v>144</v>
      </c>
      <c r="C40" s="31"/>
      <c r="D40" s="31"/>
      <c r="J40" s="11" t="s">
        <v>52</v>
      </c>
      <c r="K40" s="6">
        <f>ROUND(K13/$C$5 * 100, 2)</f>
        <v>45.03</v>
      </c>
      <c r="L40" s="6" t="s">
        <v>58</v>
      </c>
      <c r="AF40" s="2">
        <v>36</v>
      </c>
      <c r="AG40" s="2">
        <f t="shared" si="13"/>
        <v>2787.1633986796951</v>
      </c>
      <c r="AH40" s="2">
        <v>-3.8794496504124254E-9</v>
      </c>
      <c r="AI40" s="2">
        <f t="shared" si="14"/>
        <v>2787.1633989561815</v>
      </c>
      <c r="AJ40" s="2">
        <v>7.882727004471235E-8</v>
      </c>
      <c r="AK40" s="2">
        <f t="shared" si="9"/>
        <v>2787.1633988179383</v>
      </c>
      <c r="AL40" s="2">
        <v>3.7472091207746416E-8</v>
      </c>
      <c r="AM40" s="2">
        <f t="shared" si="10"/>
        <v>-1.4537109113611435E-16</v>
      </c>
      <c r="AN40" s="2">
        <f t="shared" si="11"/>
        <v>2.9538226527731181E-15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21.59</v>
      </c>
      <c r="L41" s="6" t="s">
        <v>58</v>
      </c>
      <c r="AF41" s="2">
        <v>37</v>
      </c>
      <c r="AG41" s="2">
        <f t="shared" si="13"/>
        <v>2787.1633986796951</v>
      </c>
      <c r="AH41" s="2">
        <v>-3.8794496504124254E-9</v>
      </c>
      <c r="AI41" s="2">
        <f t="shared" si="14"/>
        <v>2787.1633988179383</v>
      </c>
      <c r="AJ41" s="2">
        <v>3.7472091207746416E-8</v>
      </c>
      <c r="AK41" s="2">
        <f t="shared" si="9"/>
        <v>2787.1633987488167</v>
      </c>
      <c r="AL41" s="2">
        <v>1.6794729162938893E-8</v>
      </c>
      <c r="AM41" s="2">
        <f t="shared" si="10"/>
        <v>-6.5154306179934654E-17</v>
      </c>
      <c r="AN41" s="2">
        <f t="shared" si="11"/>
        <v>6.2933362300304482E-16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6.97</v>
      </c>
      <c r="L42" s="6" t="s">
        <v>58</v>
      </c>
      <c r="AF42" s="2">
        <v>38</v>
      </c>
      <c r="AG42" s="2">
        <f t="shared" si="13"/>
        <v>2787.1633986796951</v>
      </c>
      <c r="AH42" s="2">
        <v>-3.8794496504124254E-9</v>
      </c>
      <c r="AI42" s="2">
        <f t="shared" si="14"/>
        <v>2787.1633987488167</v>
      </c>
      <c r="AJ42" s="2">
        <v>1.6794729162938893E-8</v>
      </c>
      <c r="AK42" s="2">
        <f t="shared" si="9"/>
        <v>2787.1633987142559</v>
      </c>
      <c r="AL42" s="2">
        <v>6.4574123825877905E-9</v>
      </c>
      <c r="AM42" s="2">
        <f t="shared" si="10"/>
        <v>-2.5051206210199071E-17</v>
      </c>
      <c r="AN42" s="2">
        <f t="shared" si="11"/>
        <v>1.0845049205896988E-16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4.8899999999999997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2787.1633986796951</v>
      </c>
      <c r="AH43" s="2">
        <v>-3.8794496504124254E-9</v>
      </c>
      <c r="AI43" s="2">
        <f t="shared" si="14"/>
        <v>2787.1633987142559</v>
      </c>
      <c r="AJ43" s="2">
        <v>6.4574123825877905E-9</v>
      </c>
      <c r="AK43" s="2">
        <f t="shared" si="9"/>
        <v>2787.1633986969755</v>
      </c>
      <c r="AL43" s="2">
        <v>1.2901182344648987E-9</v>
      </c>
      <c r="AM43" s="2">
        <f t="shared" si="10"/>
        <v>-5.0049487336855467E-18</v>
      </c>
      <c r="AN43" s="2">
        <f t="shared" si="11"/>
        <v>8.3308254622359353E-18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2787.1633986796951</v>
      </c>
      <c r="AH44" s="2">
        <v>-3.8794496504124254E-9</v>
      </c>
      <c r="AI44" s="2">
        <f t="shared" si="14"/>
        <v>2787.1633986969755</v>
      </c>
      <c r="AJ44" s="2">
        <v>1.2901182344648987E-9</v>
      </c>
      <c r="AK44" s="5">
        <f>(AG44+AI44)/2</f>
        <v>2787.1633986883353</v>
      </c>
      <c r="AL44" s="2">
        <v>-1.2964846973773092E-9</v>
      </c>
      <c r="AM44" s="2">
        <f t="shared" si="10"/>
        <v>5.0296471060054613E-18</v>
      </c>
      <c r="AN44" s="2">
        <f t="shared" si="11"/>
        <v>-1.6726185487911726E-18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0" t="s">
        <v>145</v>
      </c>
      <c r="C46" s="31"/>
      <c r="D46" s="31"/>
      <c r="J46" s="30" t="s">
        <v>56</v>
      </c>
      <c r="K46" s="30"/>
      <c r="L46" s="30"/>
      <c r="N46" s="6" t="s">
        <v>153</v>
      </c>
      <c r="O46" s="6">
        <f>G12*1000/O45</f>
        <v>3103.9865651508849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21.53</v>
      </c>
      <c r="L47" s="6" t="s">
        <v>58</v>
      </c>
      <c r="N47" s="6" t="s">
        <v>154</v>
      </c>
      <c r="O47" s="6">
        <f>0.377*O46^0.6945</f>
        <v>100.34128862546166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45.03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33.450000000000003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100.01</v>
      </c>
      <c r="L50" s="10" t="s">
        <v>58</v>
      </c>
    </row>
    <row r="52" spans="2:12" x14ac:dyDescent="0.2">
      <c r="B52" s="30" t="s">
        <v>71</v>
      </c>
      <c r="C52" s="30"/>
      <c r="D52" s="30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N12:P12"/>
    <mergeCell ref="F14:H14"/>
    <mergeCell ref="N16:P16"/>
    <mergeCell ref="B17:D17"/>
    <mergeCell ref="B24:D24"/>
    <mergeCell ref="F24:H24"/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BD7-97B4-D149-9E6E-38BC85791D47}">
  <dimension ref="B1:AO56"/>
  <sheetViews>
    <sheetView workbookViewId="0">
      <selection activeCell="E10" sqref="E1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6" t="s">
        <v>0</v>
      </c>
      <c r="C1" s="36"/>
      <c r="D1" s="36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4"/>
      <c r="D3" s="34"/>
      <c r="F3" s="32" t="s">
        <v>80</v>
      </c>
      <c r="G3" s="34"/>
      <c r="H3" s="34"/>
      <c r="J3" s="30" t="s">
        <v>98</v>
      </c>
      <c r="K3" s="30"/>
      <c r="L3" s="30"/>
      <c r="N3" s="30" t="s">
        <v>92</v>
      </c>
      <c r="O3" s="30"/>
      <c r="P3" s="30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552.71240017583261</v>
      </c>
      <c r="L4" s="6" t="s">
        <v>101</v>
      </c>
      <c r="N4" s="6" t="s">
        <v>22</v>
      </c>
      <c r="O4" s="6">
        <f xml:space="preserve"> 0.5 * $C$47 * $C$8^2</f>
        <v>2033.0711938872896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4.5724728226473749E-2</v>
      </c>
      <c r="X4" s="3">
        <v>1</v>
      </c>
      <c r="Y4" s="2">
        <f t="shared" ref="Y4:Y34" si="1" xml:space="preserve"> $O$20 * TAN($O$17/180*PI()) + $O$21 / (2 * SQRT($O$20^2 + X4^2)) - X4</f>
        <v>-0.95951809796008614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-0.45714777124302319</v>
      </c>
      <c r="AB4" s="2">
        <f>W4*AA4</f>
        <v>-2.0902957599425426E-2</v>
      </c>
      <c r="AC4" s="2">
        <f>Y4*AA4</f>
        <v>0.4386415599497982</v>
      </c>
      <c r="AD4" s="2">
        <f>X4-V4</f>
        <v>1</v>
      </c>
      <c r="AF4" s="2">
        <v>0</v>
      </c>
      <c r="AG4" s="2"/>
      <c r="AH4" s="2">
        <f>K27</f>
        <v>-5.182788014280959E-3</v>
      </c>
      <c r="AI4" s="2"/>
      <c r="AJ4" s="2">
        <f>K27</f>
        <v>-5.182788014280959E-3</v>
      </c>
      <c r="AK4" s="2"/>
      <c r="AL4" s="2">
        <f>K27</f>
        <v>-5.182788014280959E-3</v>
      </c>
      <c r="AM4" s="2"/>
      <c r="AN4" s="2"/>
      <c r="AO4" s="2"/>
    </row>
    <row r="5" spans="2:41" x14ac:dyDescent="0.2">
      <c r="B5" s="10" t="s">
        <v>37</v>
      </c>
      <c r="C5" s="10">
        <v>2809.96693034694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138.17810004395815</v>
      </c>
      <c r="L5" s="6" t="s">
        <v>101</v>
      </c>
      <c r="N5" s="6" t="s">
        <v>114</v>
      </c>
      <c r="O5" s="6">
        <f xml:space="preserve"> $C$18 * 0.85 * ($C$5/$C$18 *2.20462/1000)^(2/3) * 0.3048^2</f>
        <v>0.42282320712725618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4.5724728226473749E-2</v>
      </c>
      <c r="X5" s="2">
        <f>IF(AC4&gt;0, Z4, X4)</f>
        <v>0.5</v>
      </c>
      <c r="Y5" s="2">
        <f t="shared" si="1"/>
        <v>-0.45714777124302319</v>
      </c>
      <c r="Z5" s="2">
        <f t="shared" ref="Z5:Z34" si="3" xml:space="preserve"> (V5 + X5)/2</f>
        <v>0.25</v>
      </c>
      <c r="AA5" s="2">
        <f t="shared" si="2"/>
        <v>-0.2053422721597242</v>
      </c>
      <c r="AB5" s="2">
        <f t="shared" ref="AB5:AB34" si="4">W5*AA5</f>
        <v>-9.3892195879099957E-3</v>
      </c>
      <c r="AC5" s="2">
        <f t="shared" ref="AC5:AC34" si="5">Y5*AA5</f>
        <v>9.3871762059796207E-2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-1174.3042467608984</v>
      </c>
      <c r="AI5" s="3">
        <v>10000</v>
      </c>
      <c r="AJ5" s="2">
        <f t="dataTable" ref="AJ5:AJ44" dt2D="0" dtr="0" r1="C5" ca="1"/>
        <v>1314.4843509001157</v>
      </c>
      <c r="AK5" s="2">
        <f>(AG5+AI5)/2</f>
        <v>5250</v>
      </c>
      <c r="AL5" s="2">
        <f t="dataTable" ref="AL5:AL44" dt2D="0" dtr="0" r1="C5" ca="1"/>
        <v>839.91293587660675</v>
      </c>
      <c r="AM5" s="2">
        <f>AH5*AL5</f>
        <v>-986313.32750931347</v>
      </c>
      <c r="AN5" s="2">
        <f>AJ5*AL5</f>
        <v>1104052.4103283719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4.5724728226473749E-2</v>
      </c>
      <c r="X6" s="2">
        <f t="shared" ref="X6:X34" si="8">IF(AC5&gt;0, Z5, X5)</f>
        <v>0.25</v>
      </c>
      <c r="Y6" s="2">
        <f t="shared" si="1"/>
        <v>-0.2053422721597242</v>
      </c>
      <c r="Z6" s="2">
        <f t="shared" si="3"/>
        <v>0.125</v>
      </c>
      <c r="AA6" s="2">
        <f t="shared" si="2"/>
        <v>-7.9581204156803004E-2</v>
      </c>
      <c r="AB6" s="2">
        <f t="shared" si="4"/>
        <v>-3.6388289320053403E-3</v>
      </c>
      <c r="AC6" s="2">
        <f t="shared" si="5"/>
        <v>1.6341385282764818E-2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-1174.3042467608984</v>
      </c>
      <c r="AI6" s="2">
        <f>IF(AN5&gt;0, AK5, AI5)</f>
        <v>5250</v>
      </c>
      <c r="AJ6" s="2">
        <v>839.91293587660675</v>
      </c>
      <c r="AK6" s="2">
        <f t="shared" ref="AK6:AK43" si="9">(AG6+AI6)/2</f>
        <v>2875</v>
      </c>
      <c r="AL6" s="2">
        <v>27.98212512602413</v>
      </c>
      <c r="AM6" s="2">
        <f t="shared" ref="AM6:AM44" si="10">AH6*AL6</f>
        <v>-32859.528368884974</v>
      </c>
      <c r="AN6" s="2">
        <f t="shared" ref="AN6:AN44" si="11">AJ6*AL6</f>
        <v>23502.548866665493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343.05502090381299</v>
      </c>
      <c r="D7" s="6" t="s">
        <v>125</v>
      </c>
      <c r="F7" t="s">
        <v>121</v>
      </c>
      <c r="G7" s="8">
        <f>$C$6*2*PI()/60*$C$9</f>
        <v>156.82079542036823</v>
      </c>
      <c r="H7" s="6" t="s">
        <v>10</v>
      </c>
      <c r="J7" s="30" t="s">
        <v>21</v>
      </c>
      <c r="K7" s="30"/>
      <c r="L7" s="30"/>
      <c r="N7" s="6" t="s">
        <v>159</v>
      </c>
      <c r="O7" s="6">
        <f>O5+$O$6</f>
        <v>1.0530998304623522</v>
      </c>
      <c r="P7" s="6" t="s">
        <v>115</v>
      </c>
      <c r="U7" s="2">
        <v>3</v>
      </c>
      <c r="V7" s="2">
        <f t="shared" si="7"/>
        <v>0</v>
      </c>
      <c r="W7" s="2">
        <f t="shared" si="0"/>
        <v>4.5724728226473749E-2</v>
      </c>
      <c r="X7" s="2">
        <f t="shared" si="8"/>
        <v>0.125</v>
      </c>
      <c r="Y7" s="2">
        <f t="shared" si="1"/>
        <v>-7.9581204156803004E-2</v>
      </c>
      <c r="Z7" s="2">
        <f t="shared" si="3"/>
        <v>6.25E-2</v>
      </c>
      <c r="AA7" s="2">
        <f t="shared" si="2"/>
        <v>-1.6854728361018846E-2</v>
      </c>
      <c r="AB7" s="2">
        <f t="shared" si="4"/>
        <v>-7.7067787363862606E-4</v>
      </c>
      <c r="AC7" s="2">
        <f t="shared" si="5"/>
        <v>1.3413195787056985E-3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-1174.3042467608984</v>
      </c>
      <c r="AI7" s="2">
        <f t="shared" ref="AI7:AI44" si="14">IF(AN6&gt;0, AK6, AI6)</f>
        <v>2875</v>
      </c>
      <c r="AJ7" s="2">
        <v>27.98212512602413</v>
      </c>
      <c r="AK7" s="2">
        <f t="shared" si="9"/>
        <v>1687.5</v>
      </c>
      <c r="AL7" s="2">
        <v>-529.28814223728477</v>
      </c>
      <c r="AM7" s="2">
        <f t="shared" si="10"/>
        <v>621545.31318942993</v>
      </c>
      <c r="AN7" s="2">
        <f t="shared" si="11"/>
        <v>-14810.60702380456</v>
      </c>
      <c r="AO7" s="2">
        <f t="shared" si="12"/>
        <v>2375</v>
      </c>
    </row>
    <row r="8" spans="2:41" x14ac:dyDescent="0.2">
      <c r="B8" s="6" t="s">
        <v>9</v>
      </c>
      <c r="C8" s="17">
        <f>228.584226220881 *1000/3600</f>
        <v>63.49561839468916</v>
      </c>
      <c r="D8" s="6" t="s">
        <v>10</v>
      </c>
      <c r="F8" t="s">
        <v>124</v>
      </c>
      <c r="G8" s="8">
        <f>G7/$C$43</f>
        <v>0.46964012448524589</v>
      </c>
      <c r="H8" s="6" t="s">
        <v>122</v>
      </c>
      <c r="J8" s="6" t="s">
        <v>96</v>
      </c>
      <c r="K8" s="6">
        <f xml:space="preserve"> $C$15 * (G12*G6 + G22*G15 + G31*G27 +G35*G34)/3600</f>
        <v>211.01388763490473</v>
      </c>
      <c r="L8" s="6" t="s">
        <v>102</v>
      </c>
      <c r="N8" s="6" t="s">
        <v>38</v>
      </c>
      <c r="O8" s="6">
        <f xml:space="preserve"> O4 *O7</f>
        <v>2141.0269296005968</v>
      </c>
      <c r="P8" s="6" t="s">
        <v>20</v>
      </c>
      <c r="U8" s="2">
        <v>4</v>
      </c>
      <c r="V8" s="2">
        <f t="shared" si="7"/>
        <v>0</v>
      </c>
      <c r="W8" s="2">
        <f t="shared" si="0"/>
        <v>4.5724728226473749E-2</v>
      </c>
      <c r="X8" s="2">
        <f t="shared" si="8"/>
        <v>6.25E-2</v>
      </c>
      <c r="Y8" s="2">
        <f t="shared" si="1"/>
        <v>-1.6854728361018846E-2</v>
      </c>
      <c r="Z8" s="2">
        <f t="shared" si="3"/>
        <v>3.125E-2</v>
      </c>
      <c r="AA8" s="2">
        <f t="shared" si="2"/>
        <v>1.4454668071984103E-2</v>
      </c>
      <c r="AB8" s="2">
        <f t="shared" si="4"/>
        <v>6.6093576919536037E-4</v>
      </c>
      <c r="AC8" s="2">
        <f t="shared" si="5"/>
        <v>-2.4362950390198406E-4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-529.28814223728477</v>
      </c>
      <c r="AI8" s="2">
        <f t="shared" si="14"/>
        <v>2875</v>
      </c>
      <c r="AJ8" s="2">
        <v>27.98212512602413</v>
      </c>
      <c r="AK8" s="2">
        <f t="shared" si="9"/>
        <v>2281.25</v>
      </c>
      <c r="AL8" s="2">
        <v>-237.6620125449715</v>
      </c>
      <c r="AM8" s="2">
        <f t="shared" si="10"/>
        <v>125791.68510030223</v>
      </c>
      <c r="AN8" s="2">
        <f t="shared" si="11"/>
        <v>-6650.2881727361091</v>
      </c>
      <c r="AO8" s="2">
        <f t="shared" si="12"/>
        <v>1187.5</v>
      </c>
    </row>
    <row r="9" spans="2:41" x14ac:dyDescent="0.2">
      <c r="B9" s="6" t="s">
        <v>95</v>
      </c>
      <c r="C9" s="17">
        <v>3.74382071561317</v>
      </c>
      <c r="D9" s="6" t="s">
        <v>8</v>
      </c>
      <c r="F9" t="s">
        <v>19</v>
      </c>
      <c r="G9" s="6">
        <f xml:space="preserve"> $C$5 * $C$44 / $C$18</f>
        <v>6885.4665296833591</v>
      </c>
      <c r="H9" s="6" t="s">
        <v>20</v>
      </c>
      <c r="J9" s="6" t="s">
        <v>138</v>
      </c>
      <c r="K9" s="6">
        <f xml:space="preserve"> $C$15 * (G6 + G15 + G27 + G34)/60</f>
        <v>51.581863685564194</v>
      </c>
      <c r="L9" s="6" t="s">
        <v>103</v>
      </c>
      <c r="N9" s="6" t="s">
        <v>39</v>
      </c>
      <c r="O9" s="6">
        <f xml:space="preserve"> O8</f>
        <v>2141.0269296005968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1.4454668071984103E-2</v>
      </c>
      <c r="X9" s="2">
        <f t="shared" si="8"/>
        <v>6.25E-2</v>
      </c>
      <c r="Y9" s="2">
        <f t="shared" si="1"/>
        <v>-1.6854728361018846E-2</v>
      </c>
      <c r="Z9" s="2">
        <f t="shared" si="3"/>
        <v>4.6875E-2</v>
      </c>
      <c r="AA9" s="2">
        <f t="shared" si="2"/>
        <v>-1.1952221939500254E-3</v>
      </c>
      <c r="AB9" s="2">
        <f t="shared" si="4"/>
        <v>-1.7276540085816224E-5</v>
      </c>
      <c r="AC9" s="2">
        <f t="shared" si="5"/>
        <v>2.0145145410088661E-5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-237.6620125449715</v>
      </c>
      <c r="AI9" s="2">
        <f t="shared" si="14"/>
        <v>2875</v>
      </c>
      <c r="AJ9" s="2">
        <v>27.98212512602413</v>
      </c>
      <c r="AK9" s="2">
        <f t="shared" si="9"/>
        <v>2578.125</v>
      </c>
      <c r="AL9" s="2">
        <v>-102.08268982029585</v>
      </c>
      <c r="AM9" s="2">
        <f t="shared" si="10"/>
        <v>24261.177508695589</v>
      </c>
      <c r="AN9" s="2">
        <f t="shared" si="11"/>
        <v>-2856.4905997526284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92.118733362638764</v>
      </c>
      <c r="H10" s="6" t="s">
        <v>101</v>
      </c>
      <c r="N10" s="6" t="s">
        <v>113</v>
      </c>
      <c r="O10" s="6">
        <f>O7/(0.3048^2)/($C$5*2.20462/1000)^(2/3)</f>
        <v>3.3605960788010707</v>
      </c>
      <c r="U10" s="2">
        <v>6</v>
      </c>
      <c r="V10" s="2">
        <f t="shared" si="7"/>
        <v>3.125E-2</v>
      </c>
      <c r="W10" s="2">
        <f t="shared" si="0"/>
        <v>1.4454668071984103E-2</v>
      </c>
      <c r="X10" s="2">
        <f t="shared" si="8"/>
        <v>4.6875E-2</v>
      </c>
      <c r="Y10" s="2">
        <f t="shared" si="1"/>
        <v>-1.1952221939500254E-3</v>
      </c>
      <c r="Z10" s="2">
        <f t="shared" si="3"/>
        <v>3.90625E-2</v>
      </c>
      <c r="AA10" s="2">
        <f t="shared" si="2"/>
        <v>6.6309421698108537E-3</v>
      </c>
      <c r="AB10" s="2">
        <f t="shared" si="4"/>
        <v>9.584806806913794E-5</v>
      </c>
      <c r="AC10" s="2">
        <f t="shared" si="5"/>
        <v>-7.9254492481570699E-6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-102.08268982029585</v>
      </c>
      <c r="AI10" s="2">
        <f t="shared" si="14"/>
        <v>2875</v>
      </c>
      <c r="AJ10" s="2">
        <v>27.98212512602413</v>
      </c>
      <c r="AK10" s="2">
        <f t="shared" si="9"/>
        <v>2726.5625</v>
      </c>
      <c r="AL10" s="2">
        <v>-36.320806741650358</v>
      </c>
      <c r="AM10" s="2">
        <f t="shared" si="10"/>
        <v>3707.7256486308042</v>
      </c>
      <c r="AN10" s="2">
        <f t="shared" si="11"/>
        <v>-1016.3333589230011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7.6259378189805798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3.90625E-2</v>
      </c>
      <c r="W11" s="2">
        <f t="shared" si="0"/>
        <v>6.6309421698108537E-3</v>
      </c>
      <c r="X11" s="2">
        <f t="shared" si="8"/>
        <v>4.6875E-2</v>
      </c>
      <c r="Y11" s="2">
        <f t="shared" si="1"/>
        <v>-1.1952221939500254E-3</v>
      </c>
      <c r="Z11" s="2">
        <f t="shared" si="3"/>
        <v>4.296875E-2</v>
      </c>
      <c r="AA11" s="2">
        <f t="shared" si="2"/>
        <v>2.7181628574211372E-3</v>
      </c>
      <c r="AB11" s="2">
        <f t="shared" si="4"/>
        <v>1.8023980715687384E-5</v>
      </c>
      <c r="AC11" s="2">
        <f t="shared" si="5"/>
        <v>-3.2488085739603619E-6</v>
      </c>
      <c r="AD11" s="2">
        <f t="shared" si="6"/>
        <v>7.8125E-3</v>
      </c>
      <c r="AF11" s="2">
        <v>7</v>
      </c>
      <c r="AG11" s="2">
        <f t="shared" si="13"/>
        <v>2726.5625</v>
      </c>
      <c r="AH11" s="2">
        <v>-36.320806741650358</v>
      </c>
      <c r="AI11" s="2">
        <f t="shared" si="14"/>
        <v>2875</v>
      </c>
      <c r="AJ11" s="2">
        <v>27.98212512602413</v>
      </c>
      <c r="AK11" s="2">
        <f t="shared" si="9"/>
        <v>2800.78125</v>
      </c>
      <c r="AL11" s="2">
        <v>-3.9817382849510068</v>
      </c>
      <c r="AM11" s="2">
        <f t="shared" si="10"/>
        <v>144.61994674353585</v>
      </c>
      <c r="AN11" s="2">
        <f t="shared" si="11"/>
        <v>-111.41749890857979</v>
      </c>
      <c r="AO11" s="2">
        <f t="shared" si="12"/>
        <v>148.4375</v>
      </c>
    </row>
    <row r="12" spans="2:41" x14ac:dyDescent="0.2">
      <c r="B12" s="30" t="s">
        <v>11</v>
      </c>
      <c r="C12" s="30"/>
      <c r="D12" s="30"/>
      <c r="F12" s="24" t="s">
        <v>82</v>
      </c>
      <c r="G12" s="25">
        <f xml:space="preserve"> 1/1000 * (($C$5*$C$44)/$C$21 * ( ($G$4/2) + SQRT( ($G$4/2)^2 + ($C$5*$C$44) / (2*$C$41*PI()*$C$9^2 * $C$18) ) ) )</f>
        <v>368.47493345055506</v>
      </c>
      <c r="H12" s="25" t="s">
        <v>101</v>
      </c>
      <c r="J12" s="10" t="s">
        <v>79</v>
      </c>
      <c r="K12" s="6">
        <f>C5</f>
        <v>2809.96693034694</v>
      </c>
      <c r="L12" s="6" t="s">
        <v>7</v>
      </c>
      <c r="N12" s="32" t="s">
        <v>73</v>
      </c>
      <c r="O12" s="35"/>
      <c r="P12" s="35"/>
      <c r="U12" s="2">
        <v>8</v>
      </c>
      <c r="V12" s="2">
        <f t="shared" si="7"/>
        <v>4.296875E-2</v>
      </c>
      <c r="W12" s="2">
        <f t="shared" si="0"/>
        <v>2.7181628574211372E-3</v>
      </c>
      <c r="X12" s="2">
        <f t="shared" si="8"/>
        <v>4.6875E-2</v>
      </c>
      <c r="Y12" s="2">
        <f t="shared" si="1"/>
        <v>-1.1952221939500254E-3</v>
      </c>
      <c r="Z12" s="2">
        <f t="shared" si="3"/>
        <v>4.4921875E-2</v>
      </c>
      <c r="AA12" s="2">
        <f t="shared" si="2"/>
        <v>7.6154578747839735E-4</v>
      </c>
      <c r="AB12" s="2">
        <f t="shared" si="4"/>
        <v>2.0700054737493107E-6</v>
      </c>
      <c r="AC12" s="2">
        <f t="shared" si="5"/>
        <v>-9.1021642690332989E-7</v>
      </c>
      <c r="AD12" s="2">
        <f t="shared" si="6"/>
        <v>3.90625E-3</v>
      </c>
      <c r="AF12" s="2">
        <v>8</v>
      </c>
      <c r="AG12" s="2">
        <f t="shared" si="13"/>
        <v>2800.78125</v>
      </c>
      <c r="AH12" s="2">
        <v>-3.9817382849510068</v>
      </c>
      <c r="AI12" s="2">
        <f t="shared" si="14"/>
        <v>2875</v>
      </c>
      <c r="AJ12" s="2">
        <v>27.98212512602413</v>
      </c>
      <c r="AK12" s="2">
        <f t="shared" si="9"/>
        <v>2837.890625</v>
      </c>
      <c r="AL12" s="2">
        <v>12.047731981207107</v>
      </c>
      <c r="AM12" s="2">
        <f t="shared" si="10"/>
        <v>-47.970915676400985</v>
      </c>
      <c r="AN12" s="2">
        <f t="shared" si="11"/>
        <v>337.12114378293984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1241.2581625582632</v>
      </c>
      <c r="L13" s="6" t="s">
        <v>7</v>
      </c>
      <c r="N13" s="6" t="s">
        <v>74</v>
      </c>
      <c r="O13" s="6">
        <f xml:space="preserve"> SQRT( ($C$5*$C$50)^2 + O9^2)</f>
        <v>27622.332971258922</v>
      </c>
      <c r="P13" s="6" t="s">
        <v>20</v>
      </c>
      <c r="U13" s="2">
        <v>9</v>
      </c>
      <c r="V13" s="2">
        <f t="shared" si="7"/>
        <v>4.4921875E-2</v>
      </c>
      <c r="W13" s="2">
        <f t="shared" si="0"/>
        <v>7.6154578747839735E-4</v>
      </c>
      <c r="X13" s="2">
        <f t="shared" si="8"/>
        <v>4.6875E-2</v>
      </c>
      <c r="Y13" s="2">
        <f t="shared" si="1"/>
        <v>-1.1952221939500254E-3</v>
      </c>
      <c r="Z13" s="2">
        <f t="shared" si="3"/>
        <v>4.58984375E-2</v>
      </c>
      <c r="AA13" s="2">
        <f t="shared" si="2"/>
        <v>-2.1681937319618233E-4</v>
      </c>
      <c r="AB13" s="2">
        <f t="shared" si="4"/>
        <v>-1.651178803012592E-7</v>
      </c>
      <c r="AC13" s="2">
        <f t="shared" si="5"/>
        <v>2.5914732692241039E-7</v>
      </c>
      <c r="AD13" s="2">
        <f t="shared" si="6"/>
        <v>1.953125E-3</v>
      </c>
      <c r="AF13" s="2">
        <v>9</v>
      </c>
      <c r="AG13" s="2">
        <f t="shared" si="13"/>
        <v>2800.78125</v>
      </c>
      <c r="AH13" s="2">
        <v>-3.9817382849510068</v>
      </c>
      <c r="AI13" s="2">
        <f t="shared" si="14"/>
        <v>2837.890625</v>
      </c>
      <c r="AJ13" s="2">
        <v>12.047731981207107</v>
      </c>
      <c r="AK13" s="2">
        <f t="shared" si="9"/>
        <v>2819.3359375</v>
      </c>
      <c r="AL13" s="2">
        <v>4.044794322839607</v>
      </c>
      <c r="AM13" s="2">
        <f t="shared" si="10"/>
        <v>-16.105312410002945</v>
      </c>
      <c r="AN13" s="2">
        <f t="shared" si="11"/>
        <v>48.730597920679678</v>
      </c>
      <c r="AO13" s="2">
        <f t="shared" si="12"/>
        <v>37.109375</v>
      </c>
    </row>
    <row r="14" spans="2:41" x14ac:dyDescent="0.2">
      <c r="B14" s="6" t="s">
        <v>12</v>
      </c>
      <c r="C14" s="17">
        <f>100*1000</f>
        <v>100000</v>
      </c>
      <c r="D14" s="6" t="s">
        <v>8</v>
      </c>
      <c r="F14" s="32" t="s">
        <v>86</v>
      </c>
      <c r="G14" s="34"/>
      <c r="H14" s="34"/>
      <c r="J14" s="12" t="s">
        <v>126</v>
      </c>
      <c r="K14" s="6">
        <f xml:space="preserve"> $C$54 * $C$18 * (0.0095 * MAX(G9,O18,G28) - 1.9275)</f>
        <v>203.7617305815678</v>
      </c>
      <c r="L14" s="6" t="s">
        <v>7</v>
      </c>
      <c r="N14" s="6" t="s">
        <v>75</v>
      </c>
      <c r="O14" s="6">
        <f>$C$5*$C$50/O13</f>
        <v>0.99699151862620194</v>
      </c>
      <c r="U14" s="2">
        <v>10</v>
      </c>
      <c r="V14" s="2">
        <f t="shared" si="7"/>
        <v>4.4921875E-2</v>
      </c>
      <c r="W14" s="2">
        <f t="shared" si="0"/>
        <v>7.6154578747839735E-4</v>
      </c>
      <c r="X14" s="2">
        <f t="shared" si="8"/>
        <v>4.58984375E-2</v>
      </c>
      <c r="Y14" s="2">
        <f t="shared" si="1"/>
        <v>-2.1681937319618233E-4</v>
      </c>
      <c r="Z14" s="2">
        <f t="shared" si="3"/>
        <v>4.541015625E-2</v>
      </c>
      <c r="AA14" s="2">
        <f t="shared" si="2"/>
        <v>2.7236791894090506E-4</v>
      </c>
      <c r="AB14" s="2">
        <f t="shared" si="4"/>
        <v>2.0742064131370385E-7</v>
      </c>
      <c r="AC14" s="2">
        <f t="shared" si="5"/>
        <v>-5.9054641463515636E-8</v>
      </c>
      <c r="AD14" s="2">
        <f t="shared" si="6"/>
        <v>9.765625E-4</v>
      </c>
      <c r="AF14" s="2">
        <v>10</v>
      </c>
      <c r="AG14" s="2">
        <f t="shared" si="13"/>
        <v>2800.78125</v>
      </c>
      <c r="AH14" s="2">
        <v>-3.9817382849510068</v>
      </c>
      <c r="AI14" s="2">
        <f t="shared" si="14"/>
        <v>2819.3359375</v>
      </c>
      <c r="AJ14" s="2">
        <v>4.044794322839607</v>
      </c>
      <c r="AK14" s="2">
        <f t="shared" si="9"/>
        <v>2810.05859375</v>
      </c>
      <c r="AL14" s="2">
        <v>3.4465268268832006E-2</v>
      </c>
      <c r="AM14" s="2">
        <f t="shared" si="10"/>
        <v>-0.13723167816711551</v>
      </c>
      <c r="AN14" s="2">
        <f t="shared" si="11"/>
        <v>0.13940492142891575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1574.9118211338516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289.11595777647085</v>
      </c>
      <c r="L15" s="6" t="s">
        <v>7</v>
      </c>
      <c r="U15" s="2">
        <v>11</v>
      </c>
      <c r="V15" s="2">
        <f t="shared" si="7"/>
        <v>4.541015625E-2</v>
      </c>
      <c r="W15" s="2">
        <f t="shared" si="0"/>
        <v>2.7236791894090506E-4</v>
      </c>
      <c r="X15" s="2">
        <f t="shared" si="8"/>
        <v>4.58984375E-2</v>
      </c>
      <c r="Y15" s="2">
        <f t="shared" si="1"/>
        <v>-2.1681937319618233E-4</v>
      </c>
      <c r="Z15" s="2">
        <f t="shared" si="3"/>
        <v>4.5654296875E-2</v>
      </c>
      <c r="AA15" s="2">
        <f t="shared" si="2"/>
        <v>2.7775450289369008E-5</v>
      </c>
      <c r="AB15" s="2">
        <f t="shared" si="4"/>
        <v>7.5651415929619957E-9</v>
      </c>
      <c r="AC15" s="2">
        <f t="shared" si="5"/>
        <v>-6.0222557219827091E-9</v>
      </c>
      <c r="AD15" s="2">
        <f t="shared" si="6"/>
        <v>4.8828125E-4</v>
      </c>
      <c r="AF15" s="2">
        <v>11</v>
      </c>
      <c r="AG15" s="2">
        <f t="shared" si="13"/>
        <v>2800.78125</v>
      </c>
      <c r="AH15" s="2">
        <v>-3.9817382849510068</v>
      </c>
      <c r="AI15" s="2">
        <f t="shared" si="14"/>
        <v>2810.05859375</v>
      </c>
      <c r="AJ15" s="2">
        <v>3.4465268268832006E-2</v>
      </c>
      <c r="AK15" s="2">
        <f t="shared" si="9"/>
        <v>2805.419921875</v>
      </c>
      <c r="AL15" s="2">
        <v>-1.9728938959815423</v>
      </c>
      <c r="AM15" s="2">
        <f t="shared" si="10"/>
        <v>7.855547157775856</v>
      </c>
      <c r="AN15" s="2">
        <f t="shared" si="11"/>
        <v>-6.7996317390944999E-2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134.49540312771754</v>
      </c>
      <c r="H16" s="6" t="s">
        <v>10</v>
      </c>
      <c r="J16" s="13" t="s">
        <v>53</v>
      </c>
      <c r="K16" s="6">
        <f xml:space="preserve"> $C$54 * 0.2138 * K4</f>
        <v>94.535928926074405</v>
      </c>
      <c r="L16" s="6" t="s">
        <v>7</v>
      </c>
      <c r="N16" s="32" t="s">
        <v>24</v>
      </c>
      <c r="O16" s="35"/>
      <c r="P16" s="35"/>
      <c r="U16" s="2">
        <v>12</v>
      </c>
      <c r="V16" s="2">
        <f t="shared" si="7"/>
        <v>4.5654296875E-2</v>
      </c>
      <c r="W16" s="2">
        <f t="shared" si="0"/>
        <v>2.7775450289369008E-5</v>
      </c>
      <c r="X16" s="2">
        <f t="shared" si="8"/>
        <v>4.58984375E-2</v>
      </c>
      <c r="Y16" s="2">
        <f t="shared" si="1"/>
        <v>-2.1681937319618233E-4</v>
      </c>
      <c r="Z16" s="2">
        <f t="shared" si="3"/>
        <v>4.57763671875E-2</v>
      </c>
      <c r="AA16" s="2">
        <f t="shared" si="2"/>
        <v>-9.4521667166058698E-5</v>
      </c>
      <c r="AB16" s="2">
        <f t="shared" si="4"/>
        <v>-2.625381867639146E-9</v>
      </c>
      <c r="AC16" s="2">
        <f t="shared" si="5"/>
        <v>2.0494128628403016E-8</v>
      </c>
      <c r="AD16" s="2">
        <f t="shared" si="6"/>
        <v>2.44140625E-4</v>
      </c>
      <c r="AF16" s="2">
        <v>12</v>
      </c>
      <c r="AG16" s="2">
        <f t="shared" si="13"/>
        <v>2805.419921875</v>
      </c>
      <c r="AH16" s="2">
        <v>-1.9728938959815423</v>
      </c>
      <c r="AI16" s="2">
        <f t="shared" si="14"/>
        <v>2810.05859375</v>
      </c>
      <c r="AJ16" s="2">
        <v>3.4465268268832006E-2</v>
      </c>
      <c r="AK16" s="2">
        <f t="shared" si="9"/>
        <v>2807.7392578125</v>
      </c>
      <c r="AL16" s="2">
        <v>-0.96902544737213248</v>
      </c>
      <c r="AM16" s="2">
        <f t="shared" si="10"/>
        <v>1.9117843901712634</v>
      </c>
      <c r="AN16" s="2">
        <f t="shared" si="11"/>
        <v>-3.3397722003005496E-2</v>
      </c>
      <c r="AO16" s="2">
        <f t="shared" si="12"/>
        <v>4.638671875</v>
      </c>
    </row>
    <row r="17" spans="2:41" x14ac:dyDescent="0.2">
      <c r="B17" s="33" t="s">
        <v>110</v>
      </c>
      <c r="C17" s="33"/>
      <c r="D17" s="33"/>
      <c r="F17" s="6" t="s">
        <v>124</v>
      </c>
      <c r="G17" s="6">
        <f>G16/$C$49</f>
        <v>0.40422786385139681</v>
      </c>
      <c r="H17" s="6" t="s">
        <v>122</v>
      </c>
      <c r="J17" s="13" t="s">
        <v>77</v>
      </c>
      <c r="K17" s="6">
        <f xml:space="preserve"> $C$54 * 0.1149 * K4</f>
        <v>50.805323824162535</v>
      </c>
      <c r="L17" s="6" t="s">
        <v>7</v>
      </c>
      <c r="N17" s="6" t="s">
        <v>25</v>
      </c>
      <c r="O17" s="6">
        <f xml:space="preserve"> ACOS(O14)/PI()*180</f>
        <v>4.4454961086713025</v>
      </c>
      <c r="P17" s="6" t="s">
        <v>40</v>
      </c>
      <c r="U17" s="2">
        <v>13</v>
      </c>
      <c r="V17" s="2">
        <f t="shared" si="7"/>
        <v>4.5654296875E-2</v>
      </c>
      <c r="W17" s="2">
        <f t="shared" si="0"/>
        <v>2.7775450289369008E-5</v>
      </c>
      <c r="X17" s="2">
        <f t="shared" si="8"/>
        <v>4.57763671875E-2</v>
      </c>
      <c r="Y17" s="2">
        <f t="shared" si="1"/>
        <v>-9.4521667166058698E-5</v>
      </c>
      <c r="Z17" s="2">
        <f t="shared" si="3"/>
        <v>4.571533203125E-2</v>
      </c>
      <c r="AA17" s="2">
        <f t="shared" si="2"/>
        <v>-3.3373034858133477E-5</v>
      </c>
      <c r="AB17" s="2">
        <f t="shared" si="4"/>
        <v>-9.2695107070746545E-10</v>
      </c>
      <c r="AC17" s="2">
        <f t="shared" si="5"/>
        <v>3.1544748931817674E-9</v>
      </c>
      <c r="AD17" s="2">
        <f t="shared" si="6"/>
        <v>1.220703125E-4</v>
      </c>
      <c r="AF17" s="2">
        <v>13</v>
      </c>
      <c r="AG17" s="2">
        <f t="shared" si="13"/>
        <v>2807.7392578125</v>
      </c>
      <c r="AH17" s="2">
        <v>-0.96902544737213248</v>
      </c>
      <c r="AI17" s="2">
        <f t="shared" si="14"/>
        <v>2810.05859375</v>
      </c>
      <c r="AJ17" s="2">
        <v>3.4465268268832006E-2</v>
      </c>
      <c r="AK17" s="2">
        <f t="shared" si="9"/>
        <v>2808.89892578125</v>
      </c>
      <c r="AL17" s="2">
        <v>-0.46722596282688755</v>
      </c>
      <c r="AM17" s="2">
        <f t="shared" si="10"/>
        <v>0.45275384765220006</v>
      </c>
      <c r="AN17" s="2">
        <f t="shared" si="11"/>
        <v>-1.6103068150992009E-2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6905.5832428147305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136.52966801028529</v>
      </c>
      <c r="L18" s="6" t="s">
        <v>7</v>
      </c>
      <c r="N18" s="6" t="s">
        <v>19</v>
      </c>
      <c r="O18" s="6">
        <f xml:space="preserve"> O13 / $C$18</f>
        <v>6905.5832428147305</v>
      </c>
      <c r="P18" s="6" t="s">
        <v>20</v>
      </c>
      <c r="U18" s="2">
        <v>14</v>
      </c>
      <c r="V18" s="2">
        <f t="shared" si="7"/>
        <v>4.5654296875E-2</v>
      </c>
      <c r="W18" s="2">
        <f t="shared" si="0"/>
        <v>2.7775450289369008E-5</v>
      </c>
      <c r="X18" s="2">
        <f t="shared" si="8"/>
        <v>4.571533203125E-2</v>
      </c>
      <c r="Y18" s="2">
        <f t="shared" si="1"/>
        <v>-3.3373034858133477E-5</v>
      </c>
      <c r="Z18" s="2">
        <f t="shared" si="3"/>
        <v>4.5684814453125E-2</v>
      </c>
      <c r="AA18" s="2">
        <f t="shared" si="2"/>
        <v>-2.7987738882850888E-6</v>
      </c>
      <c r="AB18" s="2">
        <f t="shared" si="4"/>
        <v>-7.7737205005246487E-11</v>
      </c>
      <c r="AC18" s="2">
        <f t="shared" si="5"/>
        <v>9.3403578533772042E-11</v>
      </c>
      <c r="AD18" s="2">
        <f t="shared" si="6"/>
        <v>6.103515625E-5</v>
      </c>
      <c r="AF18" s="2">
        <v>14</v>
      </c>
      <c r="AG18" s="2">
        <f t="shared" si="13"/>
        <v>2808.89892578125</v>
      </c>
      <c r="AH18" s="2">
        <v>-0.46722596282688755</v>
      </c>
      <c r="AI18" s="2">
        <f t="shared" si="14"/>
        <v>2810.05859375</v>
      </c>
      <c r="AJ18" s="2">
        <v>3.4465268268832006E-2</v>
      </c>
      <c r="AK18" s="2">
        <f t="shared" si="9"/>
        <v>2809.478759765625</v>
      </c>
      <c r="AL18" s="2">
        <v>-0.21637132755495259</v>
      </c>
      <c r="AM18" s="2">
        <f t="shared" si="10"/>
        <v>0.10109430184499459</v>
      </c>
      <c r="AN18" s="2">
        <f t="shared" si="11"/>
        <v>-7.4572958498647637E-3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58.717626259133297</v>
      </c>
      <c r="H19" s="6" t="s">
        <v>101</v>
      </c>
      <c r="J19" s="14" t="s">
        <v>61</v>
      </c>
      <c r="K19" s="6">
        <f xml:space="preserve"> $C$55 * C31 * $C$5</f>
        <v>31.471629619885732</v>
      </c>
      <c r="L19" s="6" t="s">
        <v>7</v>
      </c>
      <c r="N19" s="6" t="s">
        <v>26</v>
      </c>
      <c r="O19" s="6">
        <f>$C$7*2*PI()/60</f>
        <v>35.924637781617065</v>
      </c>
      <c r="P19" s="6" t="s">
        <v>27</v>
      </c>
      <c r="U19" s="2">
        <v>15</v>
      </c>
      <c r="V19" s="2">
        <f t="shared" si="7"/>
        <v>4.5654296875E-2</v>
      </c>
      <c r="W19" s="2">
        <f t="shared" si="0"/>
        <v>2.7775450289369008E-5</v>
      </c>
      <c r="X19" s="2">
        <f t="shared" si="8"/>
        <v>4.5684814453125E-2</v>
      </c>
      <c r="Y19" s="2">
        <f t="shared" si="1"/>
        <v>-2.7987738882850888E-6</v>
      </c>
      <c r="Z19" s="2">
        <f t="shared" si="3"/>
        <v>4.56695556640625E-2</v>
      </c>
      <c r="AA19" s="2">
        <f t="shared" si="2"/>
        <v>1.248834279969635E-5</v>
      </c>
      <c r="AB19" s="2">
        <f t="shared" si="4"/>
        <v>3.4686934462956535E-10</v>
      </c>
      <c r="AC19" s="2">
        <f t="shared" si="5"/>
        <v>-3.4952047735743245E-11</v>
      </c>
      <c r="AD19" s="2">
        <f t="shared" si="6"/>
        <v>3.0517578125E-5</v>
      </c>
      <c r="AF19" s="2">
        <v>15</v>
      </c>
      <c r="AG19" s="2">
        <f t="shared" si="13"/>
        <v>2809.478759765625</v>
      </c>
      <c r="AH19" s="2">
        <v>-0.21637132755495259</v>
      </c>
      <c r="AI19" s="2">
        <f t="shared" si="14"/>
        <v>2810.05859375</v>
      </c>
      <c r="AJ19" s="2">
        <v>3.4465268268832006E-2</v>
      </c>
      <c r="AK19" s="2">
        <f t="shared" si="9"/>
        <v>2809.7686767578125</v>
      </c>
      <c r="AL19" s="2">
        <v>-9.0946244591577852E-2</v>
      </c>
      <c r="AM19" s="2">
        <f t="shared" si="10"/>
        <v>1.9678159678417125E-2</v>
      </c>
      <c r="AN19" s="2">
        <f t="shared" si="11"/>
        <v>-3.1344867178915423E-3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12.000000479939157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0.47068220576517827</v>
      </c>
      <c r="U20" s="2">
        <v>16</v>
      </c>
      <c r="V20" s="2">
        <f t="shared" si="7"/>
        <v>4.56695556640625E-2</v>
      </c>
      <c r="W20" s="2">
        <f t="shared" si="0"/>
        <v>1.248834279969635E-5</v>
      </c>
      <c r="X20" s="2">
        <f t="shared" si="8"/>
        <v>4.5684814453125E-2</v>
      </c>
      <c r="Y20" s="2">
        <f t="shared" si="1"/>
        <v>-2.7987738882850888E-6</v>
      </c>
      <c r="Z20" s="2">
        <f t="shared" si="3"/>
        <v>4.567718505859375E-2</v>
      </c>
      <c r="AA20" s="2">
        <f t="shared" si="2"/>
        <v>4.8447856054803506E-6</v>
      </c>
      <c r="AB20" s="2">
        <f t="shared" si="4"/>
        <v>6.0503343432273055E-11</v>
      </c>
      <c r="AC20" s="2">
        <f t="shared" si="5"/>
        <v>-1.355945944695787E-11</v>
      </c>
      <c r="AD20" s="2">
        <f t="shared" si="6"/>
        <v>1.52587890625E-5</v>
      </c>
      <c r="AF20" s="2">
        <v>16</v>
      </c>
      <c r="AG20" s="2">
        <f t="shared" si="13"/>
        <v>2809.7686767578125</v>
      </c>
      <c r="AH20" s="2">
        <v>-9.0946244591577852E-2</v>
      </c>
      <c r="AI20" s="2">
        <f t="shared" si="14"/>
        <v>2810.05859375</v>
      </c>
      <c r="AJ20" s="2">
        <v>3.4465268268832006E-2</v>
      </c>
      <c r="AK20" s="2">
        <f t="shared" si="9"/>
        <v>2809.9136352539062</v>
      </c>
      <c r="AL20" s="2">
        <v>-2.8231998433057015E-2</v>
      </c>
      <c r="AM20" s="2">
        <f t="shared" si="10"/>
        <v>2.5675942348018458E-3</v>
      </c>
      <c r="AN20" s="2">
        <f t="shared" si="11"/>
        <v>-9.7302339976055479E-4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0.14000002102392159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8.5962780771898003E-3</v>
      </c>
      <c r="U21" s="2">
        <v>17</v>
      </c>
      <c r="V21" s="2">
        <f t="shared" si="7"/>
        <v>4.567718505859375E-2</v>
      </c>
      <c r="W21" s="2">
        <f t="shared" si="0"/>
        <v>4.8447856054803506E-6</v>
      </c>
      <c r="X21" s="2">
        <f t="shared" si="8"/>
        <v>4.5684814453125E-2</v>
      </c>
      <c r="Y21" s="2">
        <f t="shared" si="1"/>
        <v>-2.7987738882850888E-6</v>
      </c>
      <c r="Z21" s="2">
        <f t="shared" si="3"/>
        <v>4.5680999755859375E-2</v>
      </c>
      <c r="AA21" s="2">
        <f t="shared" si="2"/>
        <v>1.0230061460447804E-6</v>
      </c>
      <c r="AB21" s="2">
        <f t="shared" si="4"/>
        <v>4.9562454506756812E-12</v>
      </c>
      <c r="AC21" s="2">
        <f t="shared" si="5"/>
        <v>-2.8631628891052932E-12</v>
      </c>
      <c r="AD21" s="2">
        <f t="shared" si="6"/>
        <v>7.62939453125E-6</v>
      </c>
      <c r="AF21" s="2">
        <v>17</v>
      </c>
      <c r="AG21" s="2">
        <f t="shared" si="13"/>
        <v>2809.9136352539062</v>
      </c>
      <c r="AH21" s="2">
        <v>-2.8231998433057015E-2</v>
      </c>
      <c r="AI21" s="2">
        <f t="shared" si="14"/>
        <v>2810.05859375</v>
      </c>
      <c r="AJ21" s="2">
        <v>3.4465268268832006E-2</v>
      </c>
      <c r="AK21" s="2">
        <f t="shared" si="9"/>
        <v>2809.9861145019531</v>
      </c>
      <c r="AL21" s="2">
        <v>3.1164931119747052E-3</v>
      </c>
      <c r="AM21" s="2">
        <f t="shared" si="10"/>
        <v>-8.7984828653902864E-5</v>
      </c>
      <c r="AN21" s="2">
        <f t="shared" si="11"/>
        <v>1.0741077116217531E-4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234.87050503653319</v>
      </c>
      <c r="H22" s="25" t="s">
        <v>101</v>
      </c>
      <c r="J22" s="14" t="s">
        <v>112</v>
      </c>
      <c r="K22" s="6">
        <f>$C$55*(0.14*$G$12*1000/745.7)*0.453592</f>
        <v>25.103091840599262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4.5680999755859375E-2</v>
      </c>
      <c r="W22" s="2">
        <f t="shared" si="0"/>
        <v>1.0230061460447804E-6</v>
      </c>
      <c r="X22" s="2">
        <f t="shared" si="8"/>
        <v>4.5684814453125E-2</v>
      </c>
      <c r="Y22" s="2">
        <f t="shared" si="1"/>
        <v>-2.7987738882850888E-6</v>
      </c>
      <c r="Z22" s="2">
        <f t="shared" si="3"/>
        <v>4.5682907104492188E-2</v>
      </c>
      <c r="AA22" s="2">
        <f t="shared" si="2"/>
        <v>-8.8788379926096894E-7</v>
      </c>
      <c r="AB22" s="2">
        <f t="shared" si="4"/>
        <v>-9.0831058361756128E-13</v>
      </c>
      <c r="AC22" s="2">
        <f t="shared" si="5"/>
        <v>2.4849859932029592E-12</v>
      </c>
      <c r="AD22" s="2">
        <f t="shared" si="6"/>
        <v>3.814697265625E-6</v>
      </c>
      <c r="AF22" s="2">
        <v>18</v>
      </c>
      <c r="AG22" s="2">
        <f t="shared" si="13"/>
        <v>2809.9136352539062</v>
      </c>
      <c r="AH22" s="2">
        <v>-2.8231998433057015E-2</v>
      </c>
      <c r="AI22" s="2">
        <f t="shared" si="14"/>
        <v>2809.9861145019531</v>
      </c>
      <c r="AJ22" s="2">
        <v>3.1164931119747052E-3</v>
      </c>
      <c r="AK22" s="2">
        <f t="shared" si="9"/>
        <v>2809.9498748779297</v>
      </c>
      <c r="AL22" s="2">
        <v>-1.2566845670789917E-2</v>
      </c>
      <c r="AM22" s="2">
        <f t="shared" si="10"/>
        <v>3.5478716728621024E-4</v>
      </c>
      <c r="AN22" s="2">
        <f t="shared" si="11"/>
        <v>-3.916448797226592E-5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60.245690986638401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14983.453859423274</v>
      </c>
      <c r="P23" s="6" t="s">
        <v>18</v>
      </c>
      <c r="U23" s="2">
        <v>19</v>
      </c>
      <c r="V23" s="2">
        <f t="shared" si="7"/>
        <v>4.5680999755859375E-2</v>
      </c>
      <c r="W23" s="2">
        <f t="shared" si="0"/>
        <v>1.0230061460447804E-6</v>
      </c>
      <c r="X23" s="2">
        <f t="shared" si="8"/>
        <v>4.5682907104492188E-2</v>
      </c>
      <c r="Y23" s="2">
        <f t="shared" si="1"/>
        <v>-8.8788379926096894E-7</v>
      </c>
      <c r="Z23" s="2">
        <f t="shared" si="3"/>
        <v>4.5681953430175781E-2</v>
      </c>
      <c r="AA23" s="2">
        <f t="shared" si="2"/>
        <v>6.7561191356702022E-8</v>
      </c>
      <c r="AB23" s="2">
        <f t="shared" si="4"/>
        <v>6.911551399201366E-14</v>
      </c>
      <c r="AC23" s="2">
        <f t="shared" si="5"/>
        <v>-5.9986487264385925E-14</v>
      </c>
      <c r="AD23" s="2">
        <f t="shared" si="6"/>
        <v>1.9073486328125E-6</v>
      </c>
      <c r="AF23" s="2">
        <v>19</v>
      </c>
      <c r="AG23" s="2">
        <f t="shared" si="13"/>
        <v>2809.9498748779297</v>
      </c>
      <c r="AH23" s="2">
        <v>-1.2566845670789917E-2</v>
      </c>
      <c r="AI23" s="2">
        <f t="shared" si="14"/>
        <v>2809.9861145019531</v>
      </c>
      <c r="AJ23" s="2">
        <v>3.1164931119747052E-3</v>
      </c>
      <c r="AK23" s="2">
        <f t="shared" si="9"/>
        <v>2809.9679946899414</v>
      </c>
      <c r="AL23" s="2">
        <v>-4.725185171537305E-3</v>
      </c>
      <c r="AM23" s="2">
        <f t="shared" si="10"/>
        <v>5.9380672816614289E-5</v>
      </c>
      <c r="AN23" s="2">
        <f t="shared" si="11"/>
        <v>-1.4726007039901027E-5</v>
      </c>
      <c r="AO23" s="2">
        <f t="shared" si="12"/>
        <v>3.62396240234375E-2</v>
      </c>
    </row>
    <row r="24" spans="2:41" x14ac:dyDescent="0.2">
      <c r="B24" s="33" t="s">
        <v>104</v>
      </c>
      <c r="C24" s="33"/>
      <c r="D24" s="33"/>
      <c r="F24" s="32" t="s">
        <v>81</v>
      </c>
      <c r="G24" s="34"/>
      <c r="H24" s="34"/>
      <c r="J24" s="15" t="s">
        <v>65</v>
      </c>
      <c r="K24" s="6">
        <f xml:space="preserve"> $C$56 * (11.5 * ($C$5*2.20462/1000)^0.4 * 0.453592)</f>
        <v>8.6550024345099086</v>
      </c>
      <c r="L24" s="6" t="s">
        <v>7</v>
      </c>
      <c r="N24" s="6" t="s">
        <v>31</v>
      </c>
      <c r="O24" s="18">
        <f>Z34</f>
        <v>4.5682020951062441E-2</v>
      </c>
      <c r="U24" s="2">
        <v>20</v>
      </c>
      <c r="V24" s="2">
        <f t="shared" si="7"/>
        <v>4.5681953430175781E-2</v>
      </c>
      <c r="W24" s="2">
        <f t="shared" si="0"/>
        <v>6.7561191356702022E-8</v>
      </c>
      <c r="X24" s="2">
        <f t="shared" si="8"/>
        <v>4.5682907104492188E-2</v>
      </c>
      <c r="Y24" s="2">
        <f t="shared" si="1"/>
        <v>-8.8788379926096894E-7</v>
      </c>
      <c r="Z24" s="2">
        <f t="shared" si="3"/>
        <v>4.5682430267333984E-2</v>
      </c>
      <c r="AA24" s="2">
        <f t="shared" si="2"/>
        <v>-4.1016129945919966E-7</v>
      </c>
      <c r="AB24" s="2">
        <f t="shared" si="4"/>
        <v>-2.7710986039876548E-14</v>
      </c>
      <c r="AC24" s="2">
        <f t="shared" si="5"/>
        <v>3.6417557287365018E-13</v>
      </c>
      <c r="AD24" s="2">
        <f t="shared" si="6"/>
        <v>9.5367431640625E-7</v>
      </c>
      <c r="AF24" s="2">
        <v>20</v>
      </c>
      <c r="AG24" s="2">
        <f t="shared" si="13"/>
        <v>2809.9679946899414</v>
      </c>
      <c r="AH24" s="2">
        <v>-4.725185171537305E-3</v>
      </c>
      <c r="AI24" s="2">
        <f t="shared" si="14"/>
        <v>2809.9861145019531</v>
      </c>
      <c r="AJ24" s="2">
        <v>3.1164931119747052E-3</v>
      </c>
      <c r="AK24" s="2">
        <f t="shared" si="9"/>
        <v>2809.9770545959473</v>
      </c>
      <c r="AL24" s="2">
        <v>-8.0434825258635101E-4</v>
      </c>
      <c r="AM24" s="2">
        <f t="shared" si="10"/>
        <v>3.8006944358729684E-6</v>
      </c>
      <c r="AN24" s="2">
        <f t="shared" si="11"/>
        <v>-2.5067457888142533E-6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17.983788354220419</v>
      </c>
      <c r="L25" s="6" t="s">
        <v>7</v>
      </c>
      <c r="N25" s="6" t="s">
        <v>32</v>
      </c>
      <c r="O25" s="6">
        <f xml:space="preserve"> O19 * $C$9 * O24 - $C$8 * SIN(O17/180*PI())</f>
        <v>1.2224306951884234</v>
      </c>
      <c r="P25" s="6" t="s">
        <v>10</v>
      </c>
      <c r="U25" s="2">
        <v>21</v>
      </c>
      <c r="V25" s="2">
        <f t="shared" si="7"/>
        <v>4.5681953430175781E-2</v>
      </c>
      <c r="W25" s="2">
        <f t="shared" si="0"/>
        <v>6.7561191356702022E-8</v>
      </c>
      <c r="X25" s="2">
        <f t="shared" si="8"/>
        <v>4.5682430267333984E-2</v>
      </c>
      <c r="Y25" s="2">
        <f t="shared" si="1"/>
        <v>-4.1016129945919966E-7</v>
      </c>
      <c r="Z25" s="2">
        <f t="shared" si="3"/>
        <v>4.5682191848754883E-2</v>
      </c>
      <c r="AA25" s="2">
        <f t="shared" si="2"/>
        <v>-1.713000529340869E-7</v>
      </c>
      <c r="AB25" s="2">
        <f t="shared" si="4"/>
        <v>-1.157323565569303E-14</v>
      </c>
      <c r="AC25" s="2">
        <f t="shared" si="5"/>
        <v>7.0260652308874768E-14</v>
      </c>
      <c r="AD25" s="2">
        <f t="shared" si="6"/>
        <v>4.76837158203125E-7</v>
      </c>
      <c r="AF25" s="2">
        <v>21</v>
      </c>
      <c r="AG25" s="2">
        <f t="shared" si="13"/>
        <v>2809.9770545959473</v>
      </c>
      <c r="AH25" s="2">
        <v>-8.0434825258635101E-4</v>
      </c>
      <c r="AI25" s="2">
        <f t="shared" si="14"/>
        <v>2809.9861145019531</v>
      </c>
      <c r="AJ25" s="2">
        <v>3.1164931119747052E-3</v>
      </c>
      <c r="AK25" s="2">
        <f t="shared" si="9"/>
        <v>2809.9815845489502</v>
      </c>
      <c r="AL25" s="2">
        <v>1.1651295408228179E-3</v>
      </c>
      <c r="AM25" s="2">
        <f t="shared" si="10"/>
        <v>-9.3716991019757119E-7</v>
      </c>
      <c r="AN25" s="2">
        <f t="shared" si="11"/>
        <v>3.6311181885325632E-6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50.506138222276938</v>
      </c>
      <c r="L26" s="6" t="s">
        <v>7</v>
      </c>
      <c r="N26" s="6" t="s">
        <v>33</v>
      </c>
      <c r="O26" s="6">
        <f xml:space="preserve"> 1/$C$21 - O23 * SQRT( (2*$C$47*PI()*$C$9^2) / O18^3 )</f>
        <v>1.087260370201832</v>
      </c>
      <c r="U26" s="2">
        <v>22</v>
      </c>
      <c r="V26" s="2">
        <f t="shared" si="7"/>
        <v>4.5681953430175781E-2</v>
      </c>
      <c r="W26" s="2">
        <f t="shared" si="0"/>
        <v>6.7561191356702022E-8</v>
      </c>
      <c r="X26" s="2">
        <f t="shared" si="8"/>
        <v>4.5682191848754883E-2</v>
      </c>
      <c r="Y26" s="2">
        <f t="shared" si="1"/>
        <v>-1.713000529340869E-7</v>
      </c>
      <c r="Z26" s="2">
        <f t="shared" si="3"/>
        <v>4.5682072639465332E-2</v>
      </c>
      <c r="AA26" s="2">
        <f t="shared" si="2"/>
        <v>-5.1869430507667236E-8</v>
      </c>
      <c r="AB26" s="2">
        <f t="shared" si="4"/>
        <v>-3.504360520091664E-15</v>
      </c>
      <c r="AC26" s="2">
        <f t="shared" si="5"/>
        <v>8.8852361916243386E-15</v>
      </c>
      <c r="AD26" s="2">
        <f t="shared" si="6"/>
        <v>2.384185791015625E-7</v>
      </c>
      <c r="AF26" s="2">
        <v>22</v>
      </c>
      <c r="AG26" s="2">
        <f t="shared" si="13"/>
        <v>2809.9770545959473</v>
      </c>
      <c r="AH26" s="2">
        <v>-8.0434825258635101E-4</v>
      </c>
      <c r="AI26" s="2">
        <f t="shared" si="14"/>
        <v>2809.9815845489502</v>
      </c>
      <c r="AJ26" s="2">
        <v>1.1651295408228179E-3</v>
      </c>
      <c r="AK26" s="2">
        <f t="shared" si="9"/>
        <v>2809.9793195724487</v>
      </c>
      <c r="AL26" s="2">
        <v>1.7133284472947707E-4</v>
      </c>
      <c r="AM26" s="2">
        <f t="shared" si="10"/>
        <v>-1.3781127426880347E-7</v>
      </c>
      <c r="AN26" s="2">
        <f t="shared" si="11"/>
        <v>1.9962495870752278E-7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-5.182788014280959E-3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4.5681953430175781E-2</v>
      </c>
      <c r="W27" s="2">
        <f t="shared" si="0"/>
        <v>6.7561191356702022E-8</v>
      </c>
      <c r="X27" s="2">
        <f t="shared" si="8"/>
        <v>4.5682072639465332E-2</v>
      </c>
      <c r="Y27" s="2">
        <f t="shared" si="1"/>
        <v>-5.1869430507667236E-8</v>
      </c>
      <c r="Z27" s="2">
        <f t="shared" si="3"/>
        <v>4.5682013034820557E-2</v>
      </c>
      <c r="AA27" s="2">
        <f t="shared" si="2"/>
        <v>7.845880493906332E-9</v>
      </c>
      <c r="AB27" s="2">
        <f t="shared" si="4"/>
        <v>5.3007703341062146E-16</v>
      </c>
      <c r="AC27" s="2">
        <f t="shared" si="5"/>
        <v>-4.0696135305013637E-16</v>
      </c>
      <c r="AD27" s="2">
        <f t="shared" si="6"/>
        <v>1.1920928955078125E-7</v>
      </c>
      <c r="AF27" s="2">
        <v>23</v>
      </c>
      <c r="AG27" s="2">
        <f t="shared" si="13"/>
        <v>2809.9770545959473</v>
      </c>
      <c r="AH27" s="2">
        <v>-8.0434825258635101E-4</v>
      </c>
      <c r="AI27" s="2">
        <f t="shared" si="14"/>
        <v>2809.9793195724487</v>
      </c>
      <c r="AJ27" s="2">
        <v>1.7133284472947707E-4</v>
      </c>
      <c r="AK27" s="2">
        <f t="shared" si="9"/>
        <v>2809.978187084198</v>
      </c>
      <c r="AL27" s="2">
        <v>-3.0745008461963153E-4</v>
      </c>
      <c r="AM27" s="2">
        <f t="shared" si="10"/>
        <v>2.4729693832132635E-7</v>
      </c>
      <c r="AN27" s="2">
        <f t="shared" si="11"/>
        <v>-5.2676297610199915E-8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6885.4665296833591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1.1547240721839134</v>
      </c>
      <c r="U28" s="2">
        <v>24</v>
      </c>
      <c r="V28" s="2">
        <f t="shared" si="7"/>
        <v>4.5682013034820557E-2</v>
      </c>
      <c r="W28" s="2">
        <f t="shared" si="0"/>
        <v>7.845880493906332E-9</v>
      </c>
      <c r="X28" s="2">
        <f t="shared" si="8"/>
        <v>4.5682072639465332E-2</v>
      </c>
      <c r="Y28" s="2">
        <f t="shared" si="1"/>
        <v>-5.1869430507667236E-8</v>
      </c>
      <c r="Z28" s="2">
        <f t="shared" si="3"/>
        <v>4.5682042837142944E-2</v>
      </c>
      <c r="AA28" s="2">
        <f t="shared" si="2"/>
        <v>-2.201177498606377E-8</v>
      </c>
      <c r="AB28" s="2">
        <f t="shared" si="4"/>
        <v>-1.7270175599941306E-16</v>
      </c>
      <c r="AC28" s="2">
        <f t="shared" si="5"/>
        <v>1.1417382329900426E-15</v>
      </c>
      <c r="AD28" s="2">
        <f t="shared" si="6"/>
        <v>5.9604644775390625E-8</v>
      </c>
      <c r="AF28" s="2">
        <v>24</v>
      </c>
      <c r="AG28" s="2">
        <f t="shared" si="13"/>
        <v>2809.978187084198</v>
      </c>
      <c r="AH28" s="2">
        <v>-3.0745008461963153E-4</v>
      </c>
      <c r="AI28" s="2">
        <f t="shared" si="14"/>
        <v>2809.9793195724487</v>
      </c>
      <c r="AJ28" s="2">
        <v>1.7133284472947707E-4</v>
      </c>
      <c r="AK28" s="2">
        <f t="shared" si="9"/>
        <v>2809.9787533283234</v>
      </c>
      <c r="AL28" s="2">
        <v>-5.9000973578804405E-5</v>
      </c>
      <c r="AM28" s="2">
        <f t="shared" si="10"/>
        <v>1.8139854319444059E-8</v>
      </c>
      <c r="AN28" s="2">
        <f t="shared" si="11"/>
        <v>-1.0108804645065275E-8</v>
      </c>
      <c r="AO28" s="2">
        <f t="shared" si="12"/>
        <v>1.1324882507324219E-3</v>
      </c>
    </row>
    <row r="29" spans="2:41" x14ac:dyDescent="0.2">
      <c r="B29" s="33" t="s">
        <v>108</v>
      </c>
      <c r="C29" s="33"/>
      <c r="D29" s="33"/>
      <c r="F29" t="s">
        <v>97</v>
      </c>
      <c r="G29" s="6">
        <f>G31/$C$18</f>
        <v>79.610078262545812</v>
      </c>
      <c r="H29" t="s">
        <v>18</v>
      </c>
      <c r="U29" s="2">
        <v>25</v>
      </c>
      <c r="V29" s="2">
        <f t="shared" si="7"/>
        <v>4.5682013034820557E-2</v>
      </c>
      <c r="W29" s="2">
        <f t="shared" si="0"/>
        <v>7.845880493906332E-9</v>
      </c>
      <c r="X29" s="2">
        <f t="shared" si="8"/>
        <v>4.5682042837142944E-2</v>
      </c>
      <c r="Y29" s="2">
        <f t="shared" si="1"/>
        <v>-2.201177498606377E-8</v>
      </c>
      <c r="Z29" s="2">
        <f t="shared" si="3"/>
        <v>4.568202793598175E-2</v>
      </c>
      <c r="AA29" s="2">
        <f t="shared" si="2"/>
        <v>-7.0829472426092721E-9</v>
      </c>
      <c r="AB29" s="2">
        <f t="shared" si="4"/>
        <v>-5.5571957610155725E-17</v>
      </c>
      <c r="AC29" s="2">
        <f t="shared" si="5"/>
        <v>1.5590824094247613E-16</v>
      </c>
      <c r="AD29" s="2">
        <f t="shared" si="6"/>
        <v>2.9802322387695312E-8</v>
      </c>
      <c r="AF29" s="2">
        <v>25</v>
      </c>
      <c r="AG29" s="2">
        <f t="shared" si="13"/>
        <v>2809.9787533283234</v>
      </c>
      <c r="AH29" s="2">
        <v>-5.9000973578804405E-5</v>
      </c>
      <c r="AI29" s="2">
        <f t="shared" si="14"/>
        <v>2809.9793195724487</v>
      </c>
      <c r="AJ29" s="2">
        <v>1.7133284472947707E-4</v>
      </c>
      <c r="AK29" s="2">
        <f t="shared" si="9"/>
        <v>2809.979036450386</v>
      </c>
      <c r="AL29" s="2">
        <v>4.7108277158258716E-5</v>
      </c>
      <c r="AM29" s="2">
        <f t="shared" si="10"/>
        <v>-2.7794342159574174E-9</v>
      </c>
      <c r="AN29" s="2">
        <f t="shared" si="11"/>
        <v>8.0711951358291124E-9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8.8241557842713068</v>
      </c>
      <c r="H30" s="6" t="s">
        <v>147</v>
      </c>
      <c r="J30" s="30" t="s">
        <v>111</v>
      </c>
      <c r="K30" s="30"/>
      <c r="L30" s="30"/>
      <c r="U30" s="2">
        <v>26</v>
      </c>
      <c r="V30" s="2">
        <f t="shared" si="7"/>
        <v>4.5682013034820557E-2</v>
      </c>
      <c r="W30" s="2">
        <f t="shared" si="0"/>
        <v>7.845880493906332E-9</v>
      </c>
      <c r="X30" s="2">
        <f t="shared" si="8"/>
        <v>4.568202793598175E-2</v>
      </c>
      <c r="Y30" s="2">
        <f t="shared" si="1"/>
        <v>-7.0829472426092721E-9</v>
      </c>
      <c r="Z30" s="2">
        <f t="shared" si="3"/>
        <v>4.5682020485401154E-2</v>
      </c>
      <c r="AA30" s="2">
        <f t="shared" si="2"/>
        <v>3.8146662911797691E-10</v>
      </c>
      <c r="AB30" s="2">
        <f t="shared" si="4"/>
        <v>2.9929415844729362E-18</v>
      </c>
      <c r="AC30" s="2">
        <f t="shared" si="5"/>
        <v>-2.7019080088586285E-18</v>
      </c>
      <c r="AD30" s="2">
        <f t="shared" si="6"/>
        <v>1.4901161193847656E-8</v>
      </c>
      <c r="AF30" s="2">
        <v>26</v>
      </c>
      <c r="AG30" s="2">
        <f t="shared" si="13"/>
        <v>2809.9787533283234</v>
      </c>
      <c r="AH30" s="2">
        <v>-5.9000973578804405E-5</v>
      </c>
      <c r="AI30" s="2">
        <f t="shared" si="14"/>
        <v>2809.979036450386</v>
      </c>
      <c r="AJ30" s="2">
        <v>4.7108277158258716E-5</v>
      </c>
      <c r="AK30" s="2">
        <f t="shared" si="9"/>
        <v>2809.9788948893547</v>
      </c>
      <c r="AL30" s="2">
        <v>3.1113086151890457E-6</v>
      </c>
      <c r="AM30" s="2">
        <f t="shared" si="10"/>
        <v>-1.8357023740027541E-10</v>
      </c>
      <c r="AN30" s="2">
        <f t="shared" si="11"/>
        <v>1.4656838856920368E-10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318.44031305018325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4.5682020485401154E-2</v>
      </c>
      <c r="W31" s="2">
        <f t="shared" si="0"/>
        <v>3.8146662911797691E-10</v>
      </c>
      <c r="X31" s="2">
        <f t="shared" si="8"/>
        <v>4.568202793598175E-2</v>
      </c>
      <c r="Y31" s="2">
        <f t="shared" si="1"/>
        <v>-7.0829472426092721E-9</v>
      </c>
      <c r="Z31" s="2">
        <f t="shared" si="3"/>
        <v>4.5682024210691452E-2</v>
      </c>
      <c r="AA31" s="2">
        <f t="shared" si="2"/>
        <v>-3.3507403102150946E-9</v>
      </c>
      <c r="AB31" s="2">
        <f t="shared" si="4"/>
        <v>-1.2781956111874765E-18</v>
      </c>
      <c r="AC31" s="2">
        <f t="shared" si="5"/>
        <v>2.373311684093774E-17</v>
      </c>
      <c r="AD31" s="2">
        <f t="shared" si="6"/>
        <v>7.4505805969238281E-9</v>
      </c>
      <c r="AF31" s="2">
        <v>27</v>
      </c>
      <c r="AG31" s="2">
        <f t="shared" si="13"/>
        <v>2809.9787533283234</v>
      </c>
      <c r="AH31" s="2">
        <v>-5.9000973578804405E-5</v>
      </c>
      <c r="AI31" s="2">
        <f t="shared" si="14"/>
        <v>2809.9788948893547</v>
      </c>
      <c r="AJ31" s="2">
        <v>3.1113086151890457E-6</v>
      </c>
      <c r="AK31" s="2">
        <f t="shared" si="9"/>
        <v>2809.978824108839</v>
      </c>
      <c r="AL31" s="2">
        <v>-3.7002488170401193E-5</v>
      </c>
      <c r="AM31" s="2">
        <f t="shared" si="10"/>
        <v>2.1831828268918634E-9</v>
      </c>
      <c r="AN31" s="2">
        <f t="shared" si="11"/>
        <v>-1.1512616022799998E-10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1241.26</v>
      </c>
      <c r="L32" s="6" t="s">
        <v>7</v>
      </c>
      <c r="U32" s="2">
        <v>28</v>
      </c>
      <c r="V32" s="2">
        <f t="shared" si="7"/>
        <v>4.5682020485401154E-2</v>
      </c>
      <c r="W32" s="2">
        <f t="shared" si="0"/>
        <v>3.8146662911797691E-10</v>
      </c>
      <c r="X32" s="2">
        <f t="shared" si="8"/>
        <v>4.5682024210691452E-2</v>
      </c>
      <c r="Y32" s="2">
        <f t="shared" si="1"/>
        <v>-3.3507403102150946E-9</v>
      </c>
      <c r="Z32" s="2">
        <f t="shared" si="3"/>
        <v>4.5682022348046303E-2</v>
      </c>
      <c r="AA32" s="2">
        <f t="shared" si="2"/>
        <v>-1.4846368370791119E-9</v>
      </c>
      <c r="AB32" s="2">
        <f t="shared" si="4"/>
        <v>-5.6633940970494392E-19</v>
      </c>
      <c r="AC32" s="2">
        <f t="shared" si="5"/>
        <v>4.97463249603122E-18</v>
      </c>
      <c r="AD32" s="2">
        <f t="shared" si="6"/>
        <v>3.7252902984619141E-9</v>
      </c>
      <c r="AF32" s="2">
        <v>28</v>
      </c>
      <c r="AG32" s="2">
        <f t="shared" si="13"/>
        <v>2809.978824108839</v>
      </c>
      <c r="AH32" s="2">
        <v>-3.7002488170401193E-5</v>
      </c>
      <c r="AI32" s="2">
        <f t="shared" si="14"/>
        <v>2809.9788948893547</v>
      </c>
      <c r="AJ32" s="2">
        <v>3.1113086151890457E-6</v>
      </c>
      <c r="AK32" s="2">
        <f t="shared" si="9"/>
        <v>2809.9788594990969</v>
      </c>
      <c r="AL32" s="2">
        <v>-2.6003247512562666E-5</v>
      </c>
      <c r="AM32" s="2">
        <f t="shared" si="10"/>
        <v>9.621848584756143E-10</v>
      </c>
      <c r="AN32" s="2">
        <f t="shared" si="11"/>
        <v>-8.0904128008729345E-11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4"/>
      <c r="H33" s="34"/>
      <c r="J33" s="19" t="s">
        <v>78</v>
      </c>
      <c r="K33" s="6">
        <f>ROUND(SUM(K14:K17),2)</f>
        <v>638.22</v>
      </c>
      <c r="L33" s="6" t="s">
        <v>7</v>
      </c>
      <c r="U33" s="2">
        <v>29</v>
      </c>
      <c r="V33" s="2">
        <f t="shared" si="7"/>
        <v>4.5682020485401154E-2</v>
      </c>
      <c r="W33" s="2">
        <f t="shared" si="0"/>
        <v>3.8146662911797691E-10</v>
      </c>
      <c r="X33" s="2">
        <f t="shared" si="8"/>
        <v>4.5682022348046303E-2</v>
      </c>
      <c r="Y33" s="2">
        <f t="shared" si="1"/>
        <v>-1.4846368370791119E-9</v>
      </c>
      <c r="Z33" s="2">
        <f t="shared" si="3"/>
        <v>4.5682021416723728E-2</v>
      </c>
      <c r="AA33" s="2">
        <f t="shared" si="2"/>
        <v>-5.5158511091946139E-10</v>
      </c>
      <c r="AB33" s="2">
        <f t="shared" si="4"/>
        <v>-2.1041131293411233E-19</v>
      </c>
      <c r="AC33" s="2">
        <f t="shared" si="5"/>
        <v>8.1890357445540024E-19</v>
      </c>
      <c r="AD33" s="2">
        <f t="shared" si="6"/>
        <v>1.862645149230957E-9</v>
      </c>
      <c r="AF33" s="2">
        <v>29</v>
      </c>
      <c r="AG33" s="2">
        <f t="shared" si="13"/>
        <v>2809.9788594990969</v>
      </c>
      <c r="AH33" s="2">
        <v>-2.6003247512562666E-5</v>
      </c>
      <c r="AI33" s="2">
        <f t="shared" si="14"/>
        <v>2809.9788948893547</v>
      </c>
      <c r="AJ33" s="2">
        <v>3.1113086151890457E-6</v>
      </c>
      <c r="AK33" s="2">
        <f t="shared" si="9"/>
        <v>2809.9788771942258</v>
      </c>
      <c r="AL33" s="2">
        <v>-2.0503623545664595E-5</v>
      </c>
      <c r="AM33" s="2">
        <f t="shared" si="10"/>
        <v>5.331607979623242E-10</v>
      </c>
      <c r="AN33" s="2">
        <f t="shared" si="11"/>
        <v>-6.3793100580219223E-11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193.1</v>
      </c>
      <c r="L34" s="6" t="s">
        <v>7</v>
      </c>
      <c r="U34" s="2">
        <v>30</v>
      </c>
      <c r="V34" s="2">
        <f t="shared" si="7"/>
        <v>4.5682020485401154E-2</v>
      </c>
      <c r="W34" s="2">
        <f t="shared" si="0"/>
        <v>3.8146662911797691E-10</v>
      </c>
      <c r="X34" s="2">
        <f t="shared" si="8"/>
        <v>4.5682021416723728E-2</v>
      </c>
      <c r="Y34" s="2">
        <f t="shared" si="1"/>
        <v>-5.5158511091946139E-10</v>
      </c>
      <c r="Z34" s="2">
        <f t="shared" si="3"/>
        <v>4.5682020951062441E-2</v>
      </c>
      <c r="AA34" s="2">
        <f t="shared" si="2"/>
        <v>-8.5059237431295287E-11</v>
      </c>
      <c r="AB34" s="2">
        <f t="shared" si="4"/>
        <v>-3.2447260578261858E-20</v>
      </c>
      <c r="AC34" s="2">
        <f t="shared" si="5"/>
        <v>4.6917408913265813E-20</v>
      </c>
      <c r="AD34" s="2">
        <f>X34-V34</f>
        <v>9.3132257461547852E-10</v>
      </c>
      <c r="AF34" s="2">
        <v>30</v>
      </c>
      <c r="AG34" s="2">
        <f t="shared" si="13"/>
        <v>2809.9788771942258</v>
      </c>
      <c r="AH34" s="2">
        <v>-2.0503623545664595E-5</v>
      </c>
      <c r="AI34" s="2">
        <f t="shared" si="14"/>
        <v>2809.9788948893547</v>
      </c>
      <c r="AJ34" s="2">
        <v>3.1113086151890457E-6</v>
      </c>
      <c r="AK34" s="2">
        <f t="shared" si="9"/>
        <v>2809.9788860417902</v>
      </c>
      <c r="AL34" s="2">
        <v>-1.7753812699083937E-5</v>
      </c>
      <c r="AM34" s="2">
        <f t="shared" si="10"/>
        <v>3.6401749208225652E-10</v>
      </c>
      <c r="AN34" s="2">
        <f t="shared" si="11"/>
        <v>-5.5237590403112538E-11</v>
      </c>
      <c r="AO34" s="2">
        <f t="shared" si="12"/>
        <v>1.7695128917694092E-5</v>
      </c>
    </row>
    <row r="35" spans="2:41" x14ac:dyDescent="0.2">
      <c r="B35" s="30" t="s">
        <v>2</v>
      </c>
      <c r="C35" s="30"/>
      <c r="D35" s="30"/>
      <c r="F35" s="26" t="s">
        <v>132</v>
      </c>
      <c r="G35" s="25">
        <f xml:space="preserve"> G22</f>
        <v>234.87050503653319</v>
      </c>
      <c r="H35" s="25" t="s">
        <v>101</v>
      </c>
      <c r="J35" s="15" t="s">
        <v>70</v>
      </c>
      <c r="K35" s="6">
        <f>ROUND(SUM(K23:K26),2)</f>
        <v>137.38999999999999</v>
      </c>
      <c r="L35" s="6" t="s">
        <v>7</v>
      </c>
      <c r="AF35" s="2">
        <v>31</v>
      </c>
      <c r="AG35" s="2">
        <f t="shared" si="13"/>
        <v>2809.9788860417902</v>
      </c>
      <c r="AH35" s="2">
        <v>-1.7753812699083937E-5</v>
      </c>
      <c r="AI35" s="2">
        <f t="shared" si="14"/>
        <v>2809.9788948893547</v>
      </c>
      <c r="AJ35" s="2">
        <v>3.1113086151890457E-6</v>
      </c>
      <c r="AK35" s="2">
        <f t="shared" si="9"/>
        <v>2809.9788904655725</v>
      </c>
      <c r="AL35" s="2">
        <v>1.7364027371513657E-6</v>
      </c>
      <c r="AM35" s="2">
        <f t="shared" si="10"/>
        <v>-3.0827768965562025E-11</v>
      </c>
      <c r="AN35" s="2">
        <f t="shared" si="11"/>
        <v>5.4024847955368842E-12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2809.97</v>
      </c>
      <c r="L36" s="6" t="s">
        <v>7</v>
      </c>
      <c r="AF36" s="2">
        <v>32</v>
      </c>
      <c r="AG36" s="2">
        <f t="shared" si="13"/>
        <v>2809.9788860417902</v>
      </c>
      <c r="AH36" s="2">
        <v>-1.7753812699083937E-5</v>
      </c>
      <c r="AI36" s="2">
        <f t="shared" si="14"/>
        <v>2809.9788904655725</v>
      </c>
      <c r="AJ36" s="2">
        <v>1.7364027371513657E-6</v>
      </c>
      <c r="AK36" s="2">
        <f t="shared" si="9"/>
        <v>2809.9788882536814</v>
      </c>
      <c r="AL36" s="2">
        <v>-1.706636112430715E-5</v>
      </c>
      <c r="AM36" s="2">
        <f t="shared" si="10"/>
        <v>3.029929788558767E-10</v>
      </c>
      <c r="AN36" s="2">
        <f t="shared" si="11"/>
        <v>-2.9634076169460595E-11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2809.9788882536814</v>
      </c>
      <c r="AH37" s="2">
        <v>-1.706636112430715E-5</v>
      </c>
      <c r="AI37" s="2">
        <f t="shared" si="14"/>
        <v>2809.9788904655725</v>
      </c>
      <c r="AJ37" s="2">
        <v>1.7364027371513657E-6</v>
      </c>
      <c r="AK37" s="2">
        <f t="shared" si="9"/>
        <v>2809.9788893596269</v>
      </c>
      <c r="AL37" s="2">
        <v>-1.6722634427424055E-5</v>
      </c>
      <c r="AM37" s="2">
        <f t="shared" si="10"/>
        <v>2.8539451808819024E-10</v>
      </c>
      <c r="AN37" s="2">
        <f t="shared" si="11"/>
        <v>-2.903722819216079E-11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0" t="s">
        <v>56</v>
      </c>
      <c r="K38" s="30"/>
      <c r="L38" s="30"/>
      <c r="AF38" s="2">
        <v>34</v>
      </c>
      <c r="AG38" s="2">
        <f t="shared" si="13"/>
        <v>2809.9788893596269</v>
      </c>
      <c r="AH38" s="2">
        <v>-1.6722634427424055E-5</v>
      </c>
      <c r="AI38" s="2">
        <f t="shared" si="14"/>
        <v>2809.9788904655725</v>
      </c>
      <c r="AJ38" s="2">
        <v>1.7364027371513657E-6</v>
      </c>
      <c r="AK38" s="2">
        <f t="shared" si="9"/>
        <v>2809.9788899125997</v>
      </c>
      <c r="AL38" s="2">
        <v>-1.6550770396861481E-5</v>
      </c>
      <c r="AM38" s="2">
        <f t="shared" si="10"/>
        <v>2.7677248283894668E-10</v>
      </c>
      <c r="AN38" s="2">
        <f t="shared" si="11"/>
        <v>-2.873880301907407E-11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21.35</v>
      </c>
      <c r="L39" s="6" t="s">
        <v>58</v>
      </c>
      <c r="AF39" s="2">
        <v>35</v>
      </c>
      <c r="AG39" s="2">
        <f t="shared" si="13"/>
        <v>2809.9788899125997</v>
      </c>
      <c r="AH39" s="2">
        <v>-1.6550770396861481E-5</v>
      </c>
      <c r="AI39" s="2">
        <f t="shared" si="14"/>
        <v>2809.9788904655725</v>
      </c>
      <c r="AJ39" s="2">
        <v>1.7364027371513657E-6</v>
      </c>
      <c r="AK39" s="2">
        <f t="shared" si="9"/>
        <v>2809.9788901890861</v>
      </c>
      <c r="AL39" s="2">
        <v>1.6504745872225612E-6</v>
      </c>
      <c r="AM39" s="2">
        <f t="shared" si="10"/>
        <v>-2.7316625938975338E-11</v>
      </c>
      <c r="AN39" s="2">
        <f t="shared" si="11"/>
        <v>2.8658885908520259E-12</v>
      </c>
      <c r="AO39" s="2">
        <f t="shared" si="12"/>
        <v>5.5297277867794037E-7</v>
      </c>
    </row>
    <row r="40" spans="2:41" x14ac:dyDescent="0.2">
      <c r="B40" s="30" t="s">
        <v>144</v>
      </c>
      <c r="C40" s="31"/>
      <c r="D40" s="31"/>
      <c r="J40" s="11" t="s">
        <v>52</v>
      </c>
      <c r="K40" s="6">
        <f>ROUND(K13/$C$5 * 100, 2)</f>
        <v>44.17</v>
      </c>
      <c r="L40" s="6" t="s">
        <v>58</v>
      </c>
      <c r="AF40" s="2">
        <v>36</v>
      </c>
      <c r="AG40" s="2">
        <f t="shared" si="13"/>
        <v>2809.9788899125997</v>
      </c>
      <c r="AH40" s="2">
        <v>-1.6550770396861481E-5</v>
      </c>
      <c r="AI40" s="2">
        <f t="shared" si="14"/>
        <v>2809.9788901890861</v>
      </c>
      <c r="AJ40" s="2">
        <v>1.6504745872225612E-6</v>
      </c>
      <c r="AK40" s="2">
        <f t="shared" si="9"/>
        <v>2809.9788900508429</v>
      </c>
      <c r="AL40" s="2">
        <v>1.6075068742793519E-6</v>
      </c>
      <c r="AM40" s="2">
        <f t="shared" si="10"/>
        <v>-2.6605477187574027E-11</v>
      </c>
      <c r="AN40" s="2">
        <f t="shared" si="11"/>
        <v>2.653149244783643E-12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22.71</v>
      </c>
      <c r="L41" s="6" t="s">
        <v>58</v>
      </c>
      <c r="AF41" s="2">
        <v>37</v>
      </c>
      <c r="AG41" s="2">
        <f t="shared" si="13"/>
        <v>2809.9788899125997</v>
      </c>
      <c r="AH41" s="2">
        <v>-1.6550770396861481E-5</v>
      </c>
      <c r="AI41" s="2">
        <f t="shared" si="14"/>
        <v>2809.9788900508429</v>
      </c>
      <c r="AJ41" s="2">
        <v>1.6075068742793519E-6</v>
      </c>
      <c r="AK41" s="2">
        <f t="shared" si="9"/>
        <v>2809.9788899817213</v>
      </c>
      <c r="AL41" s="2">
        <v>1.5860246094234753E-6</v>
      </c>
      <c r="AM41" s="2">
        <f t="shared" si="10"/>
        <v>-2.6249929154339848E-11</v>
      </c>
      <c r="AN41" s="2">
        <f t="shared" si="11"/>
        <v>2.5495454624244608E-12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6.87</v>
      </c>
      <c r="L42" s="6" t="s">
        <v>58</v>
      </c>
      <c r="AF42" s="2">
        <v>38</v>
      </c>
      <c r="AG42" s="2">
        <f t="shared" si="13"/>
        <v>2809.9788899125997</v>
      </c>
      <c r="AH42" s="2">
        <v>-1.6550770396861481E-5</v>
      </c>
      <c r="AI42" s="2">
        <f t="shared" si="14"/>
        <v>2809.9788899817213</v>
      </c>
      <c r="AJ42" s="2">
        <v>1.5860246094234753E-6</v>
      </c>
      <c r="AK42" s="2">
        <f t="shared" si="9"/>
        <v>2809.9788899471605</v>
      </c>
      <c r="AL42" s="2">
        <v>1.5752825675008353E-6</v>
      </c>
      <c r="AM42" s="2">
        <f t="shared" si="10"/>
        <v>-2.6072140084884772E-11</v>
      </c>
      <c r="AN42" s="2">
        <f t="shared" si="11"/>
        <v>2.4984369188521217E-12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4.8899999999999997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2809.9788899125997</v>
      </c>
      <c r="AH43" s="2">
        <v>-1.6550770396861481E-5</v>
      </c>
      <c r="AI43" s="2">
        <f t="shared" si="14"/>
        <v>2809.9788899471605</v>
      </c>
      <c r="AJ43" s="2">
        <v>1.5752825675008353E-6</v>
      </c>
      <c r="AK43" s="2">
        <f t="shared" si="9"/>
        <v>2809.9788899298801</v>
      </c>
      <c r="AL43" s="2">
        <v>1.569912456034217E-6</v>
      </c>
      <c r="AM43" s="2">
        <f t="shared" si="10"/>
        <v>-2.598326060299522E-11</v>
      </c>
      <c r="AN43" s="2">
        <f t="shared" si="11"/>
        <v>2.4730557244931236E-12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99.990000000000023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2809.9788899125997</v>
      </c>
      <c r="AH44" s="2">
        <v>-1.6550770396861481E-5</v>
      </c>
      <c r="AI44" s="2">
        <f t="shared" si="14"/>
        <v>2809.9788899298801</v>
      </c>
      <c r="AJ44" s="2">
        <v>1.569912456034217E-6</v>
      </c>
      <c r="AK44" s="5">
        <f>(AG44+AI44)/2</f>
        <v>2809.9788899212399</v>
      </c>
      <c r="AL44" s="2">
        <v>1.5672267181798816E-6</v>
      </c>
      <c r="AM44" s="2">
        <f t="shared" si="10"/>
        <v>-2.5938809572421954E-11</v>
      </c>
      <c r="AN44" s="2">
        <f t="shared" si="11"/>
        <v>2.4604087463002236E-12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0" t="s">
        <v>145</v>
      </c>
      <c r="C46" s="31"/>
      <c r="D46" s="31"/>
      <c r="J46" s="30" t="s">
        <v>56</v>
      </c>
      <c r="K46" s="30"/>
      <c r="L46" s="30"/>
      <c r="N46" s="6" t="s">
        <v>153</v>
      </c>
      <c r="O46" s="6">
        <f>G12*1000/O45</f>
        <v>2932.2303532056508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21.35</v>
      </c>
      <c r="L47" s="6" t="s">
        <v>58</v>
      </c>
      <c r="N47" s="6" t="s">
        <v>154</v>
      </c>
      <c r="O47" s="6">
        <f>0.377*O46^0.6945</f>
        <v>96.451818511445282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44.17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34.47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30" t="s">
        <v>71</v>
      </c>
      <c r="C52" s="30"/>
      <c r="D52" s="30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N12:P12"/>
    <mergeCell ref="F14:H14"/>
    <mergeCell ref="N16:P16"/>
    <mergeCell ref="B17:D17"/>
    <mergeCell ref="B24:D24"/>
    <mergeCell ref="F24:H24"/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</mergeCells>
  <conditionalFormatting sqref="K28">
    <cfRule type="containsText" dxfId="29" priority="1" operator="containsText" text="FALSE">
      <formula>NOT(ISERROR(SEARCH("FALSE",K28)))</formula>
    </cfRule>
    <cfRule type="containsText" dxfId="28" priority="2" operator="containsText" text="TRUE">
      <formula>NOT(ISERROR(SEARCH("TRUE",K28)))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NOT(ISERROR(SEARCH("YES",K28)))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ABF3-9A7E-3B46-971F-D33B8F00571B}">
  <dimension ref="B1:AO56"/>
  <sheetViews>
    <sheetView topLeftCell="B1" workbookViewId="0">
      <selection activeCell="E11" sqref="E1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6" t="s">
        <v>0</v>
      </c>
      <c r="C1" s="36"/>
      <c r="D1" s="36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4"/>
      <c r="D3" s="34"/>
      <c r="F3" s="32" t="s">
        <v>80</v>
      </c>
      <c r="G3" s="34"/>
      <c r="H3" s="34"/>
      <c r="J3" s="30" t="s">
        <v>98</v>
      </c>
      <c r="K3" s="30"/>
      <c r="L3" s="30"/>
      <c r="N3" s="30" t="s">
        <v>92</v>
      </c>
      <c r="O3" s="30"/>
      <c r="P3" s="30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1300.6852877762869</v>
      </c>
      <c r="L4" s="6" t="s">
        <v>101</v>
      </c>
      <c r="N4" s="6" t="s">
        <v>22</v>
      </c>
      <c r="O4" s="6">
        <f xml:space="preserve"> 0.5 * $C$47 * $C$8^2</f>
        <v>3984.3733596601419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5.9267979302108274E-2</v>
      </c>
      <c r="X4" s="3">
        <v>1</v>
      </c>
      <c r="Y4" s="2">
        <f t="shared" ref="Y4:Y34" si="1" xml:space="preserve"> $O$20 * TAN($O$17/180*PI()) + $O$21 / (2 * SQRT($O$20^2 + X4^2)) - X4</f>
        <v>-0.94481277781219342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-0.44278584107227908</v>
      </c>
      <c r="AB4" s="2">
        <f>W4*AA4</f>
        <v>-2.6243022063938439E-2</v>
      </c>
      <c r="AC4" s="2">
        <f>Y4*AA4</f>
        <v>0.41834972047940838</v>
      </c>
      <c r="AD4" s="2">
        <f>X4-V4</f>
        <v>1</v>
      </c>
      <c r="AF4" s="2">
        <v>0</v>
      </c>
      <c r="AG4" s="2"/>
      <c r="AH4" s="2">
        <f>K27</f>
        <v>-7.36523375599063E-3</v>
      </c>
      <c r="AI4" s="2"/>
      <c r="AJ4" s="2">
        <f>K27</f>
        <v>-7.36523375599063E-3</v>
      </c>
      <c r="AK4" s="2"/>
      <c r="AL4" s="2">
        <f>K27</f>
        <v>-7.36523375599063E-3</v>
      </c>
      <c r="AM4" s="2"/>
      <c r="AN4" s="2"/>
      <c r="AO4" s="2"/>
    </row>
    <row r="5" spans="2:41" x14ac:dyDescent="0.2">
      <c r="B5" s="10" t="s">
        <v>37</v>
      </c>
      <c r="C5" s="10">
        <v>5641.00555803721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325.17132194407174</v>
      </c>
      <c r="L5" s="6" t="s">
        <v>101</v>
      </c>
      <c r="N5" s="6" t="s">
        <v>114</v>
      </c>
      <c r="O5" s="6">
        <f xml:space="preserve"> $C$18 * 0.85 * ($C$5/$C$18 *2.20462/1000)^(2/3) * 0.3048^2</f>
        <v>0.67286668890232637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5.9267979302108274E-2</v>
      </c>
      <c r="X5" s="2">
        <f>IF(AC4&gt;0, Z4, X4)</f>
        <v>0.5</v>
      </c>
      <c r="Y5" s="2">
        <f t="shared" si="1"/>
        <v>-0.44278584107227908</v>
      </c>
      <c r="Z5" s="2">
        <f t="shared" ref="Z5:Z34" si="3" xml:space="preserve"> (V5 + X5)/2</f>
        <v>0.25</v>
      </c>
      <c r="AA5" s="2">
        <f t="shared" si="2"/>
        <v>-0.19144137743063816</v>
      </c>
      <c r="AB5" s="2">
        <f t="shared" ref="AB5:AB34" si="4">W5*AA5</f>
        <v>-1.134634359512616E-2</v>
      </c>
      <c r="AC5" s="2">
        <f t="shared" ref="AC5:AC34" si="5">Y5*AA5</f>
        <v>8.4767531321660747E-2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-2203.0690869880686</v>
      </c>
      <c r="AI5" s="3">
        <v>10000</v>
      </c>
      <c r="AJ5" s="2">
        <f t="dataTable" ref="AJ5:AJ44" dt2D="0" dtr="0" r1="C5" ca="1"/>
        <v>1290.1379764371468</v>
      </c>
      <c r="AK5" s="2">
        <f>(AG5+AI5)/2</f>
        <v>5250</v>
      </c>
      <c r="AL5" s="2">
        <f t="dataTable" ref="AL5:AL44" dt2D="0" dtr="0" r1="C5" ca="1"/>
        <v>-145.87348454081621</v>
      </c>
      <c r="AM5" s="2">
        <f>AH5*AL5</f>
        <v>321369.36440310412</v>
      </c>
      <c r="AN5" s="2">
        <f>AJ5*AL5</f>
        <v>-188196.92216132404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5.9267979302108274E-2</v>
      </c>
      <c r="X6" s="2">
        <f t="shared" ref="X6:X34" si="8">IF(AC5&gt;0, Z5, X5)</f>
        <v>0.25</v>
      </c>
      <c r="Y6" s="2">
        <f t="shared" si="1"/>
        <v>-0.19144137743063816</v>
      </c>
      <c r="Z6" s="2">
        <f t="shared" si="3"/>
        <v>0.125</v>
      </c>
      <c r="AA6" s="2">
        <f t="shared" si="2"/>
        <v>-6.5928988530893046E-2</v>
      </c>
      <c r="AB6" s="2">
        <f t="shared" si="4"/>
        <v>-3.9074779276579031E-3</v>
      </c>
      <c r="AC6" s="2">
        <f t="shared" si="5"/>
        <v>1.262153637696291E-2</v>
      </c>
      <c r="AD6" s="2">
        <f t="shared" si="6"/>
        <v>0.25</v>
      </c>
      <c r="AF6" s="2">
        <v>2</v>
      </c>
      <c r="AG6" s="2">
        <f>IF(AM5&gt;0, AK5, AG5)</f>
        <v>5250</v>
      </c>
      <c r="AH6" s="2">
        <v>-145.87348454081621</v>
      </c>
      <c r="AI6" s="2">
        <f>IF(AN5&gt;0, AK5, AI5)</f>
        <v>10000</v>
      </c>
      <c r="AJ6" s="2">
        <v>1290.1379764371468</v>
      </c>
      <c r="AK6" s="2">
        <f t="shared" ref="AK6:AK43" si="9">(AG6+AI6)/2</f>
        <v>7625</v>
      </c>
      <c r="AL6" s="2">
        <v>667.02601022085582</v>
      </c>
      <c r="AM6" s="2">
        <f t="shared" ref="AM6:AM44" si="10">AH6*AL6</f>
        <v>-97301.40839027433</v>
      </c>
      <c r="AN6" s="2">
        <f t="shared" ref="AN6:AN44" si="11">AJ6*AL6</f>
        <v>860555.58705727849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349.52473909533899</v>
      </c>
      <c r="D7" s="6" t="s">
        <v>125</v>
      </c>
      <c r="F7" t="s">
        <v>121</v>
      </c>
      <c r="G7" s="8">
        <f>$C$6*2*PI()/60*$C$9</f>
        <v>184.99501602436618</v>
      </c>
      <c r="H7" s="6" t="s">
        <v>10</v>
      </c>
      <c r="J7" s="30" t="s">
        <v>21</v>
      </c>
      <c r="K7" s="30"/>
      <c r="L7" s="30"/>
      <c r="N7" s="6" t="s">
        <v>159</v>
      </c>
      <c r="O7" s="6">
        <f>O5+$O$6</f>
        <v>1.3031433122374225</v>
      </c>
      <c r="P7" s="6" t="s">
        <v>115</v>
      </c>
      <c r="U7" s="2">
        <v>3</v>
      </c>
      <c r="V7" s="2">
        <f t="shared" si="7"/>
        <v>0</v>
      </c>
      <c r="W7" s="2">
        <f t="shared" si="0"/>
        <v>5.9267979302108274E-2</v>
      </c>
      <c r="X7" s="2">
        <f t="shared" si="8"/>
        <v>0.125</v>
      </c>
      <c r="Y7" s="2">
        <f t="shared" si="1"/>
        <v>-6.5928988530893046E-2</v>
      </c>
      <c r="Z7" s="2">
        <f t="shared" si="3"/>
        <v>6.25E-2</v>
      </c>
      <c r="AA7" s="2">
        <f t="shared" si="2"/>
        <v>-3.2826850860491336E-3</v>
      </c>
      <c r="AB7" s="2">
        <f t="shared" si="4"/>
        <v>-1.9455811173529956E-4</v>
      </c>
      <c r="AC7" s="2">
        <f t="shared" si="5"/>
        <v>2.1642410738866697E-4</v>
      </c>
      <c r="AD7" s="2">
        <f t="shared" si="6"/>
        <v>0.125</v>
      </c>
      <c r="AF7" s="2">
        <v>3</v>
      </c>
      <c r="AG7" s="2">
        <f t="shared" ref="AG7:AG44" si="13">IF(AM6&gt;0, AK6, AG6)</f>
        <v>5250</v>
      </c>
      <c r="AH7" s="2">
        <v>-145.87348454081621</v>
      </c>
      <c r="AI7" s="2">
        <f t="shared" ref="AI7:AI44" si="14">IF(AN6&gt;0, AK6, AI6)</f>
        <v>7625</v>
      </c>
      <c r="AJ7" s="2">
        <v>667.02601022085582</v>
      </c>
      <c r="AK7" s="2">
        <f t="shared" si="9"/>
        <v>6437.5</v>
      </c>
      <c r="AL7" s="2">
        <v>283.2685776184835</v>
      </c>
      <c r="AM7" s="2">
        <f t="shared" si="10"/>
        <v>-41321.374478128848</v>
      </c>
      <c r="AN7" s="2">
        <f t="shared" si="11"/>
        <v>188947.50914979386</v>
      </c>
      <c r="AO7" s="2">
        <f t="shared" si="12"/>
        <v>2375</v>
      </c>
    </row>
    <row r="8" spans="2:41" x14ac:dyDescent="0.2">
      <c r="B8" s="6" t="s">
        <v>9</v>
      </c>
      <c r="C8" s="17">
        <f>319.999999999999 * 1000/3600</f>
        <v>88.888888888888602</v>
      </c>
      <c r="D8" s="6" t="s">
        <v>10</v>
      </c>
      <c r="F8" t="s">
        <v>124</v>
      </c>
      <c r="G8" s="8">
        <f>G7/$C$43</f>
        <v>0.55401505981361121</v>
      </c>
      <c r="H8" s="6" t="s">
        <v>122</v>
      </c>
      <c r="J8" s="6" t="s">
        <v>96</v>
      </c>
      <c r="K8" s="6">
        <f xml:space="preserve"> $C$15 * (G12*G6 + G22*G15 + G31*G27 +G35*G34)/3600</f>
        <v>531.99787224679767</v>
      </c>
      <c r="L8" s="6" t="s">
        <v>102</v>
      </c>
      <c r="N8" s="6" t="s">
        <v>38</v>
      </c>
      <c r="O8" s="6">
        <f xml:space="preserve"> O4 *O7</f>
        <v>5192.2094970980643</v>
      </c>
      <c r="P8" s="6" t="s">
        <v>20</v>
      </c>
      <c r="U8" s="2">
        <v>4</v>
      </c>
      <c r="V8" s="2">
        <f t="shared" si="7"/>
        <v>0</v>
      </c>
      <c r="W8" s="2">
        <f t="shared" si="0"/>
        <v>5.9267979302108274E-2</v>
      </c>
      <c r="X8" s="2">
        <f t="shared" si="8"/>
        <v>6.25E-2</v>
      </c>
      <c r="Y8" s="2">
        <f t="shared" si="1"/>
        <v>-3.2826850860491336E-3</v>
      </c>
      <c r="Z8" s="2">
        <f t="shared" si="3"/>
        <v>3.125E-2</v>
      </c>
      <c r="AA8" s="2">
        <f t="shared" si="2"/>
        <v>2.8005220702339545E-2</v>
      </c>
      <c r="AB8" s="2">
        <f t="shared" si="4"/>
        <v>1.6598128409372342E-3</v>
      </c>
      <c r="AC8" s="2">
        <f t="shared" si="5"/>
        <v>-9.1932320331084466E-5</v>
      </c>
      <c r="AD8" s="2">
        <f t="shared" si="6"/>
        <v>6.25E-2</v>
      </c>
      <c r="AF8" s="2">
        <v>4</v>
      </c>
      <c r="AG8" s="2">
        <f t="shared" si="13"/>
        <v>5250</v>
      </c>
      <c r="AH8" s="2">
        <v>-145.87348454081621</v>
      </c>
      <c r="AI8" s="2">
        <f t="shared" si="14"/>
        <v>6437.5</v>
      </c>
      <c r="AJ8" s="2">
        <v>283.2685776184835</v>
      </c>
      <c r="AK8" s="2">
        <f t="shared" si="9"/>
        <v>5843.75</v>
      </c>
      <c r="AL8" s="2">
        <v>73.919083638185839</v>
      </c>
      <c r="AM8" s="2">
        <f t="shared" si="10"/>
        <v>-10782.834304366203</v>
      </c>
      <c r="AN8" s="2">
        <f t="shared" si="11"/>
        <v>20938.953681050618</v>
      </c>
      <c r="AO8" s="2">
        <f t="shared" si="12"/>
        <v>1187.5</v>
      </c>
    </row>
    <row r="9" spans="2:41" x14ac:dyDescent="0.2">
      <c r="B9" s="6" t="s">
        <v>95</v>
      </c>
      <c r="C9" s="17">
        <v>4.4164306871463399</v>
      </c>
      <c r="D9" s="6" t="s">
        <v>8</v>
      </c>
      <c r="F9" t="s">
        <v>19</v>
      </c>
      <c r="G9" s="6">
        <f xml:space="preserve"> $C$5 * $C$44 / $C$18</f>
        <v>13822.566573346616</v>
      </c>
      <c r="H9" s="6" t="s">
        <v>20</v>
      </c>
      <c r="J9" s="6" t="s">
        <v>138</v>
      </c>
      <c r="K9" s="6">
        <f xml:space="preserve"> $C$15 * (G6 + G15 + G27 + G34)/60</f>
        <v>44.083333333333393</v>
      </c>
      <c r="L9" s="6" t="s">
        <v>103</v>
      </c>
      <c r="N9" s="6" t="s">
        <v>39</v>
      </c>
      <c r="O9" s="6">
        <f xml:space="preserve"> O8</f>
        <v>5192.2094970980643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2.8005220702339545E-2</v>
      </c>
      <c r="X9" s="2">
        <f t="shared" si="8"/>
        <v>6.25E-2</v>
      </c>
      <c r="Y9" s="2">
        <f t="shared" si="1"/>
        <v>-3.2826850860491336E-3</v>
      </c>
      <c r="Z9" s="2">
        <f t="shared" si="3"/>
        <v>4.6875E-2</v>
      </c>
      <c r="AA9" s="2">
        <f t="shared" si="2"/>
        <v>1.2364359583093461E-2</v>
      </c>
      <c r="AB9" s="2">
        <f t="shared" si="4"/>
        <v>3.4626661896761931E-4</v>
      </c>
      <c r="AC9" s="2">
        <f t="shared" si="5"/>
        <v>-4.0588298801969588E-5</v>
      </c>
      <c r="AD9" s="2">
        <f t="shared" si="6"/>
        <v>3.125E-2</v>
      </c>
      <c r="AF9" s="2">
        <v>5</v>
      </c>
      <c r="AG9" s="2">
        <f t="shared" si="13"/>
        <v>5250</v>
      </c>
      <c r="AH9" s="2">
        <v>-145.87348454081621</v>
      </c>
      <c r="AI9" s="2">
        <f t="shared" si="14"/>
        <v>5843.75</v>
      </c>
      <c r="AJ9" s="2">
        <v>73.919083638185839</v>
      </c>
      <c r="AK9" s="2">
        <f t="shared" si="9"/>
        <v>5546.875</v>
      </c>
      <c r="AL9" s="2">
        <v>-34.732583518963111</v>
      </c>
      <c r="AM9" s="2">
        <f t="shared" si="10"/>
        <v>5066.5629850160731</v>
      </c>
      <c r="AN9" s="2">
        <f t="shared" si="11"/>
        <v>-2567.4007461085093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216.78088129604782</v>
      </c>
      <c r="H10" s="6" t="s">
        <v>101</v>
      </c>
      <c r="N10" s="6" t="s">
        <v>113</v>
      </c>
      <c r="O10" s="6">
        <f>O7/(0.3048^2)/($C$5*2.20462/1000)^(2/3)</f>
        <v>2.6131764790924223</v>
      </c>
      <c r="U10" s="2">
        <v>6</v>
      </c>
      <c r="V10" s="2">
        <f t="shared" si="7"/>
        <v>4.6875E-2</v>
      </c>
      <c r="W10" s="2">
        <f t="shared" si="0"/>
        <v>1.2364359583093461E-2</v>
      </c>
      <c r="X10" s="2">
        <f t="shared" si="8"/>
        <v>6.25E-2</v>
      </c>
      <c r="Y10" s="2">
        <f t="shared" si="1"/>
        <v>-3.2826850860491336E-3</v>
      </c>
      <c r="Z10" s="2">
        <f t="shared" si="3"/>
        <v>5.46875E-2</v>
      </c>
      <c r="AA10" s="2">
        <f t="shared" si="2"/>
        <v>4.5416013430589347E-3</v>
      </c>
      <c r="AB10" s="2">
        <f t="shared" si="4"/>
        <v>5.6153992088640869E-5</v>
      </c>
      <c r="AC10" s="2">
        <f t="shared" si="5"/>
        <v>-1.4908646995640279E-5</v>
      </c>
      <c r="AD10" s="2">
        <f t="shared" si="6"/>
        <v>1.5625E-2</v>
      </c>
      <c r="AF10" s="2">
        <v>6</v>
      </c>
      <c r="AG10" s="2">
        <f t="shared" si="13"/>
        <v>5546.875</v>
      </c>
      <c r="AH10" s="2">
        <v>-34.732583518963111</v>
      </c>
      <c r="AI10" s="2">
        <f t="shared" si="14"/>
        <v>5843.75</v>
      </c>
      <c r="AJ10" s="2">
        <v>73.919083638185839</v>
      </c>
      <c r="AK10" s="2">
        <f t="shared" si="9"/>
        <v>5695.3125</v>
      </c>
      <c r="AL10" s="2">
        <v>19.911522338155919</v>
      </c>
      <c r="AM10" s="2">
        <f t="shared" si="10"/>
        <v>-691.57861259970014</v>
      </c>
      <c r="AN10" s="2">
        <f t="shared" si="11"/>
        <v>1471.8414850777531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6.5054232692383334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4.5416013430589347E-3</v>
      </c>
      <c r="X11" s="2">
        <f t="shared" si="8"/>
        <v>6.25E-2</v>
      </c>
      <c r="Y11" s="2">
        <f t="shared" si="1"/>
        <v>-3.2826850860491336E-3</v>
      </c>
      <c r="Z11" s="2">
        <f t="shared" si="3"/>
        <v>5.859375E-2</v>
      </c>
      <c r="AA11" s="2">
        <f t="shared" si="2"/>
        <v>6.2964790250439467E-4</v>
      </c>
      <c r="AB11" s="2">
        <f t="shared" si="4"/>
        <v>2.8596097596682002E-6</v>
      </c>
      <c r="AC11" s="2">
        <f t="shared" si="5"/>
        <v>-2.0669357790132954E-6</v>
      </c>
      <c r="AD11" s="2">
        <f t="shared" si="6"/>
        <v>7.8125E-3</v>
      </c>
      <c r="AF11" s="2">
        <v>7</v>
      </c>
      <c r="AG11" s="2">
        <f t="shared" si="13"/>
        <v>5546.875</v>
      </c>
      <c r="AH11" s="2">
        <v>-34.732583518963111</v>
      </c>
      <c r="AI11" s="2">
        <f t="shared" si="14"/>
        <v>5695.3125</v>
      </c>
      <c r="AJ11" s="2">
        <v>19.911522338155919</v>
      </c>
      <c r="AK11" s="2">
        <f t="shared" si="9"/>
        <v>5621.09375</v>
      </c>
      <c r="AL11" s="2">
        <v>-7.3318773340870393</v>
      </c>
      <c r="AM11" s="2">
        <f t="shared" si="10"/>
        <v>254.65504185697068</v>
      </c>
      <c r="AN11" s="2">
        <f t="shared" si="11"/>
        <v>-145.98883931829315</v>
      </c>
      <c r="AO11" s="2">
        <f t="shared" si="12"/>
        <v>148.4375</v>
      </c>
    </row>
    <row r="12" spans="2:41" x14ac:dyDescent="0.2">
      <c r="B12" s="30" t="s">
        <v>11</v>
      </c>
      <c r="C12" s="30"/>
      <c r="D12" s="30"/>
      <c r="F12" s="24" t="s">
        <v>82</v>
      </c>
      <c r="G12" s="25">
        <f xml:space="preserve"> 1/1000 * (($C$5*$C$44)/$C$21 * ( ($G$4/2) + SQRT( ($G$4/2)^2 + ($C$5*$C$44) / (2*$C$41*PI()*$C$9^2 * $C$18) ) ) )</f>
        <v>867.12352518419129</v>
      </c>
      <c r="H12" s="25" t="s">
        <v>101</v>
      </c>
      <c r="J12" s="10" t="s">
        <v>79</v>
      </c>
      <c r="K12" s="6">
        <f>C5</f>
        <v>5641.00555803721</v>
      </c>
      <c r="L12" s="6" t="s">
        <v>7</v>
      </c>
      <c r="N12" s="32" t="s">
        <v>73</v>
      </c>
      <c r="O12" s="35"/>
      <c r="P12" s="35"/>
      <c r="U12" s="2">
        <v>8</v>
      </c>
      <c r="V12" s="2">
        <f t="shared" si="7"/>
        <v>5.859375E-2</v>
      </c>
      <c r="W12" s="2">
        <f t="shared" si="0"/>
        <v>6.2964790250439467E-4</v>
      </c>
      <c r="X12" s="2">
        <f t="shared" si="8"/>
        <v>6.25E-2</v>
      </c>
      <c r="Y12" s="2">
        <f t="shared" si="1"/>
        <v>-3.2826850860491336E-3</v>
      </c>
      <c r="Z12" s="2">
        <f t="shared" si="3"/>
        <v>6.0546875E-2</v>
      </c>
      <c r="AA12" s="2">
        <f t="shared" si="2"/>
        <v>-1.3264713132069145E-3</v>
      </c>
      <c r="AB12" s="2">
        <f t="shared" si="4"/>
        <v>-8.3520988009298369E-7</v>
      </c>
      <c r="AC12" s="2">
        <f t="shared" si="5"/>
        <v>4.3543875969363471E-6</v>
      </c>
      <c r="AD12" s="2">
        <f t="shared" si="6"/>
        <v>3.90625E-3</v>
      </c>
      <c r="AF12" s="2">
        <v>8</v>
      </c>
      <c r="AG12" s="2">
        <f t="shared" si="13"/>
        <v>5621.09375</v>
      </c>
      <c r="AH12" s="2">
        <v>-7.3318773340870393</v>
      </c>
      <c r="AI12" s="2">
        <f t="shared" si="14"/>
        <v>5695.3125</v>
      </c>
      <c r="AJ12" s="2">
        <v>19.911522338155919</v>
      </c>
      <c r="AK12" s="2">
        <f t="shared" si="9"/>
        <v>5658.203125</v>
      </c>
      <c r="AL12" s="2">
        <v>6.309593196440801</v>
      </c>
      <c r="AM12" s="2">
        <f t="shared" si="10"/>
        <v>-46.261163344294104</v>
      </c>
      <c r="AN12" s="2">
        <f t="shared" si="11"/>
        <v>125.63360587560761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3129.3992485105746</v>
      </c>
      <c r="L13" s="6" t="s">
        <v>7</v>
      </c>
      <c r="N13" s="6" t="s">
        <v>74</v>
      </c>
      <c r="O13" s="6">
        <f xml:space="preserve"> SQRT( ($C$5*$C$50)^2 + O9^2)</f>
        <v>55528.261256404803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6.2964790250439467E-4</v>
      </c>
      <c r="X13" s="2">
        <f t="shared" si="8"/>
        <v>6.0546875E-2</v>
      </c>
      <c r="Y13" s="2">
        <f t="shared" si="1"/>
        <v>-1.3264713132069145E-3</v>
      </c>
      <c r="Z13" s="2">
        <f t="shared" si="3"/>
        <v>5.95703125E-2</v>
      </c>
      <c r="AA13" s="2">
        <f t="shared" si="2"/>
        <v>-3.4839986470831114E-4</v>
      </c>
      <c r="AB13" s="2">
        <f t="shared" si="4"/>
        <v>-2.1936924404640298E-7</v>
      </c>
      <c r="AC13" s="2">
        <f t="shared" si="5"/>
        <v>4.621424260607448E-7</v>
      </c>
      <c r="AD13" s="2">
        <f t="shared" si="6"/>
        <v>1.953125E-3</v>
      </c>
      <c r="AF13" s="2">
        <v>9</v>
      </c>
      <c r="AG13" s="2">
        <f t="shared" si="13"/>
        <v>5621.09375</v>
      </c>
      <c r="AH13" s="2">
        <v>-7.3318773340870393</v>
      </c>
      <c r="AI13" s="2">
        <f t="shared" si="14"/>
        <v>5658.203125</v>
      </c>
      <c r="AJ13" s="2">
        <v>6.309593196440801</v>
      </c>
      <c r="AK13" s="2">
        <f t="shared" si="9"/>
        <v>5639.6484375</v>
      </c>
      <c r="AL13" s="2">
        <v>-0.50620475953473942</v>
      </c>
      <c r="AM13" s="2">
        <f t="shared" si="10"/>
        <v>3.7114312028397363</v>
      </c>
      <c r="AN13" s="2">
        <f t="shared" si="11"/>
        <v>-3.1939461067663437</v>
      </c>
      <c r="AO13" s="2">
        <f t="shared" si="12"/>
        <v>37.109375</v>
      </c>
    </row>
    <row r="14" spans="2:41" x14ac:dyDescent="0.2">
      <c r="B14" s="6" t="s">
        <v>12</v>
      </c>
      <c r="C14" s="17">
        <f>100*1000</f>
        <v>100000</v>
      </c>
      <c r="D14" s="6" t="s">
        <v>8</v>
      </c>
      <c r="F14" s="32" t="s">
        <v>86</v>
      </c>
      <c r="G14" s="34"/>
      <c r="H14" s="34"/>
      <c r="J14" s="12" t="s">
        <v>126</v>
      </c>
      <c r="K14" s="6">
        <f xml:space="preserve"> $C$54 * $C$18 * (0.0095 * MAX(G9,O18,G28) - 1.9275)</f>
        <v>415.84678554867651</v>
      </c>
      <c r="L14" s="6" t="s">
        <v>7</v>
      </c>
      <c r="N14" s="6" t="s">
        <v>75</v>
      </c>
      <c r="O14" s="6">
        <f>$C$5*$C$50/O13</f>
        <v>0.995618743388473</v>
      </c>
      <c r="U14" s="2">
        <v>10</v>
      </c>
      <c r="V14" s="2">
        <f t="shared" si="7"/>
        <v>5.859375E-2</v>
      </c>
      <c r="W14" s="2">
        <f t="shared" si="0"/>
        <v>6.2964790250439467E-4</v>
      </c>
      <c r="X14" s="2">
        <f t="shared" si="8"/>
        <v>5.95703125E-2</v>
      </c>
      <c r="Y14" s="2">
        <f t="shared" si="1"/>
        <v>-3.4839986470831114E-4</v>
      </c>
      <c r="Z14" s="2">
        <f t="shared" si="3"/>
        <v>5.908203125E-2</v>
      </c>
      <c r="AA14" s="2">
        <f t="shared" si="2"/>
        <v>1.4062698165046017E-4</v>
      </c>
      <c r="AB14" s="2">
        <f t="shared" si="4"/>
        <v>8.8545484031736245E-8</v>
      </c>
      <c r="AC14" s="2">
        <f t="shared" si="5"/>
        <v>-4.8994421381358473E-8</v>
      </c>
      <c r="AD14" s="2">
        <f t="shared" si="6"/>
        <v>9.765625E-4</v>
      </c>
      <c r="AF14" s="2">
        <v>10</v>
      </c>
      <c r="AG14" s="2">
        <f t="shared" si="13"/>
        <v>5639.6484375</v>
      </c>
      <c r="AH14" s="2">
        <v>-0.50620475953473942</v>
      </c>
      <c r="AI14" s="2">
        <f t="shared" si="14"/>
        <v>5658.203125</v>
      </c>
      <c r="AJ14" s="2">
        <v>6.309593196440801</v>
      </c>
      <c r="AK14" s="2">
        <f t="shared" si="9"/>
        <v>5648.92578125</v>
      </c>
      <c r="AL14" s="2">
        <v>2.9029133143149011</v>
      </c>
      <c r="AM14" s="2">
        <f t="shared" si="10"/>
        <v>-1.469468536222968</v>
      </c>
      <c r="AN14" s="2">
        <f t="shared" si="11"/>
        <v>18.316202097858717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1125.0000000000036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587.0928837744209</v>
      </c>
      <c r="L15" s="6" t="s">
        <v>7</v>
      </c>
      <c r="U15" s="2">
        <v>11</v>
      </c>
      <c r="V15" s="2">
        <f t="shared" si="7"/>
        <v>5.908203125E-2</v>
      </c>
      <c r="W15" s="2">
        <f t="shared" si="0"/>
        <v>1.4062698165046017E-4</v>
      </c>
      <c r="X15" s="2">
        <f t="shared" si="8"/>
        <v>5.95703125E-2</v>
      </c>
      <c r="Y15" s="2">
        <f t="shared" si="1"/>
        <v>-3.4839986470831114E-4</v>
      </c>
      <c r="Z15" s="2">
        <f t="shared" si="3"/>
        <v>5.9326171875E-2</v>
      </c>
      <c r="AA15" s="2">
        <f t="shared" si="2"/>
        <v>-1.0388570116327822E-4</v>
      </c>
      <c r="AB15" s="2">
        <f t="shared" si="4"/>
        <v>-1.4609132591233515E-8</v>
      </c>
      <c r="AC15" s="2">
        <f t="shared" si="5"/>
        <v>3.6193764230414174E-8</v>
      </c>
      <c r="AD15" s="2">
        <f t="shared" si="6"/>
        <v>4.8828125E-4</v>
      </c>
      <c r="AF15" s="2">
        <v>11</v>
      </c>
      <c r="AG15" s="2">
        <f t="shared" si="13"/>
        <v>5639.6484375</v>
      </c>
      <c r="AH15" s="2">
        <v>-0.50620475953473942</v>
      </c>
      <c r="AI15" s="2">
        <f t="shared" si="14"/>
        <v>5648.92578125</v>
      </c>
      <c r="AJ15" s="2">
        <v>2.9029133143149011</v>
      </c>
      <c r="AK15" s="2">
        <f t="shared" si="9"/>
        <v>5644.287109375</v>
      </c>
      <c r="AL15" s="2">
        <v>1.1986661158598508</v>
      </c>
      <c r="AM15" s="2">
        <f t="shared" si="10"/>
        <v>-0.60677049294127594</v>
      </c>
      <c r="AN15" s="2">
        <f t="shared" si="11"/>
        <v>3.4796238271476887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161.65083677463662</v>
      </c>
      <c r="H16" s="6" t="s">
        <v>10</v>
      </c>
      <c r="J16" s="13" t="s">
        <v>53</v>
      </c>
      <c r="K16" s="6">
        <f xml:space="preserve"> $C$54 * 0.2138 * K4</f>
        <v>222.46921162125611</v>
      </c>
      <c r="L16" s="6" t="s">
        <v>7</v>
      </c>
      <c r="N16" s="32" t="s">
        <v>24</v>
      </c>
      <c r="O16" s="35"/>
      <c r="P16" s="35"/>
      <c r="U16" s="2">
        <v>12</v>
      </c>
      <c r="V16" s="2">
        <f t="shared" si="7"/>
        <v>5.908203125E-2</v>
      </c>
      <c r="W16" s="2">
        <f t="shared" si="0"/>
        <v>1.4062698165046017E-4</v>
      </c>
      <c r="X16" s="2">
        <f t="shared" si="8"/>
        <v>5.9326171875E-2</v>
      </c>
      <c r="Y16" s="2">
        <f t="shared" si="1"/>
        <v>-1.0388570116327822E-4</v>
      </c>
      <c r="Z16" s="2">
        <f t="shared" si="3"/>
        <v>5.92041015625E-2</v>
      </c>
      <c r="AA16" s="2">
        <f t="shared" si="2"/>
        <v>1.8370825375410571E-5</v>
      </c>
      <c r="AB16" s="2">
        <f t="shared" si="4"/>
        <v>2.5834337229716704E-9</v>
      </c>
      <c r="AC16" s="2">
        <f t="shared" si="5"/>
        <v>-1.9084660750726708E-9</v>
      </c>
      <c r="AD16" s="2">
        <f t="shared" si="6"/>
        <v>2.44140625E-4</v>
      </c>
      <c r="AF16" s="2">
        <v>12</v>
      </c>
      <c r="AG16" s="2">
        <f t="shared" si="13"/>
        <v>5639.6484375</v>
      </c>
      <c r="AH16" s="2">
        <v>-0.50620475953473942</v>
      </c>
      <c r="AI16" s="2">
        <f t="shared" si="14"/>
        <v>5644.287109375</v>
      </c>
      <c r="AJ16" s="2">
        <v>1.1986661158598508</v>
      </c>
      <c r="AK16" s="2">
        <f t="shared" si="9"/>
        <v>5641.9677734375</v>
      </c>
      <c r="AL16" s="2">
        <v>0.34629008926276583</v>
      </c>
      <c r="AM16" s="2">
        <f t="shared" si="10"/>
        <v>-0.17529369136452183</v>
      </c>
      <c r="AN16" s="2">
        <f t="shared" si="11"/>
        <v>0.41508619625736054</v>
      </c>
      <c r="AO16" s="2">
        <f t="shared" si="12"/>
        <v>4.638671875</v>
      </c>
    </row>
    <row r="17" spans="2:41" x14ac:dyDescent="0.2">
      <c r="B17" s="33" t="s">
        <v>110</v>
      </c>
      <c r="C17" s="33"/>
      <c r="D17" s="33"/>
      <c r="F17" s="6" t="s">
        <v>124</v>
      </c>
      <c r="G17" s="6">
        <f>G16/$C$49</f>
        <v>0.48584390930559457</v>
      </c>
      <c r="H17" s="6" t="s">
        <v>122</v>
      </c>
      <c r="J17" s="13" t="s">
        <v>77</v>
      </c>
      <c r="K17" s="6">
        <f xml:space="preserve"> $C$54 * 0.1149 * K4</f>
        <v>119.5589916523963</v>
      </c>
      <c r="L17" s="6" t="s">
        <v>7</v>
      </c>
      <c r="N17" s="6" t="s">
        <v>25</v>
      </c>
      <c r="O17" s="6">
        <f xml:space="preserve"> ACOS(O14)/PI()*180</f>
        <v>5.3653204530128304</v>
      </c>
      <c r="P17" s="6" t="s">
        <v>40</v>
      </c>
      <c r="U17" s="2">
        <v>13</v>
      </c>
      <c r="V17" s="2">
        <f t="shared" si="7"/>
        <v>5.92041015625E-2</v>
      </c>
      <c r="W17" s="2">
        <f t="shared" si="0"/>
        <v>1.8370825375410571E-5</v>
      </c>
      <c r="X17" s="2">
        <f t="shared" si="8"/>
        <v>5.9326171875E-2</v>
      </c>
      <c r="Y17" s="2">
        <f t="shared" si="1"/>
        <v>-1.0388570116327822E-4</v>
      </c>
      <c r="Z17" s="2">
        <f t="shared" si="3"/>
        <v>5.926513671875E-2</v>
      </c>
      <c r="AA17" s="2">
        <f t="shared" si="2"/>
        <v>-4.2757391616021767E-5</v>
      </c>
      <c r="AB17" s="2">
        <f t="shared" si="4"/>
        <v>-7.8548857488597988E-10</v>
      </c>
      <c r="AC17" s="2">
        <f t="shared" si="5"/>
        <v>4.4418816079432951E-9</v>
      </c>
      <c r="AD17" s="2">
        <f t="shared" si="6"/>
        <v>1.220703125E-4</v>
      </c>
      <c r="AF17" s="2">
        <v>13</v>
      </c>
      <c r="AG17" s="2">
        <f t="shared" si="13"/>
        <v>5639.6484375</v>
      </c>
      <c r="AH17" s="2">
        <v>-0.50620475953473942</v>
      </c>
      <c r="AI17" s="2">
        <f t="shared" si="14"/>
        <v>5641.9677734375</v>
      </c>
      <c r="AJ17" s="2">
        <v>0.34629008926276583</v>
      </c>
      <c r="AK17" s="2">
        <f t="shared" si="9"/>
        <v>5640.80810546875</v>
      </c>
      <c r="AL17" s="2">
        <v>-7.9951653243369947E-2</v>
      </c>
      <c r="AM17" s="2">
        <f t="shared" si="10"/>
        <v>4.0471907404464956E-2</v>
      </c>
      <c r="AN17" s="2">
        <f t="shared" si="11"/>
        <v>-2.7686465138352281E-2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13882.065314101201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150.94175668924228</v>
      </c>
      <c r="L18" s="6" t="s">
        <v>7</v>
      </c>
      <c r="N18" s="6" t="s">
        <v>19</v>
      </c>
      <c r="O18" s="6">
        <f xml:space="preserve"> O13 / $C$18</f>
        <v>13882.065314101201</v>
      </c>
      <c r="P18" s="6" t="s">
        <v>20</v>
      </c>
      <c r="U18" s="2">
        <v>14</v>
      </c>
      <c r="V18" s="2">
        <f t="shared" si="7"/>
        <v>5.92041015625E-2</v>
      </c>
      <c r="W18" s="2">
        <f t="shared" si="0"/>
        <v>1.8370825375410571E-5</v>
      </c>
      <c r="X18" s="2">
        <f t="shared" si="8"/>
        <v>5.926513671875E-2</v>
      </c>
      <c r="Y18" s="2">
        <f t="shared" si="1"/>
        <v>-4.2757391616021767E-5</v>
      </c>
      <c r="Z18" s="2">
        <f t="shared" si="3"/>
        <v>5.9234619140625E-2</v>
      </c>
      <c r="AA18" s="2">
        <f t="shared" si="2"/>
        <v>-1.2193271550199614E-5</v>
      </c>
      <c r="AB18" s="2">
        <f t="shared" si="4"/>
        <v>-2.2400046240367884E-10</v>
      </c>
      <c r="AC18" s="2">
        <f t="shared" si="5"/>
        <v>5.2135248675238168E-10</v>
      </c>
      <c r="AD18" s="2">
        <f t="shared" si="6"/>
        <v>6.103515625E-5</v>
      </c>
      <c r="AF18" s="2">
        <v>14</v>
      </c>
      <c r="AG18" s="2">
        <f t="shared" si="13"/>
        <v>5640.80810546875</v>
      </c>
      <c r="AH18" s="2">
        <v>-7.9951653243369947E-2</v>
      </c>
      <c r="AI18" s="2">
        <f t="shared" si="14"/>
        <v>5641.9677734375</v>
      </c>
      <c r="AJ18" s="2">
        <v>0.34629008926276583</v>
      </c>
      <c r="AK18" s="2">
        <f t="shared" si="9"/>
        <v>5641.387939453125</v>
      </c>
      <c r="AL18" s="2">
        <v>0.13317978332906932</v>
      </c>
      <c r="AM18" s="2">
        <f t="shared" si="10"/>
        <v>-1.0647943855752892E-2</v>
      </c>
      <c r="AN18" s="2">
        <f t="shared" si="11"/>
        <v>4.6118839057019231E-2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178.23389309206948</v>
      </c>
      <c r="H19" s="6" t="s">
        <v>101</v>
      </c>
      <c r="J19" s="14" t="s">
        <v>61</v>
      </c>
      <c r="K19" s="6">
        <f xml:space="preserve"> $C$55 * C31 * $C$5</f>
        <v>63.179262250016762</v>
      </c>
      <c r="L19" s="6" t="s">
        <v>7</v>
      </c>
      <c r="N19" s="6" t="s">
        <v>26</v>
      </c>
      <c r="O19" s="6">
        <f>$C$7*2*PI()/60</f>
        <v>36.602145086326871</v>
      </c>
      <c r="P19" s="6" t="s">
        <v>27</v>
      </c>
      <c r="U19" s="2">
        <v>15</v>
      </c>
      <c r="V19" s="2">
        <f t="shared" si="7"/>
        <v>5.92041015625E-2</v>
      </c>
      <c r="W19" s="2">
        <f t="shared" si="0"/>
        <v>1.8370825375410571E-5</v>
      </c>
      <c r="X19" s="2">
        <f t="shared" si="8"/>
        <v>5.9234619140625E-2</v>
      </c>
      <c r="Y19" s="2">
        <f t="shared" si="1"/>
        <v>-1.2193271550199614E-5</v>
      </c>
      <c r="Z19" s="2">
        <f t="shared" si="3"/>
        <v>5.92193603515625E-2</v>
      </c>
      <c r="AA19" s="2">
        <f t="shared" si="2"/>
        <v>3.0887798052048332E-6</v>
      </c>
      <c r="AB19" s="2">
        <f t="shared" si="4"/>
        <v>5.6743434424512671E-11</v>
      </c>
      <c r="AC19" s="2">
        <f t="shared" si="5"/>
        <v>-3.76623309236352E-11</v>
      </c>
      <c r="AD19" s="2">
        <f t="shared" si="6"/>
        <v>3.0517578125E-5</v>
      </c>
      <c r="AF19" s="2">
        <v>15</v>
      </c>
      <c r="AG19" s="2">
        <f t="shared" si="13"/>
        <v>5640.80810546875</v>
      </c>
      <c r="AH19" s="2">
        <v>-7.9951653243369947E-2</v>
      </c>
      <c r="AI19" s="2">
        <f t="shared" si="14"/>
        <v>5641.387939453125</v>
      </c>
      <c r="AJ19" s="2">
        <v>0.13317978332906932</v>
      </c>
      <c r="AK19" s="2">
        <f t="shared" si="9"/>
        <v>5641.0980224609375</v>
      </c>
      <c r="AL19" s="2">
        <v>2.6630417628439318E-2</v>
      </c>
      <c r="AM19" s="2">
        <f t="shared" si="10"/>
        <v>-2.1291459159551067E-3</v>
      </c>
      <c r="AN19" s="2">
        <f t="shared" si="11"/>
        <v>3.5466332497181767E-3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7.9471823660318206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0.54747284717203915</v>
      </c>
      <c r="U20" s="2">
        <v>16</v>
      </c>
      <c r="V20" s="2">
        <f t="shared" si="7"/>
        <v>5.92193603515625E-2</v>
      </c>
      <c r="W20" s="2">
        <f t="shared" si="0"/>
        <v>3.0887798052048332E-6</v>
      </c>
      <c r="X20" s="2">
        <f t="shared" si="8"/>
        <v>5.9234619140625E-2</v>
      </c>
      <c r="Y20" s="2">
        <f t="shared" si="1"/>
        <v>-1.2193271550199614E-5</v>
      </c>
      <c r="Z20" s="2">
        <f t="shared" si="3"/>
        <v>5.922698974609375E-2</v>
      </c>
      <c r="AA20" s="2">
        <f t="shared" si="2"/>
        <v>-4.5522451493570926E-6</v>
      </c>
      <c r="AB20" s="2">
        <f t="shared" si="4"/>
        <v>-1.4060882885675848E-11</v>
      </c>
      <c r="AC20" s="2">
        <f t="shared" si="5"/>
        <v>5.5506761269190028E-11</v>
      </c>
      <c r="AD20" s="2">
        <f t="shared" si="6"/>
        <v>1.52587890625E-5</v>
      </c>
      <c r="AF20" s="2">
        <v>16</v>
      </c>
      <c r="AG20" s="2">
        <f t="shared" si="13"/>
        <v>5640.80810546875</v>
      </c>
      <c r="AH20" s="2">
        <v>-7.9951653243369947E-2</v>
      </c>
      <c r="AI20" s="2">
        <f t="shared" si="14"/>
        <v>5641.0980224609375</v>
      </c>
      <c r="AJ20" s="2">
        <v>2.6630417628439318E-2</v>
      </c>
      <c r="AK20" s="2">
        <f t="shared" si="9"/>
        <v>5640.9530639648438</v>
      </c>
      <c r="AL20" s="2">
        <v>-2.66428183813332E-2</v>
      </c>
      <c r="AM20" s="2">
        <f t="shared" si="10"/>
        <v>2.1301373766504351E-3</v>
      </c>
      <c r="AN20" s="2">
        <f t="shared" si="11"/>
        <v>-7.0950938029356269E-4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0.14000000000548488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8.5962767866162321E-3</v>
      </c>
      <c r="U21" s="2">
        <v>17</v>
      </c>
      <c r="V21" s="2">
        <f t="shared" si="7"/>
        <v>5.92193603515625E-2</v>
      </c>
      <c r="W21" s="2">
        <f t="shared" si="0"/>
        <v>3.0887798052048332E-6</v>
      </c>
      <c r="X21" s="2">
        <f t="shared" si="8"/>
        <v>5.922698974609375E-2</v>
      </c>
      <c r="Y21" s="2">
        <f t="shared" si="1"/>
        <v>-4.5522451493570926E-6</v>
      </c>
      <c r="Z21" s="2">
        <f t="shared" si="3"/>
        <v>5.9223175048828125E-2</v>
      </c>
      <c r="AA21" s="2">
        <f t="shared" si="2"/>
        <v>-7.3173249128671847E-7</v>
      </c>
      <c r="AB21" s="2">
        <f t="shared" si="4"/>
        <v>-2.2601605418986378E-12</v>
      </c>
      <c r="AC21" s="2">
        <f t="shared" si="5"/>
        <v>3.3310256840869451E-12</v>
      </c>
      <c r="AD21" s="2">
        <f t="shared" si="6"/>
        <v>7.62939453125E-6</v>
      </c>
      <c r="AF21" s="2">
        <v>17</v>
      </c>
      <c r="AG21" s="2">
        <f t="shared" si="13"/>
        <v>5640.9530639648438</v>
      </c>
      <c r="AH21" s="2">
        <v>-2.66428183813332E-2</v>
      </c>
      <c r="AI21" s="2">
        <f t="shared" si="14"/>
        <v>5641.0980224609375</v>
      </c>
      <c r="AJ21" s="2">
        <v>2.6630417628439318E-2</v>
      </c>
      <c r="AK21" s="2">
        <f t="shared" si="9"/>
        <v>5641.0255432128906</v>
      </c>
      <c r="AL21" s="2">
        <v>-6.3209472500602715E-6</v>
      </c>
      <c r="AM21" s="2">
        <f t="shared" si="10"/>
        <v>1.6840784958134334E-7</v>
      </c>
      <c r="AN21" s="2">
        <f t="shared" si="11"/>
        <v>-1.6832946507644008E-7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712.93557236827792</v>
      </c>
      <c r="H22" s="25" t="s">
        <v>101</v>
      </c>
      <c r="J22" s="14" t="s">
        <v>112</v>
      </c>
      <c r="K22" s="6">
        <f>$C$55*(0.14*$G$12*1000/745.7)*0.453592</f>
        <v>59.074524516506557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5.92193603515625E-2</v>
      </c>
      <c r="W22" s="2">
        <f t="shared" si="0"/>
        <v>3.0887798052048332E-6</v>
      </c>
      <c r="X22" s="2">
        <f t="shared" si="8"/>
        <v>5.9223175048828125E-2</v>
      </c>
      <c r="Y22" s="2">
        <f t="shared" si="1"/>
        <v>-7.3173249128671847E-7</v>
      </c>
      <c r="Z22" s="2">
        <f t="shared" si="3"/>
        <v>5.9221267700195312E-2</v>
      </c>
      <c r="AA22" s="2">
        <f t="shared" si="2"/>
        <v>1.1785237021555428E-6</v>
      </c>
      <c r="AB22" s="2">
        <f t="shared" si="4"/>
        <v>3.6402002111732761E-12</v>
      </c>
      <c r="AC22" s="2">
        <f t="shared" si="5"/>
        <v>-8.6236408461872193E-13</v>
      </c>
      <c r="AD22" s="2">
        <f t="shared" si="6"/>
        <v>3.814697265625E-6</v>
      </c>
      <c r="AF22" s="2">
        <v>18</v>
      </c>
      <c r="AG22" s="2">
        <f t="shared" si="13"/>
        <v>5641.0255432128906</v>
      </c>
      <c r="AH22" s="2">
        <v>-6.3209472500602715E-6</v>
      </c>
      <c r="AI22" s="2">
        <f t="shared" si="14"/>
        <v>5641.0980224609375</v>
      </c>
      <c r="AJ22" s="2">
        <v>2.6630417628439318E-2</v>
      </c>
      <c r="AK22" s="2">
        <f t="shared" si="9"/>
        <v>5641.0617828369141</v>
      </c>
      <c r="AL22" s="2">
        <v>1.3312018202668696E-2</v>
      </c>
      <c r="AM22" s="2">
        <f t="shared" si="10"/>
        <v>-8.4144564850910978E-8</v>
      </c>
      <c r="AN22" s="2">
        <f t="shared" si="11"/>
        <v>3.5450460421445354E-4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120.94315916431779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42685.35332420293</v>
      </c>
      <c r="P23" s="6" t="s">
        <v>18</v>
      </c>
      <c r="U23" s="2">
        <v>19</v>
      </c>
      <c r="V23" s="2">
        <f t="shared" si="7"/>
        <v>5.9221267700195312E-2</v>
      </c>
      <c r="W23" s="2">
        <f t="shared" si="0"/>
        <v>1.1785237021555428E-6</v>
      </c>
      <c r="X23" s="2">
        <f t="shared" si="8"/>
        <v>5.9223175048828125E-2</v>
      </c>
      <c r="Y23" s="2">
        <f t="shared" si="1"/>
        <v>-7.3173249128671847E-7</v>
      </c>
      <c r="Z23" s="2">
        <f t="shared" si="3"/>
        <v>5.9222221374511719E-2</v>
      </c>
      <c r="AA23" s="2">
        <f t="shared" si="2"/>
        <v>2.2339561673440089E-7</v>
      </c>
      <c r="AB23" s="2">
        <f t="shared" si="4"/>
        <v>2.6327702927914689E-13</v>
      </c>
      <c r="AC23" s="2">
        <f t="shared" si="5"/>
        <v>-1.634658311755961E-13</v>
      </c>
      <c r="AD23" s="2">
        <f t="shared" si="6"/>
        <v>1.9073486328125E-6</v>
      </c>
      <c r="AF23" s="2">
        <v>19</v>
      </c>
      <c r="AG23" s="2">
        <f t="shared" si="13"/>
        <v>5641.0255432128906</v>
      </c>
      <c r="AH23" s="2">
        <v>-6.3209472500602715E-6</v>
      </c>
      <c r="AI23" s="2">
        <f t="shared" si="14"/>
        <v>5641.0617828369141</v>
      </c>
      <c r="AJ23" s="2">
        <v>1.3312018202668696E-2</v>
      </c>
      <c r="AK23" s="2">
        <f t="shared" si="9"/>
        <v>5641.0436630249023</v>
      </c>
      <c r="AL23" s="2">
        <v>6.6345586083116359E-3</v>
      </c>
      <c r="AM23" s="2">
        <f t="shared" si="10"/>
        <v>-4.1936694990571139E-8</v>
      </c>
      <c r="AN23" s="2">
        <f t="shared" si="11"/>
        <v>8.8319364960516783E-5</v>
      </c>
      <c r="AO23" s="2">
        <f t="shared" si="12"/>
        <v>3.62396240234375E-2</v>
      </c>
    </row>
    <row r="24" spans="2:41" x14ac:dyDescent="0.2">
      <c r="B24" s="33" t="s">
        <v>104</v>
      </c>
      <c r="C24" s="33"/>
      <c r="D24" s="33"/>
      <c r="F24" s="32" t="s">
        <v>81</v>
      </c>
      <c r="G24" s="34"/>
      <c r="H24" s="34"/>
      <c r="J24" s="15" t="s">
        <v>65</v>
      </c>
      <c r="K24" s="6">
        <f xml:space="preserve"> $C$56 * (11.5 * ($C$5*2.20462/1000)^0.4 * 0.453592)</f>
        <v>11.437452985607733</v>
      </c>
      <c r="L24" s="6" t="s">
        <v>7</v>
      </c>
      <c r="N24" s="6" t="s">
        <v>31</v>
      </c>
      <c r="O24" s="18">
        <f>Z34</f>
        <v>5.9222444426268339E-2</v>
      </c>
      <c r="U24" s="2">
        <v>20</v>
      </c>
      <c r="V24" s="2">
        <f t="shared" si="7"/>
        <v>5.9222221374511719E-2</v>
      </c>
      <c r="W24" s="2">
        <f t="shared" si="0"/>
        <v>2.2339561673440089E-7</v>
      </c>
      <c r="X24" s="2">
        <f t="shared" si="8"/>
        <v>5.9223175048828125E-2</v>
      </c>
      <c r="Y24" s="2">
        <f t="shared" si="1"/>
        <v>-7.3173249128671847E-7</v>
      </c>
      <c r="Z24" s="2">
        <f t="shared" si="3"/>
        <v>5.9222698211669922E-2</v>
      </c>
      <c r="AA24" s="2">
        <f t="shared" si="2"/>
        <v>-2.5416843445202897E-7</v>
      </c>
      <c r="AB24" s="2">
        <f t="shared" si="4"/>
        <v>-5.6780114168828159E-14</v>
      </c>
      <c r="AC24" s="2">
        <f t="shared" si="5"/>
        <v>1.8598330174802816E-13</v>
      </c>
      <c r="AD24" s="2">
        <f t="shared" si="6"/>
        <v>9.5367431640625E-7</v>
      </c>
      <c r="AF24" s="2">
        <v>20</v>
      </c>
      <c r="AG24" s="2">
        <f t="shared" si="13"/>
        <v>5641.0255432128906</v>
      </c>
      <c r="AH24" s="2">
        <v>-6.3209472500602715E-6</v>
      </c>
      <c r="AI24" s="2">
        <f t="shared" si="14"/>
        <v>5641.0436630249023</v>
      </c>
      <c r="AJ24" s="2">
        <v>6.6345586083116359E-3</v>
      </c>
      <c r="AK24" s="2">
        <f t="shared" si="9"/>
        <v>5641.0346031188965</v>
      </c>
      <c r="AL24" s="2">
        <v>3.3141169642476598E-3</v>
      </c>
      <c r="AM24" s="2">
        <f t="shared" si="10"/>
        <v>-2.0948358511539342E-8</v>
      </c>
      <c r="AN24" s="2">
        <f t="shared" si="11"/>
        <v>2.1987703234100938E-5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36.102435571438143</v>
      </c>
      <c r="L25" s="6" t="s">
        <v>7</v>
      </c>
      <c r="N25" s="6" t="s">
        <v>32</v>
      </c>
      <c r="O25" s="6">
        <f xml:space="preserve"> O19 * $C$9 * O24 - $C$8 * SIN(O17/180*PI())</f>
        <v>1.2617390254725454</v>
      </c>
      <c r="P25" s="6" t="s">
        <v>10</v>
      </c>
      <c r="U25" s="2">
        <v>21</v>
      </c>
      <c r="V25" s="2">
        <f t="shared" si="7"/>
        <v>5.9222221374511719E-2</v>
      </c>
      <c r="W25" s="2">
        <f t="shared" si="0"/>
        <v>2.2339561673440089E-7</v>
      </c>
      <c r="X25" s="2">
        <f t="shared" si="8"/>
        <v>5.9222698211669922E-2</v>
      </c>
      <c r="Y25" s="2">
        <f t="shared" si="1"/>
        <v>-2.5416843445202897E-7</v>
      </c>
      <c r="Z25" s="2">
        <f t="shared" si="3"/>
        <v>5.922245979309082E-2</v>
      </c>
      <c r="AA25" s="2">
        <f t="shared" si="2"/>
        <v>-1.5386408154516307E-8</v>
      </c>
      <c r="AB25" s="2">
        <f t="shared" si="4"/>
        <v>-3.4372561390053853E-15</v>
      </c>
      <c r="AC25" s="2">
        <f t="shared" si="5"/>
        <v>3.9107392724733419E-15</v>
      </c>
      <c r="AD25" s="2">
        <f t="shared" si="6"/>
        <v>4.76837158203125E-7</v>
      </c>
      <c r="AF25" s="2">
        <v>21</v>
      </c>
      <c r="AG25" s="2">
        <f t="shared" si="13"/>
        <v>5641.0255432128906</v>
      </c>
      <c r="AH25" s="2">
        <v>-6.3209472500602715E-6</v>
      </c>
      <c r="AI25" s="2">
        <f t="shared" si="14"/>
        <v>5641.0346031188965</v>
      </c>
      <c r="AJ25" s="2">
        <v>3.3141169642476598E-3</v>
      </c>
      <c r="AK25" s="2">
        <f t="shared" si="9"/>
        <v>5641.0300731658936</v>
      </c>
      <c r="AL25" s="2">
        <v>1.653897539654281E-3</v>
      </c>
      <c r="AM25" s="2">
        <f t="shared" si="10"/>
        <v>-1.0454199105159176E-8</v>
      </c>
      <c r="AN25" s="2">
        <f t="shared" si="11"/>
        <v>5.481209893295719E-6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124.96721098651251</v>
      </c>
      <c r="L26" s="6" t="s">
        <v>7</v>
      </c>
      <c r="N26" s="6" t="s">
        <v>33</v>
      </c>
      <c r="O26" s="6">
        <f xml:space="preserve"> 1/$C$21 - O23 * SQRT( (2*$C$47*PI()*$C$9^2) / O18^3 )</f>
        <v>1.0431939773816639</v>
      </c>
      <c r="U26" s="2">
        <v>22</v>
      </c>
      <c r="V26" s="2">
        <f t="shared" si="7"/>
        <v>5.9222221374511719E-2</v>
      </c>
      <c r="W26" s="2">
        <f t="shared" si="0"/>
        <v>2.2339561673440089E-7</v>
      </c>
      <c r="X26" s="2">
        <f t="shared" si="8"/>
        <v>5.922245979309082E-2</v>
      </c>
      <c r="Y26" s="2">
        <f t="shared" si="1"/>
        <v>-1.5386408154516307E-8</v>
      </c>
      <c r="Z26" s="2">
        <f t="shared" si="3"/>
        <v>5.922234058380127E-2</v>
      </c>
      <c r="AA26" s="2">
        <f t="shared" si="2"/>
        <v>1.0400460447035353E-7</v>
      </c>
      <c r="AB26" s="2">
        <f t="shared" si="4"/>
        <v>2.3234172758872057E-14</v>
      </c>
      <c r="AC26" s="2">
        <f t="shared" si="5"/>
        <v>-1.6002572943298907E-15</v>
      </c>
      <c r="AD26" s="2">
        <f t="shared" si="6"/>
        <v>2.384185791015625E-7</v>
      </c>
      <c r="AF26" s="2">
        <v>22</v>
      </c>
      <c r="AG26" s="2">
        <f t="shared" si="13"/>
        <v>5641.0255432128906</v>
      </c>
      <c r="AH26" s="2">
        <v>-6.3209472500602715E-6</v>
      </c>
      <c r="AI26" s="2">
        <f t="shared" si="14"/>
        <v>5641.0300731658936</v>
      </c>
      <c r="AJ26" s="2">
        <v>1.653897539654281E-3</v>
      </c>
      <c r="AK26" s="2">
        <f t="shared" si="9"/>
        <v>5641.0278081893921</v>
      </c>
      <c r="AL26" s="2">
        <v>8.2378818387951469E-4</v>
      </c>
      <c r="AM26" s="2">
        <f t="shared" si="10"/>
        <v>-5.2071216555253636E-9</v>
      </c>
      <c r="AN26" s="2">
        <f t="shared" si="11"/>
        <v>1.3624612505145978E-6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-7.36523375599063E-3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5.922234058380127E-2</v>
      </c>
      <c r="W27" s="2">
        <f t="shared" si="0"/>
        <v>1.0400460447035353E-7</v>
      </c>
      <c r="X27" s="2">
        <f t="shared" si="8"/>
        <v>5.922245979309082E-2</v>
      </c>
      <c r="Y27" s="2">
        <f t="shared" si="1"/>
        <v>-1.5386408154516307E-8</v>
      </c>
      <c r="Z27" s="2">
        <f t="shared" si="3"/>
        <v>5.9222400188446045E-2</v>
      </c>
      <c r="AA27" s="2">
        <f t="shared" si="2"/>
        <v>4.4309098203021424E-8</v>
      </c>
      <c r="AB27" s="2">
        <f t="shared" si="4"/>
        <v>4.608350233043296E-15</v>
      </c>
      <c r="AC27" s="2">
        <f t="shared" si="5"/>
        <v>-6.817578699102327E-16</v>
      </c>
      <c r="AD27" s="2">
        <f t="shared" si="6"/>
        <v>1.1920928955078125E-7</v>
      </c>
      <c r="AF27" s="2">
        <v>23</v>
      </c>
      <c r="AG27" s="2">
        <f t="shared" si="13"/>
        <v>5641.0255432128906</v>
      </c>
      <c r="AH27" s="2">
        <v>-6.3209472500602715E-6</v>
      </c>
      <c r="AI27" s="2">
        <f t="shared" si="14"/>
        <v>5641.0278081893921</v>
      </c>
      <c r="AJ27" s="2">
        <v>8.2378818387951469E-4</v>
      </c>
      <c r="AK27" s="2">
        <f t="shared" si="9"/>
        <v>5641.0266757011414</v>
      </c>
      <c r="AL27" s="2">
        <v>3.9045116409397451E-4</v>
      </c>
      <c r="AM27" s="2">
        <f t="shared" si="10"/>
        <v>-2.46802121196264E-9</v>
      </c>
      <c r="AN27" s="2">
        <f t="shared" si="11"/>
        <v>3.2164905536261765E-7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13822.566573346616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1.1513263307436206</v>
      </c>
      <c r="U28" s="2">
        <v>24</v>
      </c>
      <c r="V28" s="2">
        <f t="shared" si="7"/>
        <v>5.9222400188446045E-2</v>
      </c>
      <c r="W28" s="2">
        <f t="shared" si="0"/>
        <v>4.4309098203021424E-8</v>
      </c>
      <c r="X28" s="2">
        <f t="shared" si="8"/>
        <v>5.922245979309082E-2</v>
      </c>
      <c r="Y28" s="2">
        <f t="shared" si="1"/>
        <v>-1.5386408154516307E-8</v>
      </c>
      <c r="Z28" s="2">
        <f t="shared" si="3"/>
        <v>5.9222429990768433E-2</v>
      </c>
      <c r="AA28" s="2">
        <f t="shared" si="2"/>
        <v>1.4461345038130347E-8</v>
      </c>
      <c r="AB28" s="2">
        <f t="shared" si="4"/>
        <v>6.4076915744229415E-16</v>
      </c>
      <c r="AC28" s="2">
        <f t="shared" si="5"/>
        <v>-2.2250815721996269E-16</v>
      </c>
      <c r="AD28" s="2">
        <f t="shared" si="6"/>
        <v>5.9604644775390625E-8</v>
      </c>
      <c r="AF28" s="2">
        <v>24</v>
      </c>
      <c r="AG28" s="2">
        <f t="shared" si="13"/>
        <v>5641.0255432128906</v>
      </c>
      <c r="AH28" s="2">
        <v>-6.3209472500602715E-6</v>
      </c>
      <c r="AI28" s="2">
        <f t="shared" si="14"/>
        <v>5641.0266757011414</v>
      </c>
      <c r="AJ28" s="2">
        <v>3.9045116409397451E-4</v>
      </c>
      <c r="AK28" s="2">
        <f t="shared" si="9"/>
        <v>5641.026109457016</v>
      </c>
      <c r="AL28" s="2">
        <v>1.7378267966705607E-4</v>
      </c>
      <c r="AM28" s="2">
        <f t="shared" si="10"/>
        <v>-1.0984711511495831E-9</v>
      </c>
      <c r="AN28" s="2">
        <f t="shared" si="11"/>
        <v>6.7853649575372319E-8</v>
      </c>
      <c r="AO28" s="2">
        <f t="shared" si="12"/>
        <v>1.1324882507324219E-3</v>
      </c>
    </row>
    <row r="29" spans="2:41" x14ac:dyDescent="0.2">
      <c r="B29" s="33" t="s">
        <v>108</v>
      </c>
      <c r="C29" s="33"/>
      <c r="D29" s="33"/>
      <c r="F29" t="s">
        <v>97</v>
      </c>
      <c r="G29" s="6">
        <f>G31/$C$18</f>
        <v>191.95288913765003</v>
      </c>
      <c r="H29" t="s">
        <v>18</v>
      </c>
      <c r="U29" s="2">
        <v>25</v>
      </c>
      <c r="V29" s="2">
        <f t="shared" si="7"/>
        <v>5.9222429990768433E-2</v>
      </c>
      <c r="W29" s="2">
        <f t="shared" si="0"/>
        <v>1.4461345038130347E-8</v>
      </c>
      <c r="X29" s="2">
        <f t="shared" si="8"/>
        <v>5.922245979309082E-2</v>
      </c>
      <c r="Y29" s="2">
        <f t="shared" si="1"/>
        <v>-1.5386408154516307E-8</v>
      </c>
      <c r="Z29" s="2">
        <f t="shared" si="3"/>
        <v>5.9222444891929626E-2</v>
      </c>
      <c r="AA29" s="2">
        <f t="shared" si="2"/>
        <v>-4.6253155472353313E-10</v>
      </c>
      <c r="AB29" s="2">
        <f t="shared" si="4"/>
        <v>-6.6888284038798811E-18</v>
      </c>
      <c r="AC29" s="2">
        <f t="shared" si="5"/>
        <v>7.1166992853192757E-18</v>
      </c>
      <c r="AD29" s="2">
        <f t="shared" si="6"/>
        <v>2.9802322387695312E-8</v>
      </c>
      <c r="AF29" s="2">
        <v>25</v>
      </c>
      <c r="AG29" s="2">
        <f t="shared" si="13"/>
        <v>5641.0255432128906</v>
      </c>
      <c r="AH29" s="2">
        <v>-6.3209472500602715E-6</v>
      </c>
      <c r="AI29" s="2">
        <f t="shared" si="14"/>
        <v>5641.026109457016</v>
      </c>
      <c r="AJ29" s="2">
        <v>1.7378267966705607E-4</v>
      </c>
      <c r="AK29" s="2">
        <f t="shared" si="9"/>
        <v>5641.0258263349533</v>
      </c>
      <c r="AL29" s="2">
        <v>8.3730866208497901E-5</v>
      </c>
      <c r="AM29" s="2">
        <f t="shared" si="10"/>
        <v>-5.2925838850576931E-10</v>
      </c>
      <c r="AN29" s="2">
        <f t="shared" si="11"/>
        <v>1.455097430055652E-8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7.3468620130953424</v>
      </c>
      <c r="H30" s="6" t="s">
        <v>147</v>
      </c>
      <c r="J30" s="30" t="s">
        <v>111</v>
      </c>
      <c r="K30" s="30"/>
      <c r="L30" s="30"/>
      <c r="U30" s="2">
        <v>26</v>
      </c>
      <c r="V30" s="2">
        <f t="shared" si="7"/>
        <v>5.9222429990768433E-2</v>
      </c>
      <c r="W30" s="2">
        <f t="shared" si="0"/>
        <v>1.4461345038130347E-8</v>
      </c>
      <c r="X30" s="2">
        <f t="shared" si="8"/>
        <v>5.9222444891929626E-2</v>
      </c>
      <c r="Y30" s="2">
        <f t="shared" si="1"/>
        <v>-4.6253155472353313E-10</v>
      </c>
      <c r="Z30" s="2">
        <f t="shared" si="3"/>
        <v>5.922243744134903E-2</v>
      </c>
      <c r="AA30" s="2">
        <f t="shared" si="2"/>
        <v>6.9994067417034067E-9</v>
      </c>
      <c r="AB30" s="2">
        <f t="shared" si="4"/>
        <v>1.0122083595398865E-16</v>
      </c>
      <c r="AC30" s="2">
        <f t="shared" si="5"/>
        <v>-3.2374464823824559E-18</v>
      </c>
      <c r="AD30" s="2">
        <f t="shared" si="6"/>
        <v>1.4901161193847656E-8</v>
      </c>
      <c r="AF30" s="2">
        <v>26</v>
      </c>
      <c r="AG30" s="2">
        <f t="shared" si="13"/>
        <v>5641.0255432128906</v>
      </c>
      <c r="AH30" s="2">
        <v>-6.3209472500602715E-6</v>
      </c>
      <c r="AI30" s="2">
        <f t="shared" si="14"/>
        <v>5641.0258263349533</v>
      </c>
      <c r="AJ30" s="2">
        <v>8.3730866208497901E-5</v>
      </c>
      <c r="AK30" s="2">
        <f t="shared" si="9"/>
        <v>5641.025684773922</v>
      </c>
      <c r="AL30" s="2">
        <v>2.0422539819264784E-5</v>
      </c>
      <c r="AM30" s="2">
        <f t="shared" si="10"/>
        <v>-1.2908979690982813E-10</v>
      </c>
      <c r="AN30" s="2">
        <f t="shared" si="11"/>
        <v>1.7099969492445806E-9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767.81155655060013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5.922243744134903E-2</v>
      </c>
      <c r="W31" s="2">
        <f t="shared" si="0"/>
        <v>6.9994067417034067E-9</v>
      </c>
      <c r="X31" s="2">
        <f t="shared" si="8"/>
        <v>5.9222444891929626E-2</v>
      </c>
      <c r="Y31" s="2">
        <f t="shared" si="1"/>
        <v>-4.6253155472353313E-10</v>
      </c>
      <c r="Z31" s="2">
        <f t="shared" si="3"/>
        <v>5.9222441166639328E-2</v>
      </c>
      <c r="AA31" s="2">
        <f t="shared" si="2"/>
        <v>3.2684375900204898E-9</v>
      </c>
      <c r="AB31" s="2">
        <f t="shared" si="4"/>
        <v>2.2877124102426252E-17</v>
      </c>
      <c r="AC31" s="2">
        <f t="shared" si="5"/>
        <v>-1.5117555200290149E-18</v>
      </c>
      <c r="AD31" s="2">
        <f t="shared" si="6"/>
        <v>7.4505805969238281E-9</v>
      </c>
      <c r="AF31" s="2">
        <v>27</v>
      </c>
      <c r="AG31" s="2">
        <f t="shared" si="13"/>
        <v>5641.0255432128906</v>
      </c>
      <c r="AH31" s="2">
        <v>-6.3209472500602715E-6</v>
      </c>
      <c r="AI31" s="2">
        <f t="shared" si="14"/>
        <v>5641.025684773922</v>
      </c>
      <c r="AJ31" s="2">
        <v>2.0422539819264784E-5</v>
      </c>
      <c r="AK31" s="2">
        <f t="shared" si="9"/>
        <v>5641.0256139934063</v>
      </c>
      <c r="AL31" s="2">
        <v>7.0508003773284145E-6</v>
      </c>
      <c r="AM31" s="2">
        <f t="shared" si="10"/>
        <v>-4.4567737255797966E-11</v>
      </c>
      <c r="AN31" s="2">
        <f t="shared" si="11"/>
        <v>1.4399525146367671E-10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3129.4</v>
      </c>
      <c r="L32" s="6" t="s">
        <v>7</v>
      </c>
      <c r="U32" s="2">
        <v>28</v>
      </c>
      <c r="V32" s="2">
        <f t="shared" si="7"/>
        <v>5.9222441166639328E-2</v>
      </c>
      <c r="W32" s="2">
        <f t="shared" si="0"/>
        <v>3.2684375900204898E-9</v>
      </c>
      <c r="X32" s="2">
        <f t="shared" si="8"/>
        <v>5.9222444891929626E-2</v>
      </c>
      <c r="Y32" s="2">
        <f t="shared" si="1"/>
        <v>-4.6253155472353313E-10</v>
      </c>
      <c r="Z32" s="2">
        <f t="shared" si="3"/>
        <v>5.9222443029284477E-2</v>
      </c>
      <c r="AA32" s="2">
        <f t="shared" si="2"/>
        <v>1.4029530176484784E-9</v>
      </c>
      <c r="AB32" s="2">
        <f t="shared" si="4"/>
        <v>4.5854643799149665E-18</v>
      </c>
      <c r="AC32" s="2">
        <f t="shared" si="5"/>
        <v>-6.4891004045702311E-19</v>
      </c>
      <c r="AD32" s="2">
        <f t="shared" si="6"/>
        <v>3.7252902984619141E-9</v>
      </c>
      <c r="AF32" s="2">
        <v>28</v>
      </c>
      <c r="AG32" s="2">
        <f t="shared" si="13"/>
        <v>5641.0255432128906</v>
      </c>
      <c r="AH32" s="2">
        <v>-6.3209472500602715E-6</v>
      </c>
      <c r="AI32" s="2">
        <f t="shared" si="14"/>
        <v>5641.0256139934063</v>
      </c>
      <c r="AJ32" s="2">
        <v>7.0508003773284145E-6</v>
      </c>
      <c r="AK32" s="2">
        <f t="shared" si="9"/>
        <v>5641.0255786031485</v>
      </c>
      <c r="AL32" s="2">
        <v>3.6492747312877327E-7</v>
      </c>
      <c r="AM32" s="2">
        <f t="shared" si="10"/>
        <v>-2.306687307744763E-12</v>
      </c>
      <c r="AN32" s="2">
        <f t="shared" si="11"/>
        <v>2.5730307652338594E-12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4"/>
      <c r="H33" s="34"/>
      <c r="J33" s="19" t="s">
        <v>78</v>
      </c>
      <c r="K33" s="6">
        <f>ROUND(SUM(K14:K17),2)</f>
        <v>1344.97</v>
      </c>
      <c r="L33" s="6" t="s">
        <v>7</v>
      </c>
      <c r="U33" s="2">
        <v>29</v>
      </c>
      <c r="V33" s="2">
        <f t="shared" si="7"/>
        <v>5.9222443029284477E-2</v>
      </c>
      <c r="W33" s="2">
        <f t="shared" si="0"/>
        <v>1.4029530176484784E-9</v>
      </c>
      <c r="X33" s="2">
        <f t="shared" si="8"/>
        <v>5.9222444891929626E-2</v>
      </c>
      <c r="Y33" s="2">
        <f t="shared" si="1"/>
        <v>-4.6253155472353313E-10</v>
      </c>
      <c r="Z33" s="2">
        <f t="shared" si="3"/>
        <v>5.9222443960607052E-2</v>
      </c>
      <c r="AA33" s="2">
        <f t="shared" si="2"/>
        <v>4.7021073146247261E-10</v>
      </c>
      <c r="AB33" s="2">
        <f t="shared" si="4"/>
        <v>6.5968356463597425E-19</v>
      </c>
      <c r="AC33" s="2">
        <f t="shared" si="5"/>
        <v>-2.1748730067102719E-19</v>
      </c>
      <c r="AD33" s="2">
        <f t="shared" si="6"/>
        <v>1.862645149230957E-9</v>
      </c>
      <c r="AF33" s="2">
        <v>29</v>
      </c>
      <c r="AG33" s="2">
        <f t="shared" si="13"/>
        <v>5641.0255432128906</v>
      </c>
      <c r="AH33" s="2">
        <v>-6.3209472500602715E-6</v>
      </c>
      <c r="AI33" s="2">
        <f t="shared" si="14"/>
        <v>5641.0255786031485</v>
      </c>
      <c r="AJ33" s="2">
        <v>3.6492747312877327E-7</v>
      </c>
      <c r="AK33" s="2">
        <f t="shared" si="9"/>
        <v>5641.0255609080195</v>
      </c>
      <c r="AL33" s="2">
        <v>-2.9780112527078018E-6</v>
      </c>
      <c r="AM33" s="2">
        <f t="shared" si="10"/>
        <v>1.8823852038451924E-11</v>
      </c>
      <c r="AN33" s="2">
        <f t="shared" si="11"/>
        <v>-1.0867581213997108E-12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273.2</v>
      </c>
      <c r="L34" s="6" t="s">
        <v>7</v>
      </c>
      <c r="U34" s="2">
        <v>30</v>
      </c>
      <c r="V34" s="2">
        <f t="shared" si="7"/>
        <v>5.9222443960607052E-2</v>
      </c>
      <c r="W34" s="2">
        <f t="shared" si="0"/>
        <v>4.7021073146247261E-10</v>
      </c>
      <c r="X34" s="2">
        <f t="shared" si="8"/>
        <v>5.9222444891929626E-2</v>
      </c>
      <c r="Y34" s="2">
        <f t="shared" si="1"/>
        <v>-4.6253155472353313E-10</v>
      </c>
      <c r="Z34" s="2">
        <f t="shared" si="3"/>
        <v>5.9222444426268339E-2</v>
      </c>
      <c r="AA34" s="2">
        <f t="shared" si="2"/>
        <v>3.8395883694697375E-12</v>
      </c>
      <c r="AB34" s="2">
        <f t="shared" si="4"/>
        <v>1.8054156557231678E-21</v>
      </c>
      <c r="AC34" s="2">
        <f t="shared" si="5"/>
        <v>-1.7759307780292332E-21</v>
      </c>
      <c r="AD34" s="2">
        <f>X34-V34</f>
        <v>9.3132257461547852E-10</v>
      </c>
      <c r="AF34" s="2">
        <v>30</v>
      </c>
      <c r="AG34" s="2">
        <f t="shared" si="13"/>
        <v>5641.0255609080195</v>
      </c>
      <c r="AH34" s="2">
        <v>-2.9780112527078018E-6</v>
      </c>
      <c r="AI34" s="2">
        <f t="shared" si="14"/>
        <v>5641.0255786031485</v>
      </c>
      <c r="AJ34" s="2">
        <v>3.6492747312877327E-7</v>
      </c>
      <c r="AK34" s="2">
        <f t="shared" si="9"/>
        <v>5641.025569755584</v>
      </c>
      <c r="AL34" s="2">
        <v>-1.3065418897895142E-6</v>
      </c>
      <c r="AM34" s="2">
        <f t="shared" si="10"/>
        <v>3.89089644992729E-12</v>
      </c>
      <c r="AN34" s="2">
        <f t="shared" si="11"/>
        <v>-4.7679303037777961E-13</v>
      </c>
      <c r="AO34" s="2">
        <f t="shared" si="12"/>
        <v>1.7695128917694092E-5</v>
      </c>
    </row>
    <row r="35" spans="2:41" x14ac:dyDescent="0.2">
      <c r="B35" s="30" t="s">
        <v>2</v>
      </c>
      <c r="C35" s="30"/>
      <c r="D35" s="30"/>
      <c r="F35" s="26" t="s">
        <v>132</v>
      </c>
      <c r="G35" s="25">
        <f xml:space="preserve"> G22</f>
        <v>712.93557236827792</v>
      </c>
      <c r="H35" s="25" t="s">
        <v>101</v>
      </c>
      <c r="J35" s="15" t="s">
        <v>70</v>
      </c>
      <c r="K35" s="6">
        <f>ROUND(SUM(K23:K26),2)</f>
        <v>293.45</v>
      </c>
      <c r="L35" s="6" t="s">
        <v>7</v>
      </c>
      <c r="AF35" s="2">
        <v>31</v>
      </c>
      <c r="AG35" s="2">
        <f t="shared" si="13"/>
        <v>5641.025569755584</v>
      </c>
      <c r="AH35" s="2">
        <v>-1.3065418897895142E-6</v>
      </c>
      <c r="AI35" s="2">
        <f t="shared" si="14"/>
        <v>5641.0255786031485</v>
      </c>
      <c r="AJ35" s="2">
        <v>3.6492747312877327E-7</v>
      </c>
      <c r="AK35" s="2">
        <f t="shared" si="9"/>
        <v>5641.0255741793662</v>
      </c>
      <c r="AL35" s="2">
        <v>-4.7080811782507226E-7</v>
      </c>
      <c r="AM35" s="2">
        <f t="shared" si="10"/>
        <v>6.151305279914142E-13</v>
      </c>
      <c r="AN35" s="2">
        <f t="shared" si="11"/>
        <v>-1.7181081676641738E-13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5641.0199999999995</v>
      </c>
      <c r="L36" s="6" t="s">
        <v>7</v>
      </c>
      <c r="AF36" s="2">
        <v>32</v>
      </c>
      <c r="AG36" s="2">
        <f t="shared" si="13"/>
        <v>5641.0255741793662</v>
      </c>
      <c r="AH36" s="2">
        <v>-4.7080811782507226E-7</v>
      </c>
      <c r="AI36" s="2">
        <f t="shared" si="14"/>
        <v>5641.0255786031485</v>
      </c>
      <c r="AJ36" s="2">
        <v>3.6492747312877327E-7</v>
      </c>
      <c r="AK36" s="2">
        <f t="shared" si="9"/>
        <v>5641.0255763912573</v>
      </c>
      <c r="AL36" s="2">
        <v>-5.294077709550038E-8</v>
      </c>
      <c r="AM36" s="2">
        <f t="shared" si="10"/>
        <v>2.492494762052923E-14</v>
      </c>
      <c r="AN36" s="2">
        <f t="shared" si="11"/>
        <v>-1.931954401093459E-14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5641.0255763912573</v>
      </c>
      <c r="AH37" s="2">
        <v>-5.294077709550038E-8</v>
      </c>
      <c r="AI37" s="2">
        <f t="shared" si="14"/>
        <v>5641.0255786031485</v>
      </c>
      <c r="AJ37" s="2">
        <v>3.6492747312877327E-7</v>
      </c>
      <c r="AK37" s="2">
        <f t="shared" si="9"/>
        <v>5641.0255774972029</v>
      </c>
      <c r="AL37" s="2">
        <v>1.5599107427988201E-7</v>
      </c>
      <c r="AM37" s="2">
        <f t="shared" si="10"/>
        <v>-8.2582886923388761E-15</v>
      </c>
      <c r="AN37" s="2">
        <f t="shared" si="11"/>
        <v>5.6925428567600119E-14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0" t="s">
        <v>56</v>
      </c>
      <c r="K38" s="30"/>
      <c r="L38" s="30"/>
      <c r="AF38" s="2">
        <v>34</v>
      </c>
      <c r="AG38" s="2">
        <f t="shared" si="13"/>
        <v>5641.0255763912573</v>
      </c>
      <c r="AH38" s="2">
        <v>-5.294077709550038E-8</v>
      </c>
      <c r="AI38" s="2">
        <f t="shared" si="14"/>
        <v>5641.0255774972029</v>
      </c>
      <c r="AJ38" s="2">
        <v>1.5599107427988201E-7</v>
      </c>
      <c r="AK38" s="2">
        <f t="shared" si="9"/>
        <v>5641.0255769442301</v>
      </c>
      <c r="AL38" s="2">
        <v>5.1523784350138158E-8</v>
      </c>
      <c r="AM38" s="2">
        <f t="shared" si="10"/>
        <v>-2.7277091823972951E-15</v>
      </c>
      <c r="AN38" s="2">
        <f t="shared" si="11"/>
        <v>8.0372504717430238E-15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10.64</v>
      </c>
      <c r="L39" s="6" t="s">
        <v>58</v>
      </c>
      <c r="AF39" s="2">
        <v>35</v>
      </c>
      <c r="AG39" s="2">
        <f t="shared" si="13"/>
        <v>5641.0255763912573</v>
      </c>
      <c r="AH39" s="2">
        <v>-5.294077709550038E-8</v>
      </c>
      <c r="AI39" s="2">
        <f t="shared" si="14"/>
        <v>5641.0255769442301</v>
      </c>
      <c r="AJ39" s="2">
        <v>5.1523784350138158E-8</v>
      </c>
      <c r="AK39" s="2">
        <f t="shared" si="9"/>
        <v>5641.0255766677437</v>
      </c>
      <c r="AL39" s="2">
        <v>-7.0758687797933817E-10</v>
      </c>
      <c r="AM39" s="2">
        <f t="shared" si="10"/>
        <v>3.7460199182805168E-17</v>
      </c>
      <c r="AN39" s="2">
        <f t="shared" si="11"/>
        <v>-3.6457553709994942E-17</v>
      </c>
      <c r="AO39" s="2">
        <f t="shared" si="12"/>
        <v>5.5297277867794037E-7</v>
      </c>
    </row>
    <row r="40" spans="2:41" x14ac:dyDescent="0.2">
      <c r="B40" s="30" t="s">
        <v>144</v>
      </c>
      <c r="C40" s="31"/>
      <c r="D40" s="31"/>
      <c r="J40" s="11" t="s">
        <v>52</v>
      </c>
      <c r="K40" s="6">
        <f>ROUND(K13/$C$5 * 100, 2)</f>
        <v>55.48</v>
      </c>
      <c r="L40" s="6" t="s">
        <v>58</v>
      </c>
      <c r="AF40" s="2">
        <v>36</v>
      </c>
      <c r="AG40" s="2">
        <f t="shared" si="13"/>
        <v>5641.0255766677437</v>
      </c>
      <c r="AH40" s="2">
        <v>-7.0758687797933817E-10</v>
      </c>
      <c r="AI40" s="2">
        <f t="shared" si="14"/>
        <v>5641.0255769442301</v>
      </c>
      <c r="AJ40" s="2">
        <v>5.1523784350138158E-8</v>
      </c>
      <c r="AK40" s="2">
        <f t="shared" si="9"/>
        <v>5641.0255768059869</v>
      </c>
      <c r="AL40" s="2">
        <v>2.5410372472833842E-8</v>
      </c>
      <c r="AM40" s="2">
        <f t="shared" si="10"/>
        <v>-1.7980046126344613E-17</v>
      </c>
      <c r="AN40" s="2">
        <f t="shared" si="11"/>
        <v>1.3092385515469777E-15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23.84</v>
      </c>
      <c r="L41" s="6" t="s">
        <v>58</v>
      </c>
      <c r="AF41" s="2">
        <v>37</v>
      </c>
      <c r="AG41" s="2">
        <f t="shared" si="13"/>
        <v>5641.0255766677437</v>
      </c>
      <c r="AH41" s="2">
        <v>-7.0758687797933817E-10</v>
      </c>
      <c r="AI41" s="2">
        <f t="shared" si="14"/>
        <v>5641.0255768059869</v>
      </c>
      <c r="AJ41" s="2">
        <v>2.5410372472833842E-8</v>
      </c>
      <c r="AK41" s="2">
        <f t="shared" si="9"/>
        <v>5641.0255767368653</v>
      </c>
      <c r="AL41" s="2">
        <v>1.2350028555374593E-8</v>
      </c>
      <c r="AM41" s="2">
        <f t="shared" si="10"/>
        <v>-8.7387181484531839E-18</v>
      </c>
      <c r="AN41" s="2">
        <f t="shared" si="11"/>
        <v>3.1381882564220245E-16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4.84</v>
      </c>
      <c r="L42" s="6" t="s">
        <v>58</v>
      </c>
      <c r="AF42" s="2">
        <v>38</v>
      </c>
      <c r="AG42" s="2">
        <f t="shared" si="13"/>
        <v>5641.0255766677437</v>
      </c>
      <c r="AH42" s="2">
        <v>-7.0758687797933817E-10</v>
      </c>
      <c r="AI42" s="2">
        <f t="shared" si="14"/>
        <v>5641.0255767368653</v>
      </c>
      <c r="AJ42" s="2">
        <v>1.2350028555374593E-8</v>
      </c>
      <c r="AK42" s="2">
        <f t="shared" si="9"/>
        <v>5641.0255767023045</v>
      </c>
      <c r="AL42" s="2">
        <v>5.8225850807502866E-9</v>
      </c>
      <c r="AM42" s="2">
        <f t="shared" si="10"/>
        <v>-4.1199847990571679E-18</v>
      </c>
      <c r="AN42" s="2">
        <f t="shared" si="11"/>
        <v>7.1909092013364117E-17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5641.0255766677437</v>
      </c>
      <c r="AH43" s="2">
        <v>-7.0758687797933817E-10</v>
      </c>
      <c r="AI43" s="2">
        <f t="shared" si="14"/>
        <v>5641.0255767023045</v>
      </c>
      <c r="AJ43" s="2">
        <v>5.8225850807502866E-9</v>
      </c>
      <c r="AK43" s="2">
        <f t="shared" si="9"/>
        <v>5641.0255766850241</v>
      </c>
      <c r="AL43" s="2">
        <v>2.5565896066837013E-9</v>
      </c>
      <c r="AM43" s="2">
        <f t="shared" si="10"/>
        <v>-1.8090092580677443E-18</v>
      </c>
      <c r="AN43" s="2">
        <f t="shared" si="11"/>
        <v>1.4885960501477762E-17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100.00000000000001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5641.0255766677437</v>
      </c>
      <c r="AH44" s="2">
        <v>-7.0758687797933817E-10</v>
      </c>
      <c r="AI44" s="2">
        <f t="shared" si="14"/>
        <v>5641.0255766850241</v>
      </c>
      <c r="AJ44" s="2">
        <v>2.5565896066837013E-9</v>
      </c>
      <c r="AK44" s="5">
        <f>(AG44+AI44)/2</f>
        <v>5641.0255766763839</v>
      </c>
      <c r="AL44" s="2">
        <v>9.2495611170306802E-10</v>
      </c>
      <c r="AM44" s="2">
        <f t="shared" si="10"/>
        <v>-6.5448680734788188E-19</v>
      </c>
      <c r="AN44" s="2">
        <f t="shared" si="11"/>
        <v>2.3647331818186323E-18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0" t="s">
        <v>145</v>
      </c>
      <c r="C46" s="31"/>
      <c r="D46" s="31"/>
      <c r="J46" s="30" t="s">
        <v>56</v>
      </c>
      <c r="K46" s="30"/>
      <c r="L46" s="30"/>
      <c r="N46" s="6" t="s">
        <v>153</v>
      </c>
      <c r="O46" s="6">
        <f>G12*1000/O45</f>
        <v>6900.3497652166825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10.64</v>
      </c>
      <c r="L47" s="6" t="s">
        <v>58</v>
      </c>
      <c r="N47" s="6" t="s">
        <v>154</v>
      </c>
      <c r="O47" s="6">
        <f>0.377*O46^0.6945</f>
        <v>174.75810731249831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55.48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33.89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100.01</v>
      </c>
      <c r="L50" s="10" t="s">
        <v>58</v>
      </c>
    </row>
    <row r="52" spans="2:12" x14ac:dyDescent="0.2">
      <c r="B52" s="30" t="s">
        <v>71</v>
      </c>
      <c r="C52" s="30"/>
      <c r="D52" s="30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N12:P12"/>
    <mergeCell ref="F14:H14"/>
    <mergeCell ref="N16:P16"/>
    <mergeCell ref="B17:D17"/>
    <mergeCell ref="B24:D24"/>
    <mergeCell ref="F24:H24"/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3698-4BD1-224F-813F-4E4531A991C5}">
  <dimension ref="B1:AO81"/>
  <sheetViews>
    <sheetView zoomScale="88" workbookViewId="0">
      <selection activeCell="E7" sqref="E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6" t="s">
        <v>0</v>
      </c>
      <c r="C1" s="36"/>
      <c r="D1" s="36"/>
    </row>
    <row r="2" spans="2:41" x14ac:dyDescent="0.2">
      <c r="U2" s="16" t="s">
        <v>93</v>
      </c>
      <c r="AF2" s="29" t="s">
        <v>160</v>
      </c>
    </row>
    <row r="3" spans="2:41" x14ac:dyDescent="0.2">
      <c r="B3" s="30" t="s">
        <v>118</v>
      </c>
      <c r="C3" s="31"/>
      <c r="D3" s="31"/>
      <c r="F3" s="32" t="s">
        <v>80</v>
      </c>
      <c r="G3" s="34"/>
      <c r="H3" s="34"/>
      <c r="J3" s="30" t="s">
        <v>98</v>
      </c>
      <c r="K3" s="30"/>
      <c r="L3" s="30"/>
      <c r="N3" s="30" t="s">
        <v>92</v>
      </c>
      <c r="O3" s="30"/>
      <c r="P3" s="30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3" t="s">
        <v>161</v>
      </c>
      <c r="F4" s="6" t="s">
        <v>84</v>
      </c>
      <c r="G4" s="17">
        <f>500*0.3048/60</f>
        <v>2.54</v>
      </c>
      <c r="H4" s="6" t="s">
        <v>10</v>
      </c>
      <c r="J4" s="6" t="s">
        <v>99</v>
      </c>
      <c r="K4" s="6">
        <f>(1+$C$25/100)*MAX(G10,G29)</f>
        <v>375.58011004792104</v>
      </c>
      <c r="L4" s="6" t="s">
        <v>101</v>
      </c>
      <c r="N4" s="6" t="s">
        <v>162</v>
      </c>
      <c r="O4" s="6">
        <f xml:space="preserve"> $C$5 * $C$74</f>
        <v>17611.816327014338</v>
      </c>
      <c r="P4" s="6" t="s">
        <v>20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1.2130132997585192</v>
      </c>
      <c r="X4" s="3">
        <v>1</v>
      </c>
      <c r="Y4" s="2">
        <f t="shared" ref="Y4:Y34" si="1" xml:space="preserve"> $O$22 * TAN($O$19/180*PI()) + $O$23 / (2 * SQRT($O$22^2 + X4^2)) - X4</f>
        <v>-2.6997072867464889E-2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0.49426882754171697</v>
      </c>
      <c r="AB4" s="2">
        <f>W4*AA4</f>
        <v>0.59955466146415259</v>
      </c>
      <c r="AC4" s="2">
        <f>Y4*AA4</f>
        <v>-1.3343811553260169E-2</v>
      </c>
      <c r="AD4" s="2">
        <f>X4-V4</f>
        <v>1</v>
      </c>
      <c r="AF4" s="2">
        <v>0</v>
      </c>
      <c r="AH4" s="2">
        <f>K30</f>
        <v>-9.3684948822101433E-3</v>
      </c>
      <c r="AJ4" s="2">
        <f>K30</f>
        <v>-9.3684948822101433E-3</v>
      </c>
      <c r="AL4" s="2">
        <f>K30</f>
        <v>-9.3684948822101433E-3</v>
      </c>
    </row>
    <row r="5" spans="2:41" x14ac:dyDescent="0.2">
      <c r="B5" s="10" t="s">
        <v>37</v>
      </c>
      <c r="C5" s="10">
        <v>1797.0225896904899</v>
      </c>
      <c r="D5" s="10" t="s">
        <v>7</v>
      </c>
      <c r="F5" s="6" t="s">
        <v>87</v>
      </c>
      <c r="G5" s="17">
        <f>1000*0.3048</f>
        <v>304.8</v>
      </c>
      <c r="H5" s="6" t="s">
        <v>8</v>
      </c>
      <c r="J5" s="6" t="s">
        <v>100</v>
      </c>
      <c r="K5" s="6">
        <f>K4/$C$21</f>
        <v>46.94751375599013</v>
      </c>
      <c r="L5" s="6" t="s">
        <v>101</v>
      </c>
      <c r="N5" s="6" t="s">
        <v>22</v>
      </c>
      <c r="O5" s="6">
        <f xml:space="preserve"> 0.5 * $C$71 * $C$7^2</f>
        <v>852.48895891160703</v>
      </c>
      <c r="P5" s="6" t="s">
        <v>23</v>
      </c>
      <c r="U5" s="2">
        <v>1</v>
      </c>
      <c r="V5" s="2">
        <f>IF(AB4&gt;0, Z4, V4)</f>
        <v>0.5</v>
      </c>
      <c r="W5" s="2">
        <f t="shared" si="0"/>
        <v>0.49426882754171697</v>
      </c>
      <c r="X5" s="2">
        <f>IF(AC4&gt;0, Z4, X4)</f>
        <v>1</v>
      </c>
      <c r="Y5" s="2">
        <f t="shared" si="1"/>
        <v>-2.6997072867464889E-2</v>
      </c>
      <c r="Z5" s="2">
        <f t="shared" ref="Z5:Z34" si="3" xml:space="preserve"> (V5 + X5)/2</f>
        <v>0.75</v>
      </c>
      <c r="AA5" s="2">
        <f t="shared" si="2"/>
        <v>0.23016149579521283</v>
      </c>
      <c r="AB5" s="2">
        <f t="shared" ref="AB5:AB34" si="4">W5*AA5</f>
        <v>0.11376165267194767</v>
      </c>
      <c r="AC5" s="2">
        <f t="shared" ref="AC5:AC34" si="5">Y5*AA5</f>
        <v>-6.2136866732680745E-3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-621.89051739735658</v>
      </c>
      <c r="AI5" s="3">
        <v>10000</v>
      </c>
      <c r="AJ5" s="2">
        <f t="dataTable" ref="AJ5:AJ44" dt2D="0" dtr="0" r1="C5"/>
        <v>2057.0842928129059</v>
      </c>
      <c r="AK5" s="2">
        <f>(AG5+AI5)/2</f>
        <v>5250</v>
      </c>
      <c r="AL5" s="2">
        <f t="dataTable" ref="AL5:AL44" dt2D="0" dtr="0" r1="C5" ca="1"/>
        <v>1536.54946922421</v>
      </c>
      <c r="AM5" s="2">
        <f>AH5*AL5</f>
        <v>-955565.5444224776</v>
      </c>
      <c r="AN5" s="2">
        <f>AJ5*AL5</f>
        <v>3160811.7782711303</v>
      </c>
      <c r="AO5" s="2">
        <f>AI5-AG5</f>
        <v>9500</v>
      </c>
    </row>
    <row r="6" spans="2:41" x14ac:dyDescent="0.2">
      <c r="B6" s="6" t="s">
        <v>163</v>
      </c>
      <c r="C6" s="17">
        <v>195.79092150906399</v>
      </c>
      <c r="D6" s="6" t="s">
        <v>125</v>
      </c>
      <c r="F6" s="6" t="s">
        <v>88</v>
      </c>
      <c r="G6" s="6">
        <f xml:space="preserve"> $G$5/$G$4</f>
        <v>120</v>
      </c>
      <c r="H6" s="6" t="s">
        <v>13</v>
      </c>
      <c r="J6" s="6" t="s">
        <v>164</v>
      </c>
      <c r="K6" s="6">
        <f>(1+$C$32/100)*MAX(G20)</f>
        <v>72.903629402251028</v>
      </c>
      <c r="L6" s="6" t="s">
        <v>101</v>
      </c>
      <c r="N6" s="6" t="s">
        <v>114</v>
      </c>
      <c r="O6" s="6">
        <f xml:space="preserve"> ($C$21+$C$28) * 0.4 * ($C$5/($C$21+$C$28) *2.20462/1000)^(2/3) * 0.3048^2</f>
        <v>0.19353622814732349</v>
      </c>
      <c r="P6" s="6" t="s">
        <v>115</v>
      </c>
      <c r="U6" s="2">
        <v>2</v>
      </c>
      <c r="V6" s="2">
        <f t="shared" ref="V6:V34" si="7">IF(AB5&gt;0, Z5, V5)</f>
        <v>0.75</v>
      </c>
      <c r="W6" s="2">
        <f t="shared" si="0"/>
        <v>0.23016149579521283</v>
      </c>
      <c r="X6" s="2">
        <f t="shared" ref="X6:X34" si="8">IF(AC5&gt;0, Z5, X5)</f>
        <v>1</v>
      </c>
      <c r="Y6" s="2">
        <f t="shared" si="1"/>
        <v>-2.6997072867464889E-2</v>
      </c>
      <c r="Z6" s="2">
        <f t="shared" si="3"/>
        <v>0.875</v>
      </c>
      <c r="AA6" s="2">
        <f t="shared" si="2"/>
        <v>0.10107785617446041</v>
      </c>
      <c r="AB6" s="2">
        <f t="shared" si="4"/>
        <v>2.3264230568887198E-2</v>
      </c>
      <c r="AC6" s="2">
        <f t="shared" si="5"/>
        <v>-2.7288062484290437E-3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-621.89051739735658</v>
      </c>
      <c r="AI6" s="2">
        <f>IF(AN5&gt;0,AK5,AI5)</f>
        <v>5250</v>
      </c>
      <c r="AJ6" s="2">
        <v>1536.54946922421</v>
      </c>
      <c r="AK6" s="2">
        <f t="shared" ref="AK6:AK44" si="9">(AG6+AI6)/2</f>
        <v>2875</v>
      </c>
      <c r="AL6" s="2">
        <v>323.59166515955371</v>
      </c>
      <c r="AM6" s="2">
        <f t="shared" ref="AM6:AM44" si="10">AH6*AL6</f>
        <v>-201238.58807154701</v>
      </c>
      <c r="AN6" s="2">
        <f t="shared" ref="AN6:AN44" si="11">AJ6*AL6</f>
        <v>497214.60134629055</v>
      </c>
      <c r="AO6" s="2">
        <f t="shared" ref="AO6:AO44" si="12">AI6-AG6</f>
        <v>4750</v>
      </c>
    </row>
    <row r="7" spans="2:41" x14ac:dyDescent="0.2">
      <c r="B7" s="6" t="s">
        <v>9</v>
      </c>
      <c r="C7" s="17">
        <f>148.017936660853 * 1000/3600</f>
        <v>41.116093516903604</v>
      </c>
      <c r="D7" s="6" t="s">
        <v>10</v>
      </c>
      <c r="F7" s="6" t="s">
        <v>19</v>
      </c>
      <c r="G7" s="6">
        <f xml:space="preserve"> $C$5 * $C$68 / $C$21</f>
        <v>2201.6876356746079</v>
      </c>
      <c r="H7" s="6" t="s">
        <v>20</v>
      </c>
      <c r="J7" s="6" t="s">
        <v>165</v>
      </c>
      <c r="K7" s="6">
        <f>K6/$C$28</f>
        <v>72.903629402251028</v>
      </c>
      <c r="L7" s="6" t="s">
        <v>101</v>
      </c>
      <c r="N7" s="6" t="s">
        <v>166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0.10107785617446041</v>
      </c>
      <c r="X7" s="2">
        <f t="shared" si="8"/>
        <v>1</v>
      </c>
      <c r="Y7" s="2">
        <f t="shared" si="1"/>
        <v>-2.6997072867464889E-2</v>
      </c>
      <c r="Z7" s="2">
        <f t="shared" si="3"/>
        <v>0.9375</v>
      </c>
      <c r="AA7" s="2">
        <f t="shared" si="2"/>
        <v>3.6939099782379081E-2</v>
      </c>
      <c r="AB7" s="2">
        <f t="shared" si="4"/>
        <v>3.7337250150173548E-3</v>
      </c>
      <c r="AC7" s="2">
        <f t="shared" si="5"/>
        <v>-9.972475684834445E-4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-621.89051739735658</v>
      </c>
      <c r="AI7" s="2">
        <f t="shared" ref="AI7:AI44" si="14">IF(AN6&gt;0,AK6,AI6)</f>
        <v>2875</v>
      </c>
      <c r="AJ7" s="2">
        <v>323.59166515955371</v>
      </c>
      <c r="AK7" s="2">
        <f t="shared" si="9"/>
        <v>1687.5</v>
      </c>
      <c r="AL7" s="2">
        <v>-43.33608348190387</v>
      </c>
      <c r="AM7" s="2">
        <f t="shared" si="10"/>
        <v>26950.299378536234</v>
      </c>
      <c r="AN7" s="2">
        <f t="shared" si="11"/>
        <v>-14023.195415402704</v>
      </c>
      <c r="AO7" s="2">
        <f t="shared" si="12"/>
        <v>2375</v>
      </c>
    </row>
    <row r="8" spans="2:41" x14ac:dyDescent="0.2">
      <c r="B8" s="6" t="s">
        <v>95</v>
      </c>
      <c r="C8" s="17">
        <v>1.9728085502336199</v>
      </c>
      <c r="D8" s="6" t="s">
        <v>8</v>
      </c>
      <c r="F8" t="s">
        <v>97</v>
      </c>
      <c r="G8" s="6">
        <f>G10/$C$21</f>
        <v>31.298342503993421</v>
      </c>
      <c r="H8" s="6" t="s">
        <v>18</v>
      </c>
      <c r="N8" s="6" t="s">
        <v>167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3.6939099782379081E-2</v>
      </c>
      <c r="X8" s="2">
        <f t="shared" si="8"/>
        <v>1</v>
      </c>
      <c r="Y8" s="2">
        <f t="shared" si="1"/>
        <v>-2.6997072867464889E-2</v>
      </c>
      <c r="Z8" s="2">
        <f t="shared" si="3"/>
        <v>0.96875</v>
      </c>
      <c r="AA8" s="2">
        <f t="shared" si="2"/>
        <v>4.9481041368919509E-3</v>
      </c>
      <c r="AB8" s="2">
        <f t="shared" si="4"/>
        <v>1.8277851244625449E-4</v>
      </c>
      <c r="AC8" s="2">
        <f t="shared" si="5"/>
        <v>-1.3358432793947645E-4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-43.33608348190387</v>
      </c>
      <c r="AI8" s="2">
        <f t="shared" si="14"/>
        <v>2875</v>
      </c>
      <c r="AJ8" s="2">
        <v>323.59166515955371</v>
      </c>
      <c r="AK8" s="2">
        <f t="shared" si="9"/>
        <v>2281.25</v>
      </c>
      <c r="AL8" s="2">
        <v>168.86153197976591</v>
      </c>
      <c r="AM8" s="2">
        <f t="shared" si="10"/>
        <v>-7317.7974467573158</v>
      </c>
      <c r="AN8" s="2">
        <f t="shared" si="11"/>
        <v>54642.18431472568</v>
      </c>
      <c r="AO8" s="2">
        <f t="shared" si="12"/>
        <v>1187.5</v>
      </c>
    </row>
    <row r="9" spans="2:41" x14ac:dyDescent="0.2">
      <c r="B9" s="6" t="s">
        <v>131</v>
      </c>
      <c r="C9" s="17">
        <f>(0.548288+0.530863+0.513438+0.496013+0.478588+0.461163+0.443738+0.426313)/8</f>
        <v>0.48730050000000003</v>
      </c>
      <c r="D9" s="6" t="s">
        <v>8</v>
      </c>
      <c r="F9" t="s">
        <v>146</v>
      </c>
      <c r="G9" s="6">
        <f xml:space="preserve"> (G7/$C$68*1000) / (G8*1000)</f>
        <v>7.1769878447285338</v>
      </c>
      <c r="H9" s="6" t="s">
        <v>147</v>
      </c>
      <c r="J9" s="30" t="s">
        <v>21</v>
      </c>
      <c r="K9" s="30"/>
      <c r="L9" s="30"/>
      <c r="N9" s="6" t="s">
        <v>168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4.9481041368919509E-3</v>
      </c>
      <c r="X9" s="2">
        <f t="shared" si="8"/>
        <v>1</v>
      </c>
      <c r="Y9" s="2">
        <f t="shared" si="1"/>
        <v>-2.6997072867464889E-2</v>
      </c>
      <c r="Z9" s="2">
        <f t="shared" si="3"/>
        <v>0.984375</v>
      </c>
      <c r="AA9" s="2">
        <f t="shared" si="2"/>
        <v>-1.1029942893032607E-2</v>
      </c>
      <c r="AB9" s="2">
        <f t="shared" si="4"/>
        <v>-5.4577306058696618E-5</v>
      </c>
      <c r="AC9" s="2">
        <f t="shared" si="5"/>
        <v>2.9777617200717779E-4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-43.33608348190387</v>
      </c>
      <c r="AI9" s="2">
        <f t="shared" si="14"/>
        <v>2281.25</v>
      </c>
      <c r="AJ9" s="2">
        <v>168.86153197976591</v>
      </c>
      <c r="AK9" s="2">
        <f t="shared" si="9"/>
        <v>1984.375</v>
      </c>
      <c r="AL9" s="2">
        <v>69.757581421636587</v>
      </c>
      <c r="AM9" s="2">
        <f t="shared" si="10"/>
        <v>-3023.0203719837496</v>
      </c>
      <c r="AN9" s="2">
        <f t="shared" si="11"/>
        <v>11779.372066060811</v>
      </c>
      <c r="AO9" s="2">
        <f t="shared" si="12"/>
        <v>593.75</v>
      </c>
    </row>
    <row r="10" spans="2:41" x14ac:dyDescent="0.2">
      <c r="B10" s="6" t="s">
        <v>169</v>
      </c>
      <c r="C10" s="17">
        <v>2.1</v>
      </c>
      <c r="D10" s="6" t="s">
        <v>8</v>
      </c>
      <c r="F10" s="25" t="s">
        <v>82</v>
      </c>
      <c r="G10" s="25">
        <f xml:space="preserve"> 1/1000 * (($C$5*$C$68)/$C$24 * ( ($G$4/2) + SQRT( ($G$4/2)^2 + ($C$5*$C$68) / (2*$C$65*PI()*$C$8^2 * $C$21) ) ) )</f>
        <v>250.38674003194737</v>
      </c>
      <c r="H10" s="25" t="s">
        <v>101</v>
      </c>
      <c r="J10" s="6" t="s">
        <v>96</v>
      </c>
      <c r="K10" s="6">
        <f xml:space="preserve"> $C$18 * (G10*G6 + G20*G13 + G29*G25 + G33*G32)/3600</f>
        <v>69.523375536574491</v>
      </c>
      <c r="L10" s="6" t="s">
        <v>102</v>
      </c>
      <c r="N10" s="6" t="s">
        <v>38</v>
      </c>
      <c r="O10" s="6">
        <f xml:space="preserve"> O5 * $C$12 * O9</f>
        <v>466.74999046731597</v>
      </c>
      <c r="P10" s="6" t="s">
        <v>20</v>
      </c>
      <c r="U10" s="2">
        <v>6</v>
      </c>
      <c r="V10" s="2">
        <f t="shared" si="7"/>
        <v>0.96875</v>
      </c>
      <c r="W10" s="2">
        <f t="shared" si="0"/>
        <v>4.9481041368919509E-3</v>
      </c>
      <c r="X10" s="2">
        <f t="shared" si="8"/>
        <v>0.984375</v>
      </c>
      <c r="Y10" s="2">
        <f t="shared" si="1"/>
        <v>-1.1029942893032607E-2</v>
      </c>
      <c r="Z10" s="2">
        <f t="shared" si="3"/>
        <v>0.9765625</v>
      </c>
      <c r="AA10" s="2">
        <f t="shared" si="2"/>
        <v>-3.04231629074736E-3</v>
      </c>
      <c r="AB10" s="2">
        <f t="shared" si="4"/>
        <v>-1.5053697823980788E-5</v>
      </c>
      <c r="AC10" s="2">
        <f t="shared" si="5"/>
        <v>3.3556574949486168E-5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-43.33608348190387</v>
      </c>
      <c r="AI10" s="2">
        <f t="shared" si="14"/>
        <v>1984.375</v>
      </c>
      <c r="AJ10" s="2">
        <v>69.757581421636587</v>
      </c>
      <c r="AK10" s="2">
        <f t="shared" si="9"/>
        <v>1835.9375</v>
      </c>
      <c r="AL10" s="2">
        <v>14.935725243147999</v>
      </c>
      <c r="AM10" s="2">
        <f t="shared" si="10"/>
        <v>-647.25583599984066</v>
      </c>
      <c r="AN10" s="2">
        <f t="shared" si="11"/>
        <v>1041.8800697400895</v>
      </c>
      <c r="AO10" s="2">
        <f t="shared" si="12"/>
        <v>296.875</v>
      </c>
    </row>
    <row r="11" spans="2:41" x14ac:dyDescent="0.2">
      <c r="B11" s="6" t="s">
        <v>170</v>
      </c>
      <c r="C11" s="17">
        <f>(0.500656+0.484769+0.468881+0.452994+0.437106+0.421219+0.405331+0.389444)/8</f>
        <v>0.44505</v>
      </c>
      <c r="D11" s="6" t="s">
        <v>8</v>
      </c>
      <c r="J11" s="6" t="s">
        <v>171</v>
      </c>
      <c r="K11" s="6">
        <f xml:space="preserve"> (G6 + G13 + G25 + G32)/60</f>
        <v>65.868961212997249</v>
      </c>
      <c r="L11" s="6" t="s">
        <v>103</v>
      </c>
      <c r="N11" s="6" t="s">
        <v>172</v>
      </c>
      <c r="O11" s="6">
        <f xml:space="preserve"> 1.78 * (1 - 0.045 * $C$13^0.68) - 0.64</f>
        <v>0.84103879891503286</v>
      </c>
      <c r="U11" s="2">
        <v>7</v>
      </c>
      <c r="V11" s="2">
        <f t="shared" si="7"/>
        <v>0.96875</v>
      </c>
      <c r="W11" s="2">
        <f t="shared" si="0"/>
        <v>4.9481041368919509E-3</v>
      </c>
      <c r="X11" s="2">
        <f t="shared" si="8"/>
        <v>0.9765625</v>
      </c>
      <c r="Y11" s="2">
        <f t="shared" si="1"/>
        <v>-3.04231629074736E-3</v>
      </c>
      <c r="Z11" s="2">
        <f t="shared" si="3"/>
        <v>0.97265625</v>
      </c>
      <c r="AA11" s="2">
        <f t="shared" si="2"/>
        <v>9.5254054843041391E-4</v>
      </c>
      <c r="AB11" s="2">
        <f t="shared" si="4"/>
        <v>4.7132698282458586E-6</v>
      </c>
      <c r="AC11" s="2">
        <f t="shared" si="5"/>
        <v>-2.8979296280872729E-6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-43.33608348190387</v>
      </c>
      <c r="AI11" s="2">
        <f t="shared" si="14"/>
        <v>1835.9375</v>
      </c>
      <c r="AJ11" s="2">
        <v>14.935725243147999</v>
      </c>
      <c r="AK11" s="2">
        <f t="shared" si="9"/>
        <v>1761.71875</v>
      </c>
      <c r="AL11" s="2">
        <v>-13.772050566019971</v>
      </c>
      <c r="AM11" s="2">
        <f t="shared" si="10"/>
        <v>596.82673304604293</v>
      </c>
      <c r="AN11" s="2">
        <f t="shared" si="11"/>
        <v>-205.69556328881515</v>
      </c>
      <c r="AO11" s="2">
        <f t="shared" si="12"/>
        <v>148.4375</v>
      </c>
    </row>
    <row r="12" spans="2:41" x14ac:dyDescent="0.2">
      <c r="B12" s="6" t="s">
        <v>173</v>
      </c>
      <c r="C12" s="17">
        <v>29.999999999999901</v>
      </c>
      <c r="D12" s="6" t="s">
        <v>174</v>
      </c>
      <c r="F12" s="32" t="s">
        <v>86</v>
      </c>
      <c r="G12" s="34"/>
      <c r="H12" s="34"/>
      <c r="N12" s="6" t="s">
        <v>175</v>
      </c>
      <c r="O12" s="6">
        <f xml:space="preserve"> O4 / (O5 * $C$12)</f>
        <v>0.68864298838934812</v>
      </c>
      <c r="U12" s="2">
        <v>8</v>
      </c>
      <c r="V12" s="2">
        <f t="shared" si="7"/>
        <v>0.97265625</v>
      </c>
      <c r="W12" s="2">
        <f t="shared" si="0"/>
        <v>9.5254054843041391E-4</v>
      </c>
      <c r="X12" s="2">
        <f t="shared" si="8"/>
        <v>0.9765625</v>
      </c>
      <c r="Y12" s="2">
        <f t="shared" si="1"/>
        <v>-3.04231629074736E-3</v>
      </c>
      <c r="Z12" s="2">
        <f t="shared" si="3"/>
        <v>0.974609375</v>
      </c>
      <c r="AA12" s="2">
        <f t="shared" si="2"/>
        <v>-1.044975691410821E-3</v>
      </c>
      <c r="AB12" s="2">
        <f t="shared" si="4"/>
        <v>-9.953817181929145E-7</v>
      </c>
      <c r="AC12" s="2">
        <f t="shared" si="5"/>
        <v>3.1791465694141267E-6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-13.772050566019971</v>
      </c>
      <c r="AI12" s="2">
        <f t="shared" si="14"/>
        <v>1835.9375</v>
      </c>
      <c r="AJ12" s="2">
        <v>14.935725243147999</v>
      </c>
      <c r="AK12" s="2">
        <f t="shared" si="9"/>
        <v>1798.828125</v>
      </c>
      <c r="AL12" s="2">
        <v>0.68927251517538934</v>
      </c>
      <c r="AM12" s="2">
        <f t="shared" si="10"/>
        <v>-9.4926959327632296</v>
      </c>
      <c r="AN12" s="2">
        <f t="shared" si="11"/>
        <v>10.294784904313175</v>
      </c>
      <c r="AO12" s="2">
        <f t="shared" si="12"/>
        <v>74.21875</v>
      </c>
    </row>
    <row r="13" spans="2:41" x14ac:dyDescent="0.2">
      <c r="B13" s="6" t="s">
        <v>176</v>
      </c>
      <c r="C13" s="17">
        <v>6.9366608465755704</v>
      </c>
      <c r="F13" s="9" t="s">
        <v>89</v>
      </c>
      <c r="G13" s="6">
        <f xml:space="preserve"> $C$17/$C$7</f>
        <v>2432.1376727798352</v>
      </c>
      <c r="H13" s="6" t="s">
        <v>13</v>
      </c>
      <c r="J13" s="28" t="s">
        <v>51</v>
      </c>
      <c r="K13" s="28"/>
      <c r="L13" s="28"/>
      <c r="N13" s="6" t="s">
        <v>177</v>
      </c>
      <c r="O13" s="6">
        <f xml:space="preserve"> O9 + O12^2 / ( PI() * O11 * $C$13 )</f>
        <v>4.4124976128163178E-2</v>
      </c>
      <c r="U13" s="2">
        <v>9</v>
      </c>
      <c r="V13" s="2">
        <f t="shared" si="7"/>
        <v>0.97265625</v>
      </c>
      <c r="W13" s="2">
        <f t="shared" si="0"/>
        <v>9.5254054843041391E-4</v>
      </c>
      <c r="X13" s="2">
        <f t="shared" si="8"/>
        <v>0.974609375</v>
      </c>
      <c r="Y13" s="2">
        <f t="shared" si="1"/>
        <v>-1.044975691410821E-3</v>
      </c>
      <c r="Z13" s="2">
        <f t="shared" si="3"/>
        <v>0.9736328125</v>
      </c>
      <c r="AA13" s="2">
        <f t="shared" si="2"/>
        <v>-4.6239591657171175E-5</v>
      </c>
      <c r="AB13" s="2">
        <f t="shared" si="4"/>
        <v>-4.404508599632022E-8</v>
      </c>
      <c r="AC13" s="2">
        <f t="shared" si="5"/>
        <v>4.8319249262506483E-8</v>
      </c>
      <c r="AD13" s="2">
        <f t="shared" si="6"/>
        <v>1.953125E-3</v>
      </c>
      <c r="AF13" s="2">
        <v>9</v>
      </c>
      <c r="AG13" s="2">
        <f t="shared" si="13"/>
        <v>1761.71875</v>
      </c>
      <c r="AH13" s="2">
        <v>-13.772050566019971</v>
      </c>
      <c r="AI13" s="2">
        <f t="shared" si="14"/>
        <v>1798.828125</v>
      </c>
      <c r="AJ13" s="2">
        <v>0.68927251517538934</v>
      </c>
      <c r="AK13" s="2">
        <f t="shared" si="9"/>
        <v>1780.2734375</v>
      </c>
      <c r="AL13" s="2">
        <v>-6.5145796038102617</v>
      </c>
      <c r="AM13" s="2">
        <f t="shared" si="10"/>
        <v>89.71911972003727</v>
      </c>
      <c r="AN13" s="2">
        <f t="shared" si="11"/>
        <v>-4.4903206688285904</v>
      </c>
      <c r="AO13" s="2">
        <f t="shared" si="12"/>
        <v>37.109375</v>
      </c>
    </row>
    <row r="14" spans="2:41" x14ac:dyDescent="0.2">
      <c r="F14" s="6" t="s">
        <v>178</v>
      </c>
      <c r="G14" s="6">
        <f>O21*$C$10</f>
        <v>43.056672445671595</v>
      </c>
      <c r="H14" s="6" t="s">
        <v>10</v>
      </c>
      <c r="J14" s="10" t="s">
        <v>79</v>
      </c>
      <c r="K14" s="18">
        <f>C5</f>
        <v>1797.0225896904899</v>
      </c>
      <c r="L14" s="6" t="s">
        <v>7</v>
      </c>
      <c r="N14" s="6" t="s">
        <v>39</v>
      </c>
      <c r="O14" s="6">
        <f xml:space="preserve"> O5 * O13 * $C$12</f>
        <v>1128.4816488449164</v>
      </c>
      <c r="P14" s="6" t="s">
        <v>20</v>
      </c>
      <c r="U14" s="2">
        <v>10</v>
      </c>
      <c r="V14" s="2">
        <f t="shared" si="7"/>
        <v>0.97265625</v>
      </c>
      <c r="W14" s="2">
        <f t="shared" si="0"/>
        <v>9.5254054843041391E-4</v>
      </c>
      <c r="X14" s="2">
        <f t="shared" si="8"/>
        <v>0.9736328125</v>
      </c>
      <c r="Y14" s="2">
        <f t="shared" si="1"/>
        <v>-4.6239591657171175E-5</v>
      </c>
      <c r="Z14" s="2">
        <f t="shared" si="3"/>
        <v>0.97314453125</v>
      </c>
      <c r="AA14" s="2">
        <f t="shared" si="2"/>
        <v>4.5314496517878666E-4</v>
      </c>
      <c r="AB14" s="2">
        <f t="shared" si="4"/>
        <v>4.3163895364988225E-7</v>
      </c>
      <c r="AC14" s="2">
        <f t="shared" si="5"/>
        <v>-2.0953238151370147E-8</v>
      </c>
      <c r="AD14" s="2">
        <f t="shared" si="6"/>
        <v>9.765625E-4</v>
      </c>
      <c r="AF14" s="2">
        <v>10</v>
      </c>
      <c r="AG14" s="2">
        <f t="shared" si="13"/>
        <v>1780.2734375</v>
      </c>
      <c r="AH14" s="2">
        <v>-6.5145796038102617</v>
      </c>
      <c r="AI14" s="2">
        <f t="shared" si="14"/>
        <v>1798.828125</v>
      </c>
      <c r="AJ14" s="2">
        <v>0.68927251517538934</v>
      </c>
      <c r="AK14" s="2">
        <f t="shared" si="9"/>
        <v>1789.55078125</v>
      </c>
      <c r="AL14" s="2">
        <v>-2.9059448831553709</v>
      </c>
      <c r="AM14" s="2">
        <f t="shared" si="10"/>
        <v>18.931009265600775</v>
      </c>
      <c r="AN14" s="2">
        <f t="shared" si="11"/>
        <v>-2.0029879385735554</v>
      </c>
      <c r="AO14" s="2">
        <f t="shared" si="12"/>
        <v>18.5546875</v>
      </c>
    </row>
    <row r="15" spans="2:41" x14ac:dyDescent="0.2">
      <c r="B15" s="30" t="s">
        <v>11</v>
      </c>
      <c r="C15" s="30"/>
      <c r="D15" s="30"/>
      <c r="F15" s="6" t="s">
        <v>179</v>
      </c>
      <c r="G15" s="6">
        <f>G14/$C$73</f>
        <v>0.12940744681612298</v>
      </c>
      <c r="H15" s="6" t="s">
        <v>122</v>
      </c>
      <c r="J15" s="11" t="s">
        <v>52</v>
      </c>
      <c r="K15" s="6">
        <f xml:space="preserve"> 1000 * K10 / ($C$60 * $C$61 * $C$62)</f>
        <v>408.96103256808522</v>
      </c>
      <c r="L15" s="6" t="s">
        <v>7</v>
      </c>
      <c r="N15" s="6" t="s">
        <v>180</v>
      </c>
      <c r="O15" s="6">
        <f>O4/O14</f>
        <v>15.606648406769681</v>
      </c>
      <c r="U15" s="2">
        <v>11</v>
      </c>
      <c r="V15" s="2">
        <f t="shared" si="7"/>
        <v>0.97314453125</v>
      </c>
      <c r="W15" s="2">
        <f t="shared" si="0"/>
        <v>4.5314496517878666E-4</v>
      </c>
      <c r="X15" s="2">
        <f t="shared" si="8"/>
        <v>0.9736328125</v>
      </c>
      <c r="Y15" s="2">
        <f t="shared" si="1"/>
        <v>-4.6239591657171175E-5</v>
      </c>
      <c r="Z15" s="2">
        <f t="shared" si="3"/>
        <v>0.973388671875</v>
      </c>
      <c r="AA15" s="2">
        <f t="shared" si="2"/>
        <v>2.0345130948085099E-4</v>
      </c>
      <c r="AB15" s="2">
        <f t="shared" si="4"/>
        <v>9.2192936550278769E-8</v>
      </c>
      <c r="AC15" s="2">
        <f t="shared" si="5"/>
        <v>-9.4075054725113077E-9</v>
      </c>
      <c r="AD15" s="2">
        <f t="shared" si="6"/>
        <v>4.8828125E-4</v>
      </c>
      <c r="AF15" s="2">
        <v>11</v>
      </c>
      <c r="AG15" s="2">
        <f t="shared" si="13"/>
        <v>1789.55078125</v>
      </c>
      <c r="AH15" s="2">
        <v>-2.9059448831553709</v>
      </c>
      <c r="AI15" s="2">
        <f t="shared" si="14"/>
        <v>1798.828125</v>
      </c>
      <c r="AJ15" s="2">
        <v>0.68927251517538934</v>
      </c>
      <c r="AK15" s="2">
        <f t="shared" si="9"/>
        <v>1794.189453125</v>
      </c>
      <c r="AL15" s="2">
        <v>-1.1066581932707322</v>
      </c>
      <c r="AM15" s="2">
        <f t="shared" si="10"/>
        <v>3.2158877141370517</v>
      </c>
      <c r="AN15" s="2">
        <f t="shared" si="11"/>
        <v>-0.76278907631516968</v>
      </c>
      <c r="AO15" s="2">
        <f t="shared" si="12"/>
        <v>9.27734375</v>
      </c>
    </row>
    <row r="16" spans="2:41" x14ac:dyDescent="0.2">
      <c r="B16" s="6" t="s">
        <v>68</v>
      </c>
      <c r="C16" s="6">
        <f>C35*100</f>
        <v>600</v>
      </c>
      <c r="D16" s="6" t="s">
        <v>7</v>
      </c>
      <c r="F16" s="9" t="s">
        <v>19</v>
      </c>
      <c r="G16" s="6">
        <f>O20</f>
        <v>1128.4816488449164</v>
      </c>
      <c r="H16" s="6" t="s">
        <v>20</v>
      </c>
      <c r="J16" s="12" t="s">
        <v>126</v>
      </c>
      <c r="K16" s="6">
        <f xml:space="preserve"> $C$78 * ( $C$21 * (0.0095 * MAX(G7,G26) - 1.9275) +  $C$28 * (0.0095 * MAX(O20) - 1.9275) )</f>
        <v>128.56106878023752</v>
      </c>
      <c r="L16" s="6" t="s">
        <v>7</v>
      </c>
      <c r="N16" s="6" t="s">
        <v>113</v>
      </c>
      <c r="O16" s="6">
        <f>(O13*$C$12)/(0.3048^2)/($C$5*2.20462/1000)^(2/3)</f>
        <v>5.6909437524147197</v>
      </c>
      <c r="U16" s="2">
        <v>12</v>
      </c>
      <c r="V16" s="2">
        <f t="shared" si="7"/>
        <v>0.973388671875</v>
      </c>
      <c r="W16" s="2">
        <f t="shared" si="0"/>
        <v>2.0345130948085099E-4</v>
      </c>
      <c r="X16" s="2">
        <f t="shared" si="8"/>
        <v>0.9736328125</v>
      </c>
      <c r="Y16" s="2">
        <f t="shared" si="1"/>
        <v>-4.6239591657171175E-5</v>
      </c>
      <c r="Z16" s="2">
        <f t="shared" si="3"/>
        <v>0.9735107421875</v>
      </c>
      <c r="AA16" s="2">
        <f t="shared" si="2"/>
        <v>7.8605514719498615E-5</v>
      </c>
      <c r="AB16" s="2">
        <f t="shared" si="4"/>
        <v>1.5992394902098299E-8</v>
      </c>
      <c r="AC16" s="2">
        <f t="shared" si="5"/>
        <v>-3.6346869026313743E-9</v>
      </c>
      <c r="AD16" s="2">
        <f t="shared" si="6"/>
        <v>2.44140625E-4</v>
      </c>
      <c r="AF16" s="2">
        <v>12</v>
      </c>
      <c r="AG16" s="2">
        <f t="shared" si="13"/>
        <v>1794.189453125</v>
      </c>
      <c r="AH16" s="2">
        <v>-1.1066581932707322</v>
      </c>
      <c r="AI16" s="2">
        <f t="shared" si="14"/>
        <v>1798.828125</v>
      </c>
      <c r="AJ16" s="2">
        <v>0.68927251517538934</v>
      </c>
      <c r="AK16" s="2">
        <f t="shared" si="9"/>
        <v>1796.5087890625</v>
      </c>
      <c r="AL16" s="2">
        <v>-0.20827332912790553</v>
      </c>
      <c r="AM16" s="2">
        <f t="shared" si="10"/>
        <v>0.2304873861191685</v>
      </c>
      <c r="AN16" s="2">
        <f t="shared" si="11"/>
        <v>-0.14355708141194312</v>
      </c>
      <c r="AO16" s="2">
        <f t="shared" si="12"/>
        <v>4.638671875</v>
      </c>
    </row>
    <row r="17" spans="2:41" x14ac:dyDescent="0.2">
      <c r="B17" s="6" t="s">
        <v>12</v>
      </c>
      <c r="C17" s="17">
        <f>100*1000</f>
        <v>100000</v>
      </c>
      <c r="D17" s="6" t="s">
        <v>8</v>
      </c>
      <c r="F17" s="9" t="s">
        <v>97</v>
      </c>
      <c r="G17" s="6">
        <f xml:space="preserve"> 1/1000 * (O25 + O20 * (O30 * O27 + $C$7 * SIN(O19/180*PI())))</f>
        <v>48.602419601500685</v>
      </c>
      <c r="H17" s="6" t="s">
        <v>101</v>
      </c>
      <c r="J17" s="12" t="s">
        <v>127</v>
      </c>
      <c r="K17" s="6">
        <v>0</v>
      </c>
      <c r="L17" s="6" t="s">
        <v>7</v>
      </c>
      <c r="U17" s="2">
        <v>13</v>
      </c>
      <c r="V17" s="2">
        <f t="shared" si="7"/>
        <v>0.9735107421875</v>
      </c>
      <c r="W17" s="2">
        <f t="shared" si="0"/>
        <v>7.8605514719498615E-5</v>
      </c>
      <c r="X17" s="2">
        <f t="shared" si="8"/>
        <v>0.9736328125</v>
      </c>
      <c r="Y17" s="2">
        <f t="shared" si="1"/>
        <v>-4.6239591657171175E-5</v>
      </c>
      <c r="Z17" s="2">
        <f t="shared" si="3"/>
        <v>0.97357177734375</v>
      </c>
      <c r="AA17" s="2">
        <f t="shared" si="2"/>
        <v>1.6182875498982341E-5</v>
      </c>
      <c r="AB17" s="2">
        <f t="shared" si="4"/>
        <v>1.2720632582390699E-9</v>
      </c>
      <c r="AC17" s="2">
        <f t="shared" si="5"/>
        <v>-7.4828955491178366E-10</v>
      </c>
      <c r="AD17" s="2">
        <f t="shared" si="6"/>
        <v>1.220703125E-4</v>
      </c>
      <c r="AF17" s="2">
        <v>13</v>
      </c>
      <c r="AG17" s="2">
        <f t="shared" si="13"/>
        <v>1796.5087890625</v>
      </c>
      <c r="AH17" s="2">
        <v>-0.20827332912790553</v>
      </c>
      <c r="AI17" s="2">
        <f t="shared" si="14"/>
        <v>1798.828125</v>
      </c>
      <c r="AJ17" s="2">
        <v>0.68927251517538934</v>
      </c>
      <c r="AK17" s="2">
        <f t="shared" si="9"/>
        <v>1797.66845703125</v>
      </c>
      <c r="AL17" s="2">
        <v>0.24060452534126853</v>
      </c>
      <c r="AM17" s="2">
        <f t="shared" si="10"/>
        <v>-5.0111505496065509E-2</v>
      </c>
      <c r="AN17" s="2">
        <f t="shared" si="11"/>
        <v>0.16584208634455685</v>
      </c>
      <c r="AO17" s="2">
        <f t="shared" si="12"/>
        <v>2.3193359375</v>
      </c>
    </row>
    <row r="18" spans="2:41" x14ac:dyDescent="0.2">
      <c r="B18" s="6" t="s">
        <v>136</v>
      </c>
      <c r="C18" s="17">
        <v>1</v>
      </c>
      <c r="F18" t="s">
        <v>146</v>
      </c>
      <c r="G18" s="6">
        <f xml:space="preserve"> (G16/$C$74*1000) / (G17*1000)</f>
        <v>2.3691142198555464</v>
      </c>
      <c r="H18" s="6" t="s">
        <v>147</v>
      </c>
      <c r="J18" s="13" t="s">
        <v>53</v>
      </c>
      <c r="K18" s="6">
        <f xml:space="preserve"> $C$78 * (0.2138 * K4 + 0.2138 * K6)</f>
        <v>76.708658795557426</v>
      </c>
      <c r="L18" s="6" t="s">
        <v>7</v>
      </c>
      <c r="N18" s="32" t="s">
        <v>181</v>
      </c>
      <c r="O18" s="35"/>
      <c r="P18" s="35"/>
      <c r="U18" s="2">
        <v>14</v>
      </c>
      <c r="V18" s="2">
        <f t="shared" si="7"/>
        <v>0.97357177734375</v>
      </c>
      <c r="W18" s="2">
        <f t="shared" si="0"/>
        <v>1.6182875498982341E-5</v>
      </c>
      <c r="X18" s="2">
        <f t="shared" si="8"/>
        <v>0.9736328125</v>
      </c>
      <c r="Y18" s="2">
        <f t="shared" si="1"/>
        <v>-4.6239591657171175E-5</v>
      </c>
      <c r="Z18" s="2">
        <f t="shared" si="3"/>
        <v>0.973602294921875</v>
      </c>
      <c r="AA18" s="2">
        <f t="shared" si="2"/>
        <v>-1.5028379585113605E-5</v>
      </c>
      <c r="AB18" s="2">
        <f t="shared" si="4"/>
        <v>-2.4320239577734134E-10</v>
      </c>
      <c r="AC18" s="2">
        <f t="shared" si="5"/>
        <v>6.9490613528462063E-10</v>
      </c>
      <c r="AD18" s="2">
        <f t="shared" si="6"/>
        <v>6.103515625E-5</v>
      </c>
      <c r="AF18" s="2">
        <v>14</v>
      </c>
      <c r="AG18" s="2">
        <f t="shared" si="13"/>
        <v>1796.5087890625</v>
      </c>
      <c r="AH18" s="2">
        <v>-0.20827332912790553</v>
      </c>
      <c r="AI18" s="2">
        <f t="shared" si="14"/>
        <v>1797.66845703125</v>
      </c>
      <c r="AJ18" s="2">
        <v>0.24060452534126853</v>
      </c>
      <c r="AK18" s="2">
        <f t="shared" si="9"/>
        <v>1797.088623046875</v>
      </c>
      <c r="AL18" s="2">
        <v>1.619187235201025E-2</v>
      </c>
      <c r="AM18" s="2">
        <f t="shared" si="10"/>
        <v>-3.3723351595672645E-3</v>
      </c>
      <c r="AN18" s="2">
        <f t="shared" si="11"/>
        <v>3.8958377616418356E-3</v>
      </c>
      <c r="AO18" s="2">
        <f t="shared" si="12"/>
        <v>1.15966796875</v>
      </c>
    </row>
    <row r="19" spans="2:41" x14ac:dyDescent="0.2">
      <c r="F19" s="9" t="s">
        <v>148</v>
      </c>
      <c r="G19" s="6">
        <f>O23 / ($C$29*$C$11/PI())</f>
        <v>5.1253067294610453E-2</v>
      </c>
      <c r="J19" s="13" t="s">
        <v>77</v>
      </c>
      <c r="K19" s="6">
        <f xml:space="preserve"> $C$78 * (0.1149 * K4 + 0.1149 * K6)</f>
        <v>41.224625330259819</v>
      </c>
      <c r="L19" s="6" t="s">
        <v>7</v>
      </c>
      <c r="N19" s="6" t="s">
        <v>25</v>
      </c>
      <c r="O19" s="6">
        <f xml:space="preserve"> 90 - $C$81</f>
        <v>85</v>
      </c>
      <c r="P19" s="6" t="s">
        <v>40</v>
      </c>
      <c r="U19" s="2">
        <v>15</v>
      </c>
      <c r="V19" s="2">
        <f t="shared" si="7"/>
        <v>0.97357177734375</v>
      </c>
      <c r="W19" s="2">
        <f t="shared" si="0"/>
        <v>1.6182875498982341E-5</v>
      </c>
      <c r="X19" s="2">
        <f t="shared" si="8"/>
        <v>0.973602294921875</v>
      </c>
      <c r="Y19" s="2">
        <f t="shared" si="1"/>
        <v>-1.5028379585113605E-5</v>
      </c>
      <c r="Z19" s="2">
        <f t="shared" si="3"/>
        <v>0.9735870361328125</v>
      </c>
      <c r="AA19" s="2">
        <f t="shared" si="2"/>
        <v>5.7724258017977093E-7</v>
      </c>
      <c r="AB19" s="2">
        <f t="shared" si="4"/>
        <v>9.3414448077605638E-12</v>
      </c>
      <c r="AC19" s="2">
        <f t="shared" si="5"/>
        <v>-8.6750206076319729E-12</v>
      </c>
      <c r="AD19" s="2">
        <f t="shared" si="6"/>
        <v>3.0517578125E-5</v>
      </c>
      <c r="AF19" s="2">
        <v>15</v>
      </c>
      <c r="AG19" s="2">
        <f t="shared" si="13"/>
        <v>1796.5087890625</v>
      </c>
      <c r="AH19" s="2">
        <v>-0.20827332912790553</v>
      </c>
      <c r="AI19" s="2">
        <f t="shared" si="14"/>
        <v>1797.088623046875</v>
      </c>
      <c r="AJ19" s="2">
        <v>1.619187235201025E-2</v>
      </c>
      <c r="AK19" s="2">
        <f t="shared" si="9"/>
        <v>1796.7987060546875</v>
      </c>
      <c r="AL19" s="2">
        <v>-9.6034117339513614E-2</v>
      </c>
      <c r="AM19" s="2">
        <f t="shared" si="10"/>
        <v>2.0001345328160419E-2</v>
      </c>
      <c r="AN19" s="2">
        <f t="shared" si="11"/>
        <v>-1.5549721693993786E-3</v>
      </c>
      <c r="AO19" s="2">
        <f t="shared" si="12"/>
        <v>0.579833984375</v>
      </c>
    </row>
    <row r="20" spans="2:41" x14ac:dyDescent="0.2">
      <c r="B20" s="30" t="s">
        <v>110</v>
      </c>
      <c r="C20" s="30"/>
      <c r="D20" s="30"/>
      <c r="F20" s="26" t="s">
        <v>132</v>
      </c>
      <c r="G20" s="25">
        <f xml:space="preserve"> $C$28 * G17</f>
        <v>48.602419601500685</v>
      </c>
      <c r="H20" s="25" t="s">
        <v>101</v>
      </c>
      <c r="J20" s="14" t="s">
        <v>60</v>
      </c>
      <c r="K20" s="6">
        <f xml:space="preserve"> $C$79 * (14.86 * ($C$5*2.20462)^0.144 * ($C$36/(PI()*$C$37))^0.778 * ($C$36*3.28084)^0.383 * $C$35^0.455 * 0.453592)</f>
        <v>208.73786631547347</v>
      </c>
      <c r="L20" s="6" t="s">
        <v>7</v>
      </c>
      <c r="N20" s="6" t="s">
        <v>19</v>
      </c>
      <c r="O20" s="6">
        <f xml:space="preserve"> O14 / $C$28</f>
        <v>1128.4816488449164</v>
      </c>
      <c r="P20" s="6" t="s">
        <v>20</v>
      </c>
      <c r="U20" s="2">
        <v>16</v>
      </c>
      <c r="V20" s="2">
        <f t="shared" si="7"/>
        <v>0.9735870361328125</v>
      </c>
      <c r="W20" s="2">
        <f t="shared" si="0"/>
        <v>5.7724258017977093E-7</v>
      </c>
      <c r="X20" s="2">
        <f t="shared" si="8"/>
        <v>0.973602294921875</v>
      </c>
      <c r="Y20" s="2">
        <f t="shared" si="1"/>
        <v>-1.5028379585113605E-5</v>
      </c>
      <c r="Z20" s="2">
        <f t="shared" si="3"/>
        <v>0.97359466552734375</v>
      </c>
      <c r="AA20" s="2">
        <f t="shared" si="2"/>
        <v>-7.225569846669444E-6</v>
      </c>
      <c r="AB20" s="2">
        <f t="shared" si="4"/>
        <v>-4.1709065815606216E-12</v>
      </c>
      <c r="AC20" s="2">
        <f t="shared" si="5"/>
        <v>1.0858860637449951E-10</v>
      </c>
      <c r="AD20" s="2">
        <f t="shared" si="6"/>
        <v>1.52587890625E-5</v>
      </c>
      <c r="AF20" s="2">
        <v>16</v>
      </c>
      <c r="AG20" s="2">
        <f t="shared" si="13"/>
        <v>1796.7987060546875</v>
      </c>
      <c r="AH20" s="2">
        <v>-9.6034117339513614E-2</v>
      </c>
      <c r="AI20" s="2">
        <f t="shared" si="14"/>
        <v>1797.088623046875</v>
      </c>
      <c r="AJ20" s="2">
        <v>1.619187235201025E-2</v>
      </c>
      <c r="AK20" s="2">
        <f t="shared" si="9"/>
        <v>1796.9436645507812</v>
      </c>
      <c r="AL20" s="2">
        <v>-3.9919512392998513E-2</v>
      </c>
      <c r="AM20" s="2">
        <f t="shared" si="10"/>
        <v>3.8336351372853872E-3</v>
      </c>
      <c r="AN20" s="2">
        <f t="shared" si="11"/>
        <v>-6.463716490219232E-4</v>
      </c>
      <c r="AO20" s="2">
        <f t="shared" si="12"/>
        <v>0.2899169921875</v>
      </c>
    </row>
    <row r="21" spans="2:41" x14ac:dyDescent="0.2">
      <c r="B21" s="6" t="s">
        <v>94</v>
      </c>
      <c r="C21" s="17">
        <v>8</v>
      </c>
      <c r="J21" s="14" t="s">
        <v>61</v>
      </c>
      <c r="K21" s="6">
        <f xml:space="preserve"> $C$79 * C41 * $C$5</f>
        <v>46.722587331952738</v>
      </c>
      <c r="L21" s="6" t="s">
        <v>7</v>
      </c>
      <c r="N21" s="6" t="s">
        <v>26</v>
      </c>
      <c r="O21" s="6">
        <f>$C$6*2*PI()/60</f>
        <v>20.503177355081711</v>
      </c>
      <c r="P21" s="6" t="s">
        <v>27</v>
      </c>
      <c r="U21" s="2">
        <v>17</v>
      </c>
      <c r="V21" s="2">
        <f t="shared" si="7"/>
        <v>0.9735870361328125</v>
      </c>
      <c r="W21" s="2">
        <f t="shared" si="0"/>
        <v>5.7724258017977093E-7</v>
      </c>
      <c r="X21" s="2">
        <f t="shared" si="8"/>
        <v>0.97359466552734375</v>
      </c>
      <c r="Y21" s="2">
        <f t="shared" si="1"/>
        <v>-7.225569846669444E-6</v>
      </c>
      <c r="Z21" s="2">
        <f t="shared" si="3"/>
        <v>0.97359085083007812</v>
      </c>
      <c r="AA21" s="2">
        <f t="shared" si="2"/>
        <v>-3.3241639693093461E-6</v>
      </c>
      <c r="AB21" s="2">
        <f t="shared" si="4"/>
        <v>-1.9188489865847556E-12</v>
      </c>
      <c r="AC21" s="2">
        <f t="shared" si="5"/>
        <v>2.4018978942026624E-11</v>
      </c>
      <c r="AD21" s="2">
        <f t="shared" si="6"/>
        <v>7.62939453125E-6</v>
      </c>
      <c r="AF21" s="2">
        <v>17</v>
      </c>
      <c r="AG21" s="2">
        <f t="shared" si="13"/>
        <v>1796.9436645507812</v>
      </c>
      <c r="AH21" s="2">
        <v>-3.9919512392998513E-2</v>
      </c>
      <c r="AI21" s="2">
        <f t="shared" si="14"/>
        <v>1797.088623046875</v>
      </c>
      <c r="AJ21" s="2">
        <v>1.619187235201025E-2</v>
      </c>
      <c r="AK21" s="2">
        <f t="shared" si="9"/>
        <v>1797.0161437988281</v>
      </c>
      <c r="AL21" s="2">
        <v>-1.1863417493941597E-2</v>
      </c>
      <c r="AM21" s="2">
        <f t="shared" si="10"/>
        <v>4.7358184167271692E-4</v>
      </c>
      <c r="AN21" s="2">
        <f t="shared" si="11"/>
        <v>-1.9209094172050769E-4</v>
      </c>
      <c r="AO21" s="2">
        <f t="shared" si="12"/>
        <v>0.14495849609375</v>
      </c>
    </row>
    <row r="22" spans="2:41" x14ac:dyDescent="0.2">
      <c r="B22" s="6" t="s">
        <v>109</v>
      </c>
      <c r="C22" s="17">
        <v>2</v>
      </c>
      <c r="F22" s="30" t="s">
        <v>81</v>
      </c>
      <c r="G22" s="30"/>
      <c r="H22" s="30"/>
      <c r="J22" s="14" t="s">
        <v>182</v>
      </c>
      <c r="K22" s="6">
        <f xml:space="preserve"> $C$79 * (0.04674 * ($C$5*2.20462)^0.397 * ($C$12*3.28084^2)^0.36 * $C$46^0.397 * $C$13^1.712 * 0.453592)</f>
        <v>155.07612748968324</v>
      </c>
      <c r="L22" s="6" t="s">
        <v>7</v>
      </c>
      <c r="N22" s="6" t="s">
        <v>28</v>
      </c>
      <c r="O22" s="6">
        <f xml:space="preserve"> $C$7 * COS(O19/180*PI()) / (O21 * $C$10)</f>
        <v>8.3227603662812941E-2</v>
      </c>
      <c r="U22" s="2">
        <v>18</v>
      </c>
      <c r="V22" s="2">
        <f t="shared" si="7"/>
        <v>0.9735870361328125</v>
      </c>
      <c r="W22" s="2">
        <f t="shared" si="0"/>
        <v>5.7724258017977093E-7</v>
      </c>
      <c r="X22" s="2">
        <f t="shared" si="8"/>
        <v>0.97359085083007812</v>
      </c>
      <c r="Y22" s="2">
        <f t="shared" si="1"/>
        <v>-3.3241639693093461E-6</v>
      </c>
      <c r="Z22" s="2">
        <f t="shared" si="3"/>
        <v>0.97358894348144531</v>
      </c>
      <c r="AA22" s="2">
        <f t="shared" si="2"/>
        <v>-1.3734607785531594E-6</v>
      </c>
      <c r="AB22" s="2">
        <f t="shared" si="4"/>
        <v>-7.9282004358774272E-13</v>
      </c>
      <c r="AC22" s="2">
        <f t="shared" si="5"/>
        <v>4.5656088333259752E-12</v>
      </c>
      <c r="AD22" s="2">
        <f t="shared" si="6"/>
        <v>3.814697265625E-6</v>
      </c>
      <c r="AF22" s="2">
        <v>18</v>
      </c>
      <c r="AG22" s="2">
        <f t="shared" si="13"/>
        <v>1797.0161437988281</v>
      </c>
      <c r="AH22" s="2">
        <v>-1.1863417493941597E-2</v>
      </c>
      <c r="AI22" s="2">
        <f t="shared" si="14"/>
        <v>1797.088623046875</v>
      </c>
      <c r="AJ22" s="2">
        <v>1.619187235201025E-2</v>
      </c>
      <c r="AK22" s="2">
        <f t="shared" si="9"/>
        <v>1797.0523834228516</v>
      </c>
      <c r="AL22" s="2">
        <v>2.1641572891439864E-3</v>
      </c>
      <c r="AM22" s="2">
        <f t="shared" si="10"/>
        <v>-2.567430144367199E-5</v>
      </c>
      <c r="AN22" s="2">
        <f t="shared" si="11"/>
        <v>3.5041758575491964E-5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85</v>
      </c>
      <c r="G23" s="17">
        <f>300*0.3048/60</f>
        <v>1.524</v>
      </c>
      <c r="H23" s="6" t="s">
        <v>10</v>
      </c>
      <c r="J23" s="14" t="s">
        <v>62</v>
      </c>
      <c r="K23" s="6">
        <f xml:space="preserve"> $C$79 * (3.184 * ($C$5*2.20462)^0.887 * ($C$50*3.28084*3.28084)^0.101 * ($C$49)^0.138 ) / ( 174.04 * ($C$51*3.28084)^0.223 ) * 0.453592</f>
        <v>20.744470143232842</v>
      </c>
      <c r="L23" s="6" t="s">
        <v>7</v>
      </c>
      <c r="N23" s="6" t="s">
        <v>29</v>
      </c>
      <c r="O23" s="6">
        <f xml:space="preserve"> O20 / ( $C$71 * PI() * $C$10^2 * O21^2 * $C$10^2)</f>
        <v>4.3564230213109179E-2</v>
      </c>
      <c r="U23" s="2">
        <v>19</v>
      </c>
      <c r="V23" s="2">
        <f t="shared" si="7"/>
        <v>0.9735870361328125</v>
      </c>
      <c r="W23" s="2">
        <f t="shared" si="0"/>
        <v>5.7724258017977093E-7</v>
      </c>
      <c r="X23" s="2">
        <f t="shared" si="8"/>
        <v>0.97358894348144531</v>
      </c>
      <c r="Y23" s="2">
        <f t="shared" si="1"/>
        <v>-1.3734607785531594E-6</v>
      </c>
      <c r="Z23" s="2">
        <f t="shared" si="3"/>
        <v>0.97358798980712891</v>
      </c>
      <c r="AA23" s="2">
        <f t="shared" si="2"/>
        <v>-3.9810912022542055E-7</v>
      </c>
      <c r="AB23" s="2">
        <f t="shared" si="4"/>
        <v>-2.298055357520204E-13</v>
      </c>
      <c r="AC23" s="2">
        <f t="shared" si="5"/>
        <v>5.4678726221391947E-13</v>
      </c>
      <c r="AD23" s="2">
        <f t="shared" si="6"/>
        <v>1.9073486328125E-6</v>
      </c>
      <c r="AF23" s="2">
        <v>19</v>
      </c>
      <c r="AG23" s="2">
        <f t="shared" si="13"/>
        <v>1797.0161437988281</v>
      </c>
      <c r="AH23" s="2">
        <v>-1.1863417493941597E-2</v>
      </c>
      <c r="AI23" s="2">
        <f t="shared" si="14"/>
        <v>1797.0523834228516</v>
      </c>
      <c r="AJ23" s="2">
        <v>2.1641572891439864E-3</v>
      </c>
      <c r="AK23" s="2">
        <f t="shared" si="9"/>
        <v>1797.0342636108398</v>
      </c>
      <c r="AL23" s="2">
        <v>-4.8496049432742439E-3</v>
      </c>
      <c r="AM23" s="2">
        <f t="shared" si="10"/>
        <v>5.7532888122745313E-5</v>
      </c>
      <c r="AN23" s="2">
        <f t="shared" si="11"/>
        <v>-1.0495307887455664E-5</v>
      </c>
      <c r="AO23" s="2">
        <f t="shared" si="12"/>
        <v>3.62396240234375E-2</v>
      </c>
    </row>
    <row r="24" spans="2:41" x14ac:dyDescent="0.2">
      <c r="B24" s="6" t="s">
        <v>183</v>
      </c>
      <c r="C24" s="17">
        <v>0.75</v>
      </c>
      <c r="F24" s="6" t="s">
        <v>91</v>
      </c>
      <c r="G24" s="17">
        <f>1000*0.3048</f>
        <v>304.8</v>
      </c>
      <c r="H24" s="6" t="s">
        <v>8</v>
      </c>
      <c r="J24" s="14" t="s">
        <v>63</v>
      </c>
      <c r="K24" s="6">
        <f xml:space="preserve"> $C$79 * ( 1.68 * ($C$5*2.20462)^0.567 * ($C$55*3.28084*3.28084)^1.249 * ($C$54)^0.482 ) / (639.95 * ($C$56*3.28084)^0.747 * (COS($C$57/180*PI()))^0.882 ) * 0.453592</f>
        <v>7.7247992430607457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0.9735870361328125</v>
      </c>
      <c r="W24" s="2">
        <f t="shared" si="0"/>
        <v>5.7724258017977093E-7</v>
      </c>
      <c r="X24" s="2">
        <f t="shared" si="8"/>
        <v>0.97358798980712891</v>
      </c>
      <c r="Y24" s="2">
        <f t="shared" si="1"/>
        <v>-3.9810912022542055E-7</v>
      </c>
      <c r="Z24" s="2">
        <f t="shared" si="3"/>
        <v>0.9735875129699707</v>
      </c>
      <c r="AA24" s="2">
        <f t="shared" si="2"/>
        <v>8.9566724703615819E-8</v>
      </c>
      <c r="AB24" s="2">
        <f t="shared" si="4"/>
        <v>5.1701727266166423E-14</v>
      </c>
      <c r="AC24" s="2">
        <f t="shared" si="5"/>
        <v>-3.5657329973228936E-14</v>
      </c>
      <c r="AD24" s="2">
        <f t="shared" si="6"/>
        <v>9.5367431640625E-7</v>
      </c>
      <c r="AF24" s="2">
        <v>20</v>
      </c>
      <c r="AG24" s="2">
        <f t="shared" si="13"/>
        <v>1797.0342636108398</v>
      </c>
      <c r="AH24" s="2">
        <v>-4.8496049432742439E-3</v>
      </c>
      <c r="AI24" s="2">
        <f t="shared" si="14"/>
        <v>1797.0523834228516</v>
      </c>
      <c r="AJ24" s="2">
        <v>2.1641572891439864E-3</v>
      </c>
      <c r="AK24" s="2">
        <f t="shared" si="9"/>
        <v>1797.0433235168457</v>
      </c>
      <c r="AL24" s="2">
        <v>-1.3425467664092139E-3</v>
      </c>
      <c r="AM24" s="2">
        <f t="shared" si="10"/>
        <v>6.5108214349549755E-6</v>
      </c>
      <c r="AN24" s="2">
        <f t="shared" si="11"/>
        <v>-2.905482370541189E-6</v>
      </c>
      <c r="AO24" s="2">
        <f t="shared" si="12"/>
        <v>1.811981201171875E-2</v>
      </c>
    </row>
    <row r="25" spans="2:41" x14ac:dyDescent="0.2">
      <c r="B25" s="6" t="s">
        <v>155</v>
      </c>
      <c r="C25" s="17">
        <v>50</v>
      </c>
      <c r="D25" s="6" t="s">
        <v>58</v>
      </c>
      <c r="F25" s="6" t="s">
        <v>90</v>
      </c>
      <c r="G25" s="6">
        <f xml:space="preserve"> $G$24/$G$23</f>
        <v>200</v>
      </c>
      <c r="H25" s="6" t="s">
        <v>13</v>
      </c>
      <c r="J25" s="14" t="s">
        <v>112</v>
      </c>
      <c r="K25" s="6">
        <f>$C$79*(0.14*$G$10*1000/745.7)*0.453592</f>
        <v>17.058097471733888</v>
      </c>
      <c r="L25" s="6" t="s">
        <v>7</v>
      </c>
      <c r="N25" s="6" t="s">
        <v>30</v>
      </c>
      <c r="O25" s="6">
        <f xml:space="preserve"> ($C$30 * $O$24 / 8) * (1 + 4.65 * O22^2) * ( PI() * $C$71 * O21^3 * $C$10^5)</f>
        <v>1088.6370014455404</v>
      </c>
      <c r="P25" s="6" t="s">
        <v>18</v>
      </c>
      <c r="U25" s="2">
        <v>21</v>
      </c>
      <c r="V25" s="2">
        <f t="shared" si="7"/>
        <v>0.9735875129699707</v>
      </c>
      <c r="W25" s="2">
        <f t="shared" si="0"/>
        <v>8.9566724703615819E-8</v>
      </c>
      <c r="X25" s="2">
        <f t="shared" si="8"/>
        <v>0.97358798980712891</v>
      </c>
      <c r="Y25" s="2">
        <f t="shared" si="1"/>
        <v>-3.9810912022542055E-7</v>
      </c>
      <c r="Z25" s="2">
        <f t="shared" si="3"/>
        <v>0.9735877513885498</v>
      </c>
      <c r="AA25" s="2">
        <f t="shared" si="2"/>
        <v>-1.5427119903765885E-7</v>
      </c>
      <c r="AB25" s="2">
        <f t="shared" si="4"/>
        <v>-1.3817566013902712E-14</v>
      </c>
      <c r="AC25" s="2">
        <f t="shared" si="5"/>
        <v>6.1416771325003107E-14</v>
      </c>
      <c r="AD25" s="2">
        <f t="shared" si="6"/>
        <v>4.76837158203125E-7</v>
      </c>
      <c r="AF25" s="2">
        <v>21</v>
      </c>
      <c r="AG25" s="2">
        <f t="shared" si="13"/>
        <v>1797.0433235168457</v>
      </c>
      <c r="AH25" s="2">
        <v>-1.3425467664092139E-3</v>
      </c>
      <c r="AI25" s="2">
        <f t="shared" si="14"/>
        <v>1797.0523834228516</v>
      </c>
      <c r="AJ25" s="2">
        <v>2.1641572891439864E-3</v>
      </c>
      <c r="AK25" s="2">
        <f t="shared" si="9"/>
        <v>1797.0478534698486</v>
      </c>
      <c r="AL25" s="2">
        <v>4.1097760481534351E-4</v>
      </c>
      <c r="AM25" s="2">
        <f t="shared" si="10"/>
        <v>-5.5175665441144323E-7</v>
      </c>
      <c r="AN25" s="2">
        <f t="shared" si="11"/>
        <v>8.8942017913606234E-7</v>
      </c>
      <c r="AO25" s="2">
        <f t="shared" si="12"/>
        <v>9.059906005859375E-3</v>
      </c>
    </row>
    <row r="26" spans="2:41" x14ac:dyDescent="0.2">
      <c r="F26" s="6" t="s">
        <v>19</v>
      </c>
      <c r="G26" s="6">
        <f xml:space="preserve"> $C$5 * $C$68 / $C$21</f>
        <v>2201.6876356746079</v>
      </c>
      <c r="H26" s="6" t="s">
        <v>20</v>
      </c>
      <c r="J26" s="15" t="s">
        <v>64</v>
      </c>
      <c r="K26" s="6">
        <f xml:space="preserve"> $C$80 * (0.0268 * $C$5)</f>
        <v>38.528164322964102</v>
      </c>
      <c r="L26" s="6" t="s">
        <v>7</v>
      </c>
      <c r="N26" s="6" t="s">
        <v>31</v>
      </c>
      <c r="O26" s="18">
        <f>Z34</f>
        <v>0.973587600979954</v>
      </c>
      <c r="U26" s="2">
        <v>22</v>
      </c>
      <c r="V26" s="2">
        <f t="shared" si="7"/>
        <v>0.9735875129699707</v>
      </c>
      <c r="W26" s="2">
        <f t="shared" si="0"/>
        <v>8.9566724703615819E-8</v>
      </c>
      <c r="X26" s="2">
        <f t="shared" si="8"/>
        <v>0.9735877513885498</v>
      </c>
      <c r="Y26" s="2">
        <f t="shared" si="1"/>
        <v>-1.5427119903765885E-7</v>
      </c>
      <c r="Z26" s="2">
        <f t="shared" si="3"/>
        <v>0.97358763217926025</v>
      </c>
      <c r="AA26" s="2">
        <f t="shared" si="2"/>
        <v>-3.235223744457727E-8</v>
      </c>
      <c r="AB26" s="2">
        <f t="shared" si="4"/>
        <v>-2.8976839447444638E-15</v>
      </c>
      <c r="AC26" s="2">
        <f t="shared" si="5"/>
        <v>4.9910184621259792E-15</v>
      </c>
      <c r="AD26" s="2">
        <f t="shared" si="6"/>
        <v>2.384185791015625E-7</v>
      </c>
      <c r="AF26" s="2">
        <v>22</v>
      </c>
      <c r="AG26" s="2">
        <f t="shared" si="13"/>
        <v>1797.0433235168457</v>
      </c>
      <c r="AH26" s="2">
        <v>-1.3425467664092139E-3</v>
      </c>
      <c r="AI26" s="2">
        <f t="shared" si="14"/>
        <v>1797.0478534698486</v>
      </c>
      <c r="AJ26" s="2">
        <v>4.1097760481534351E-4</v>
      </c>
      <c r="AK26" s="2">
        <f t="shared" si="9"/>
        <v>1797.0455884933472</v>
      </c>
      <c r="AL26" s="2">
        <v>-4.6595495859946823E-4</v>
      </c>
      <c r="AM26" s="2">
        <f t="shared" si="10"/>
        <v>6.2556632296005521E-7</v>
      </c>
      <c r="AN26" s="2">
        <f t="shared" si="11"/>
        <v>-1.91497052837042E-7</v>
      </c>
      <c r="AO26" s="2">
        <f t="shared" si="12"/>
        <v>4.5299530029296875E-3</v>
      </c>
    </row>
    <row r="27" spans="2:41" x14ac:dyDescent="0.2">
      <c r="B27" s="30" t="s">
        <v>184</v>
      </c>
      <c r="C27" s="30"/>
      <c r="D27" s="30"/>
      <c r="F27" t="s">
        <v>97</v>
      </c>
      <c r="G27" s="6">
        <f>G29/$C$21</f>
        <v>27.316914940606704</v>
      </c>
      <c r="H27" t="s">
        <v>101</v>
      </c>
      <c r="J27" s="15" t="s">
        <v>65</v>
      </c>
      <c r="K27" s="6">
        <f xml:space="preserve"> $C$80 * (11.5 * ($C$5*2.20462/1000)^0.4 * 0.453592)</f>
        <v>7.23782578549433</v>
      </c>
      <c r="L27" s="6" t="s">
        <v>7</v>
      </c>
      <c r="N27" s="6" t="s">
        <v>32</v>
      </c>
      <c r="O27" s="6">
        <f xml:space="preserve"> O21 * $C$10 * O26 - $C$7 * SIN(O19/180*PI())</f>
        <v>0.95980806477733438</v>
      </c>
      <c r="P27" s="6" t="s">
        <v>10</v>
      </c>
      <c r="U27" s="2">
        <v>23</v>
      </c>
      <c r="V27" s="2">
        <f t="shared" si="7"/>
        <v>0.9735875129699707</v>
      </c>
      <c r="W27" s="2">
        <f t="shared" si="0"/>
        <v>8.9566724703615819E-8</v>
      </c>
      <c r="X27" s="2">
        <f t="shared" si="8"/>
        <v>0.97358763217926025</v>
      </c>
      <c r="Y27" s="2">
        <f t="shared" si="1"/>
        <v>-3.235223744457727E-8</v>
      </c>
      <c r="Z27" s="2">
        <f t="shared" si="3"/>
        <v>0.97358757257461548</v>
      </c>
      <c r="AA27" s="2">
        <f t="shared" si="2"/>
        <v>2.8607243574008123E-8</v>
      </c>
      <c r="AB27" s="2">
        <f t="shared" si="4"/>
        <v>2.5622571097224682E-15</v>
      </c>
      <c r="AC27" s="2">
        <f t="shared" si="5"/>
        <v>-9.255083367411681E-16</v>
      </c>
      <c r="AD27" s="2">
        <f t="shared" si="6"/>
        <v>1.1920928955078125E-7</v>
      </c>
      <c r="AF27" s="2">
        <v>23</v>
      </c>
      <c r="AG27" s="2">
        <f t="shared" si="13"/>
        <v>1797.0455884933472</v>
      </c>
      <c r="AH27" s="2">
        <v>-4.6595495859946823E-4</v>
      </c>
      <c r="AI27" s="2">
        <f t="shared" si="14"/>
        <v>1797.0478534698486</v>
      </c>
      <c r="AJ27" s="2">
        <v>4.1097760481534351E-4</v>
      </c>
      <c r="AK27" s="2">
        <f t="shared" si="9"/>
        <v>1797.0467209815979</v>
      </c>
      <c r="AL27" s="2">
        <v>-2.7488578552947729E-5</v>
      </c>
      <c r="AM27" s="2">
        <f t="shared" si="10"/>
        <v>1.2808439481596989E-8</v>
      </c>
      <c r="AN27" s="2">
        <f t="shared" si="11"/>
        <v>-1.129719017346888E-8</v>
      </c>
      <c r="AO27" s="2">
        <f t="shared" si="12"/>
        <v>2.2649765014648438E-3</v>
      </c>
    </row>
    <row r="28" spans="2:41" x14ac:dyDescent="0.2">
      <c r="B28" s="6" t="s">
        <v>185</v>
      </c>
      <c r="C28" s="17">
        <v>1</v>
      </c>
      <c r="F28" t="s">
        <v>146</v>
      </c>
      <c r="G28" s="6">
        <f xml:space="preserve"> (G26/$C$68*1000) / (G27*1000)</f>
        <v>8.2230304629825177</v>
      </c>
      <c r="H28" s="6" t="s">
        <v>147</v>
      </c>
      <c r="J28" s="15" t="s">
        <v>66</v>
      </c>
      <c r="K28" s="6">
        <f xml:space="preserve"> $C$80 * (8 * ($C$5/1000))</f>
        <v>11.500944574019137</v>
      </c>
      <c r="L28" s="6" t="s">
        <v>7</v>
      </c>
      <c r="N28" s="6" t="s">
        <v>33</v>
      </c>
      <c r="O28" s="6">
        <f xml:space="preserve"> 1/$C$31 - O25 * SQRT( (2*$C$71*PI()*$C$10^2) / O20^3 )</f>
        <v>1.1815241294297572</v>
      </c>
      <c r="U28" s="2">
        <v>24</v>
      </c>
      <c r="V28" s="2">
        <f t="shared" si="7"/>
        <v>0.97358757257461548</v>
      </c>
      <c r="W28" s="2">
        <f t="shared" si="0"/>
        <v>2.8607243574008123E-8</v>
      </c>
      <c r="X28" s="2">
        <f t="shared" si="8"/>
        <v>0.97358763217926025</v>
      </c>
      <c r="Y28" s="2">
        <f t="shared" si="1"/>
        <v>-3.235223744457727E-8</v>
      </c>
      <c r="Z28" s="2">
        <f t="shared" si="3"/>
        <v>0.97358760237693787</v>
      </c>
      <c r="AA28" s="2">
        <f t="shared" si="2"/>
        <v>-1.8724970463068757E-9</v>
      </c>
      <c r="AB28" s="2">
        <f t="shared" si="4"/>
        <v>-5.3566979095311562E-17</v>
      </c>
      <c r="AC28" s="2">
        <f t="shared" si="5"/>
        <v>6.0579469056389643E-17</v>
      </c>
      <c r="AD28" s="2">
        <f t="shared" si="6"/>
        <v>5.9604644775390625E-8</v>
      </c>
      <c r="AF28" s="2">
        <v>24</v>
      </c>
      <c r="AG28" s="2">
        <f t="shared" si="13"/>
        <v>1797.0467209815979</v>
      </c>
      <c r="AH28" s="2">
        <v>-2.7488578552947729E-5</v>
      </c>
      <c r="AI28" s="2">
        <f t="shared" si="14"/>
        <v>1797.0478534698486</v>
      </c>
      <c r="AJ28" s="2">
        <v>4.1097760481534351E-4</v>
      </c>
      <c r="AK28" s="2">
        <f t="shared" si="9"/>
        <v>1797.0472872257233</v>
      </c>
      <c r="AL28" s="2">
        <v>1.9157376641487645E-4</v>
      </c>
      <c r="AM28" s="2">
        <f t="shared" si="10"/>
        <v>-5.2660905267793905E-9</v>
      </c>
      <c r="AN28" s="2">
        <f t="shared" si="11"/>
        <v>7.8732527666640022E-8</v>
      </c>
      <c r="AO28" s="2">
        <f t="shared" si="12"/>
        <v>1.1324882507324219E-3</v>
      </c>
    </row>
    <row r="29" spans="2:41" x14ac:dyDescent="0.2">
      <c r="B29" s="6" t="s">
        <v>186</v>
      </c>
      <c r="C29" s="17">
        <v>6</v>
      </c>
      <c r="F29" s="25" t="s">
        <v>83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218.53531952485363</v>
      </c>
      <c r="H29" s="25" t="s">
        <v>101</v>
      </c>
      <c r="J29" s="15" t="s">
        <v>67</v>
      </c>
      <c r="K29" s="6">
        <f xml:space="preserve"> $C$80 * (13 * ($C$5*2.20462/1000)^1.3 * 0.453592)</f>
        <v>28.245690033617826</v>
      </c>
      <c r="L29" s="6" t="s">
        <v>7</v>
      </c>
      <c r="N29" s="6" t="s">
        <v>34</v>
      </c>
      <c r="O29" s="17">
        <v>1.1499999999999999</v>
      </c>
      <c r="U29" s="2">
        <v>25</v>
      </c>
      <c r="V29" s="2">
        <f t="shared" si="7"/>
        <v>0.97358757257461548</v>
      </c>
      <c r="W29" s="2">
        <f t="shared" si="0"/>
        <v>2.8607243574008123E-8</v>
      </c>
      <c r="X29" s="2">
        <f t="shared" si="8"/>
        <v>0.97358760237693787</v>
      </c>
      <c r="Y29" s="2">
        <f t="shared" si="1"/>
        <v>-1.8724970463068757E-9</v>
      </c>
      <c r="Z29" s="2">
        <f t="shared" si="3"/>
        <v>0.97358758747577667</v>
      </c>
      <c r="AA29" s="2">
        <f t="shared" si="2"/>
        <v>1.3367373208339473E-8</v>
      </c>
      <c r="AB29" s="2">
        <f t="shared" si="4"/>
        <v>3.8240370131563775E-16</v>
      </c>
      <c r="AC29" s="2">
        <f t="shared" si="5"/>
        <v>-2.5030366849497327E-17</v>
      </c>
      <c r="AD29" s="2">
        <f t="shared" si="6"/>
        <v>2.9802322387695312E-8</v>
      </c>
      <c r="AF29" s="2">
        <v>25</v>
      </c>
      <c r="AG29" s="2">
        <f t="shared" si="13"/>
        <v>1797.0467209815979</v>
      </c>
      <c r="AH29" s="2">
        <v>-2.7488578552947729E-5</v>
      </c>
      <c r="AI29" s="2">
        <f t="shared" si="14"/>
        <v>1797.0472872257233</v>
      </c>
      <c r="AJ29" s="2">
        <v>1.9157376641487645E-4</v>
      </c>
      <c r="AK29" s="2">
        <f t="shared" si="9"/>
        <v>1797.0470041036606</v>
      </c>
      <c r="AL29" s="2">
        <v>8.2213371342731989E-5</v>
      </c>
      <c r="AM29" s="2">
        <f t="shared" si="10"/>
        <v>-2.2599287162573499E-9</v>
      </c>
      <c r="AN29" s="2">
        <f t="shared" si="11"/>
        <v>1.5749925197792035E-8</v>
      </c>
      <c r="AO29" s="2">
        <f t="shared" si="12"/>
        <v>5.6624412536621094E-4</v>
      </c>
    </row>
    <row r="30" spans="2:41" x14ac:dyDescent="0.2">
      <c r="B30" s="6" t="s">
        <v>187</v>
      </c>
      <c r="C30" s="6">
        <f>$C$29*$C$11/PI()</f>
        <v>0.84998288907657626</v>
      </c>
      <c r="J30" s="10" t="s">
        <v>54</v>
      </c>
      <c r="K30" s="10">
        <f>$C$5 - $C$16 - SUM(K15:K29)</f>
        <v>-9.3684948822101433E-3</v>
      </c>
      <c r="L30" s="10" t="s">
        <v>7</v>
      </c>
      <c r="N30" s="6" t="s">
        <v>35</v>
      </c>
      <c r="O30" s="6">
        <f xml:space="preserve"> 1/$C$77 * LN( EXP($C$77 * O28) + EXP($C$77 * O29) )</f>
        <v>1.1924624891236246</v>
      </c>
      <c r="U30" s="2">
        <v>26</v>
      </c>
      <c r="V30" s="2">
        <f>IF(AB29&gt;0, Z29, V29)</f>
        <v>0.97358758747577667</v>
      </c>
      <c r="W30" s="2">
        <f t="shared" si="0"/>
        <v>1.3367373208339473E-8</v>
      </c>
      <c r="X30" s="2">
        <f t="shared" si="8"/>
        <v>0.97358760237693787</v>
      </c>
      <c r="Y30" s="2">
        <f t="shared" si="1"/>
        <v>-1.8724970463068757E-9</v>
      </c>
      <c r="Z30" s="2">
        <f t="shared" si="3"/>
        <v>0.97358759492635727</v>
      </c>
      <c r="AA30" s="2">
        <f t="shared" si="2"/>
        <v>5.7474380810162984E-9</v>
      </c>
      <c r="AB30" s="2">
        <f t="shared" si="4"/>
        <v>7.6828149820767298E-17</v>
      </c>
      <c r="AC30" s="2">
        <f t="shared" si="5"/>
        <v>-1.0762060830534677E-17</v>
      </c>
      <c r="AD30" s="2">
        <f t="shared" si="6"/>
        <v>1.4901161193847656E-8</v>
      </c>
      <c r="AF30" s="2">
        <v>26</v>
      </c>
      <c r="AG30" s="2">
        <f t="shared" si="13"/>
        <v>1797.0467209815979</v>
      </c>
      <c r="AH30" s="2">
        <v>-2.7488578552947729E-5</v>
      </c>
      <c r="AI30" s="2">
        <f t="shared" si="14"/>
        <v>1797.0470041036606</v>
      </c>
      <c r="AJ30" s="2">
        <v>8.2213371342731989E-5</v>
      </c>
      <c r="AK30" s="2">
        <f t="shared" si="9"/>
        <v>1797.0468625426292</v>
      </c>
      <c r="AL30" s="2">
        <v>2.7362398213881534E-5</v>
      </c>
      <c r="AM30" s="2">
        <f t="shared" si="10"/>
        <v>-7.5215343269931917E-10</v>
      </c>
      <c r="AN30" s="2">
        <f t="shared" si="11"/>
        <v>2.2495550051855488E-9</v>
      </c>
      <c r="AO30" s="2">
        <f t="shared" si="12"/>
        <v>2.8312206268310547E-4</v>
      </c>
    </row>
    <row r="31" spans="2:41" x14ac:dyDescent="0.2">
      <c r="B31" s="6" t="s">
        <v>188</v>
      </c>
      <c r="C31" s="17">
        <v>0.75</v>
      </c>
      <c r="F31" s="32" t="s">
        <v>156</v>
      </c>
      <c r="G31" s="34"/>
      <c r="H31" s="34"/>
      <c r="J31" s="6" t="s">
        <v>55</v>
      </c>
      <c r="K31" s="4" t="str">
        <f>IF(ABS(K30)&lt;1, "TRUE", "FALSE")</f>
        <v>TRUE</v>
      </c>
      <c r="U31" s="2">
        <v>27</v>
      </c>
      <c r="V31" s="2">
        <f t="shared" si="7"/>
        <v>0.97358759492635727</v>
      </c>
      <c r="W31" s="2">
        <f t="shared" si="0"/>
        <v>5.7474380810162984E-9</v>
      </c>
      <c r="X31" s="2">
        <f t="shared" si="8"/>
        <v>0.97358760237693787</v>
      </c>
      <c r="Y31" s="2">
        <f t="shared" si="1"/>
        <v>-1.8724970463068757E-9</v>
      </c>
      <c r="Z31" s="2">
        <f t="shared" si="3"/>
        <v>0.97358759865164757</v>
      </c>
      <c r="AA31" s="2">
        <f t="shared" si="2"/>
        <v>1.9374705173547113E-9</v>
      </c>
      <c r="AB31" s="2">
        <f t="shared" si="4"/>
        <v>1.1135491832290817E-17</v>
      </c>
      <c r="AC31" s="2">
        <f t="shared" si="5"/>
        <v>-3.6279078210533514E-18</v>
      </c>
      <c r="AD31" s="2">
        <f t="shared" si="6"/>
        <v>7.4505805969238281E-9</v>
      </c>
      <c r="AF31" s="2">
        <v>27</v>
      </c>
      <c r="AG31" s="2">
        <f t="shared" si="13"/>
        <v>1797.0467209815979</v>
      </c>
      <c r="AH31" s="2">
        <v>-2.7488578552947729E-5</v>
      </c>
      <c r="AI31" s="2">
        <f t="shared" si="14"/>
        <v>1797.0468625426292</v>
      </c>
      <c r="AJ31" s="2">
        <v>2.7362398213881534E-5</v>
      </c>
      <c r="AK31" s="2">
        <f t="shared" si="9"/>
        <v>1797.0467917621136</v>
      </c>
      <c r="AL31" s="2">
        <v>-6.3090055846259929E-8</v>
      </c>
      <c r="AM31" s="2">
        <f t="shared" si="10"/>
        <v>1.7342559560397752E-12</v>
      </c>
      <c r="AN31" s="2">
        <f t="shared" si="11"/>
        <v>-1.7262952314013889E-12</v>
      </c>
      <c r="AO31" s="2">
        <f t="shared" si="12"/>
        <v>1.4156103134155273E-4</v>
      </c>
    </row>
    <row r="32" spans="2:41" x14ac:dyDescent="0.2">
      <c r="B32" s="6" t="s">
        <v>155</v>
      </c>
      <c r="C32" s="17">
        <v>50</v>
      </c>
      <c r="D32" s="6" t="s">
        <v>58</v>
      </c>
      <c r="F32" s="9" t="s">
        <v>157</v>
      </c>
      <c r="G32" s="17">
        <f>20*60</f>
        <v>1200</v>
      </c>
      <c r="H32" s="6" t="s">
        <v>13</v>
      </c>
      <c r="U32" s="2">
        <v>28</v>
      </c>
      <c r="V32" s="2">
        <f t="shared" si="7"/>
        <v>0.97358759865164757</v>
      </c>
      <c r="W32" s="2">
        <f t="shared" si="0"/>
        <v>1.9374705173547113E-9</v>
      </c>
      <c r="X32" s="2">
        <f t="shared" si="8"/>
        <v>0.97358760237693787</v>
      </c>
      <c r="Y32" s="2">
        <f t="shared" si="1"/>
        <v>-1.8724970463068757E-9</v>
      </c>
      <c r="Z32" s="2">
        <f t="shared" si="3"/>
        <v>0.97358760051429272</v>
      </c>
      <c r="AA32" s="2">
        <f t="shared" si="2"/>
        <v>3.2486791035069018E-11</v>
      </c>
      <c r="AB32" s="2">
        <f t="shared" si="4"/>
        <v>6.2942199833909568E-20</v>
      </c>
      <c r="AC32" s="2">
        <f t="shared" si="5"/>
        <v>-6.0831420257155427E-20</v>
      </c>
      <c r="AD32" s="2">
        <f t="shared" si="6"/>
        <v>3.7252902984619141E-9</v>
      </c>
      <c r="AF32" s="2">
        <v>28</v>
      </c>
      <c r="AG32" s="2">
        <f t="shared" si="13"/>
        <v>1797.0467917621136</v>
      </c>
      <c r="AH32" s="2">
        <v>-6.3090055846259929E-8</v>
      </c>
      <c r="AI32" s="2">
        <f t="shared" si="14"/>
        <v>1797.0468625426292</v>
      </c>
      <c r="AJ32" s="2">
        <v>2.7362398213881534E-5</v>
      </c>
      <c r="AK32" s="2">
        <f t="shared" si="9"/>
        <v>1797.0468271523714</v>
      </c>
      <c r="AL32" s="2">
        <v>1.3478883374773432E-5</v>
      </c>
      <c r="AM32" s="2">
        <f t="shared" si="10"/>
        <v>-8.503835048596803E-13</v>
      </c>
      <c r="AN32" s="2">
        <f t="shared" si="11"/>
        <v>3.6881457437901804E-10</v>
      </c>
      <c r="AO32" s="2">
        <f t="shared" si="12"/>
        <v>7.0780515670776367E-5</v>
      </c>
    </row>
    <row r="33" spans="2:41" x14ac:dyDescent="0.2">
      <c r="F33" s="26" t="s">
        <v>132</v>
      </c>
      <c r="G33" s="25">
        <f xml:space="preserve"> G20</f>
        <v>48.602419601500685</v>
      </c>
      <c r="H33" s="25" t="s">
        <v>101</v>
      </c>
      <c r="J33" s="27" t="s">
        <v>56</v>
      </c>
      <c r="K33" s="27"/>
      <c r="L33" s="27"/>
      <c r="U33" s="2">
        <v>29</v>
      </c>
      <c r="V33" s="2">
        <f t="shared" si="7"/>
        <v>0.97358760051429272</v>
      </c>
      <c r="W33" s="2">
        <f t="shared" si="0"/>
        <v>3.2486791035069018E-11</v>
      </c>
      <c r="X33" s="2">
        <f t="shared" si="8"/>
        <v>0.97358760237693787</v>
      </c>
      <c r="Y33" s="2">
        <f t="shared" si="1"/>
        <v>-1.8724970463068757E-9</v>
      </c>
      <c r="Z33" s="2">
        <f t="shared" si="3"/>
        <v>0.97358760144561529</v>
      </c>
      <c r="AA33" s="2">
        <f t="shared" si="2"/>
        <v>-9.2000507212475213E-10</v>
      </c>
      <c r="AB33" s="2">
        <f t="shared" si="4"/>
        <v>-2.9888012529320423E-20</v>
      </c>
      <c r="AC33" s="2">
        <f t="shared" si="5"/>
        <v>1.7227067801409426E-18</v>
      </c>
      <c r="AD33" s="2">
        <f t="shared" si="6"/>
        <v>1.862645149230957E-9</v>
      </c>
      <c r="AF33" s="2">
        <v>29</v>
      </c>
      <c r="AG33" s="2">
        <f t="shared" si="13"/>
        <v>1797.0467917621136</v>
      </c>
      <c r="AH33" s="2">
        <v>-6.3090055846259929E-8</v>
      </c>
      <c r="AI33" s="2">
        <f t="shared" si="14"/>
        <v>1797.0468271523714</v>
      </c>
      <c r="AJ33" s="2">
        <v>1.3478883374773432E-5</v>
      </c>
      <c r="AK33" s="2">
        <f t="shared" si="9"/>
        <v>1797.0468094572425</v>
      </c>
      <c r="AL33" s="2">
        <v>6.8786671363341156E-6</v>
      </c>
      <c r="AM33" s="2">
        <f t="shared" si="10"/>
        <v>-4.3397549377915222E-13</v>
      </c>
      <c r="AN33" s="2">
        <f t="shared" si="11"/>
        <v>9.2716752104534281E-11</v>
      </c>
      <c r="AO33" s="2">
        <f t="shared" si="12"/>
        <v>3.5390257835388184E-5</v>
      </c>
    </row>
    <row r="34" spans="2:41" x14ac:dyDescent="0.2">
      <c r="B34" s="30" t="s">
        <v>104</v>
      </c>
      <c r="C34" s="30"/>
      <c r="D34" s="30"/>
      <c r="J34" s="6" t="s">
        <v>57</v>
      </c>
      <c r="K34" s="6">
        <f>ROUND($C$16/$C$5 * 100, 2)</f>
        <v>33.39</v>
      </c>
      <c r="L34" s="6" t="s">
        <v>58</v>
      </c>
      <c r="U34" s="2">
        <v>30</v>
      </c>
      <c r="V34" s="2">
        <f t="shared" si="7"/>
        <v>0.97358760051429272</v>
      </c>
      <c r="W34" s="2">
        <f t="shared" si="0"/>
        <v>3.2486791035069018E-11</v>
      </c>
      <c r="X34" s="2">
        <f t="shared" si="8"/>
        <v>0.97358760144561529</v>
      </c>
      <c r="Y34" s="2">
        <f t="shared" si="1"/>
        <v>-9.2000507212475213E-10</v>
      </c>
      <c r="Z34" s="2">
        <f t="shared" si="3"/>
        <v>0.973587600979954</v>
      </c>
      <c r="AA34" s="2">
        <f t="shared" si="2"/>
        <v>-4.4375914054484156E-10</v>
      </c>
      <c r="AB34" s="2">
        <f t="shared" si="4"/>
        <v>-1.4416310468782091E-20</v>
      </c>
      <c r="AC34" s="2">
        <f t="shared" si="5"/>
        <v>4.0826066010297498E-19</v>
      </c>
      <c r="AD34" s="2">
        <f t="shared" si="6"/>
        <v>9.3132257461547852E-10</v>
      </c>
      <c r="AF34" s="2">
        <v>30</v>
      </c>
      <c r="AG34" s="2">
        <f t="shared" si="13"/>
        <v>1797.0467917621136</v>
      </c>
      <c r="AH34" s="2">
        <v>-6.3090055846259929E-8</v>
      </c>
      <c r="AI34" s="2">
        <f t="shared" si="14"/>
        <v>1797.0468094572425</v>
      </c>
      <c r="AJ34" s="2">
        <v>6.8786671363341156E-6</v>
      </c>
      <c r="AK34" s="2">
        <f t="shared" si="9"/>
        <v>1797.046800609678</v>
      </c>
      <c r="AL34" s="2">
        <v>3.407788881304441E-6</v>
      </c>
      <c r="AM34" s="2">
        <f t="shared" si="10"/>
        <v>-2.1499759083376083E-13</v>
      </c>
      <c r="AN34" s="2">
        <f t="shared" si="11"/>
        <v>2.3441045385393659E-11</v>
      </c>
      <c r="AO34" s="2">
        <f t="shared" si="12"/>
        <v>1.7695128917694092E-5</v>
      </c>
    </row>
    <row r="35" spans="2:41" x14ac:dyDescent="0.2">
      <c r="B35" s="6" t="s">
        <v>105</v>
      </c>
      <c r="C35" s="17">
        <v>6</v>
      </c>
      <c r="J35" s="11" t="s">
        <v>52</v>
      </c>
      <c r="K35" s="6">
        <f>ROUND(K15/$C$5 * 100, 2)</f>
        <v>22.76</v>
      </c>
      <c r="L35" s="6" t="s">
        <v>58</v>
      </c>
      <c r="AF35" s="2">
        <v>31</v>
      </c>
      <c r="AG35" s="2">
        <f t="shared" si="13"/>
        <v>1797.0467917621136</v>
      </c>
      <c r="AH35" s="2">
        <v>-6.3090055846259929E-8</v>
      </c>
      <c r="AI35" s="2">
        <f t="shared" si="14"/>
        <v>1797.046800609678</v>
      </c>
      <c r="AJ35" s="2">
        <v>3.407788881304441E-6</v>
      </c>
      <c r="AK35" s="2">
        <f t="shared" si="9"/>
        <v>1797.0467961858958</v>
      </c>
      <c r="AL35" s="2">
        <v>1.6723492990422528E-6</v>
      </c>
      <c r="AM35" s="2">
        <f t="shared" si="10"/>
        <v>-1.0550861067102938E-13</v>
      </c>
      <c r="AN35" s="2">
        <f t="shared" si="11"/>
        <v>5.6990133469334648E-12</v>
      </c>
      <c r="AO35" s="2">
        <f t="shared" si="12"/>
        <v>8.8475644588470459E-6</v>
      </c>
    </row>
    <row r="36" spans="2:41" x14ac:dyDescent="0.2">
      <c r="B36" s="6" t="s">
        <v>106</v>
      </c>
      <c r="C36" s="17">
        <v>9.1440000000000001</v>
      </c>
      <c r="D36" s="6" t="s">
        <v>8</v>
      </c>
      <c r="J36" s="19" t="s">
        <v>78</v>
      </c>
      <c r="K36" s="6">
        <f>ROUND(SUM(K16:K19)/$C$5 * 100, 2)</f>
        <v>13.72</v>
      </c>
      <c r="L36" s="6" t="s">
        <v>58</v>
      </c>
      <c r="AF36" s="2">
        <v>32</v>
      </c>
      <c r="AG36" s="2">
        <f t="shared" si="13"/>
        <v>1797.0467917621136</v>
      </c>
      <c r="AH36" s="2">
        <v>-6.3090055846259929E-8</v>
      </c>
      <c r="AI36" s="2">
        <f t="shared" si="14"/>
        <v>1797.0467961858958</v>
      </c>
      <c r="AJ36" s="2">
        <v>1.6723492990422528E-6</v>
      </c>
      <c r="AK36" s="2">
        <f t="shared" si="9"/>
        <v>1797.0467939740047</v>
      </c>
      <c r="AL36" s="2">
        <v>8.0463019003218506E-7</v>
      </c>
      <c r="AM36" s="2">
        <f t="shared" si="10"/>
        <v>-5.0764163624717295E-14</v>
      </c>
      <c r="AN36" s="2">
        <f t="shared" si="11"/>
        <v>1.3456227342885594E-12</v>
      </c>
      <c r="AO36" s="2">
        <f t="shared" si="12"/>
        <v>4.4237822294235229E-6</v>
      </c>
    </row>
    <row r="37" spans="2:41" x14ac:dyDescent="0.2">
      <c r="B37" s="6" t="s">
        <v>107</v>
      </c>
      <c r="C37" s="17">
        <v>1.8675309360000001</v>
      </c>
      <c r="D37" s="6" t="s">
        <v>8</v>
      </c>
      <c r="J37" s="20" t="s">
        <v>69</v>
      </c>
      <c r="K37" s="6">
        <f>ROUND(SUM(K20:K25)/$C$5 * 100, 2)</f>
        <v>25.38</v>
      </c>
      <c r="L37" s="6" t="s">
        <v>58</v>
      </c>
      <c r="AF37" s="2">
        <v>33</v>
      </c>
      <c r="AG37" s="2">
        <f t="shared" si="13"/>
        <v>1797.0467917621136</v>
      </c>
      <c r="AH37" s="2">
        <v>-6.3090055846259929E-8</v>
      </c>
      <c r="AI37" s="2">
        <f t="shared" si="14"/>
        <v>1797.0467939740047</v>
      </c>
      <c r="AJ37" s="2">
        <v>8.0463019003218506E-7</v>
      </c>
      <c r="AK37" s="2">
        <f t="shared" si="9"/>
        <v>1797.0467928680591</v>
      </c>
      <c r="AL37" s="2">
        <v>3.7076961234561168E-7</v>
      </c>
      <c r="AM37" s="2">
        <f t="shared" si="10"/>
        <v>-2.3391875548980786E-14</v>
      </c>
      <c r="AN37" s="2">
        <f t="shared" si="11"/>
        <v>2.9833242363980911E-13</v>
      </c>
      <c r="AO37" s="2">
        <f t="shared" si="12"/>
        <v>2.2118911147117615E-6</v>
      </c>
    </row>
    <row r="38" spans="2:41" x14ac:dyDescent="0.2">
      <c r="J38" s="15" t="s">
        <v>70</v>
      </c>
      <c r="K38" s="6">
        <f>ROUND(SUM(K26:K29)/$C$5*100, 2)</f>
        <v>4.76</v>
      </c>
      <c r="L38" s="6" t="s">
        <v>58</v>
      </c>
      <c r="AF38" s="2">
        <v>34</v>
      </c>
      <c r="AG38" s="2">
        <f t="shared" si="13"/>
        <v>1797.0467917621136</v>
      </c>
      <c r="AH38" s="2">
        <v>3.7076961234561168E-7</v>
      </c>
      <c r="AI38" s="2">
        <f t="shared" si="14"/>
        <v>1797.0467928680591</v>
      </c>
      <c r="AJ38" s="2">
        <v>3.7076961234561168E-7</v>
      </c>
      <c r="AK38" s="2">
        <f t="shared" si="9"/>
        <v>1797.0467923150863</v>
      </c>
      <c r="AL38" s="2">
        <v>1.538398919365136E-7</v>
      </c>
      <c r="AM38" s="2">
        <f t="shared" si="10"/>
        <v>5.7039157096591937E-14</v>
      </c>
      <c r="AN38" s="2">
        <f t="shared" si="11"/>
        <v>5.7039157096591937E-14</v>
      </c>
      <c r="AO38" s="2">
        <f t="shared" si="12"/>
        <v>1.1059455573558807E-6</v>
      </c>
    </row>
    <row r="39" spans="2:41" x14ac:dyDescent="0.2">
      <c r="B39" s="30" t="s">
        <v>108</v>
      </c>
      <c r="C39" s="30"/>
      <c r="D39" s="30"/>
      <c r="J39" s="10" t="s">
        <v>59</v>
      </c>
      <c r="K39" s="10">
        <f>SUM(K34:K38)</f>
        <v>100.01</v>
      </c>
      <c r="L39" s="10" t="s">
        <v>58</v>
      </c>
      <c r="AF39" s="2">
        <v>35</v>
      </c>
      <c r="AG39" s="2">
        <f t="shared" si="13"/>
        <v>1797.0467923150863</v>
      </c>
      <c r="AH39" s="2">
        <v>3.7076961234561168E-7</v>
      </c>
      <c r="AI39" s="2">
        <f t="shared" si="14"/>
        <v>1797.0467923150863</v>
      </c>
      <c r="AJ39" s="2">
        <v>1.538398919365136E-7</v>
      </c>
      <c r="AK39" s="2">
        <f t="shared" si="9"/>
        <v>1797.0467923150863</v>
      </c>
      <c r="AL39" s="2">
        <v>1.538398919365136E-7</v>
      </c>
      <c r="AM39" s="2">
        <f t="shared" si="10"/>
        <v>5.7039157096591937E-14</v>
      </c>
      <c r="AN39" s="2">
        <f t="shared" si="11"/>
        <v>2.3666712351038181E-14</v>
      </c>
      <c r="AO39" s="2">
        <f t="shared" si="12"/>
        <v>0</v>
      </c>
    </row>
    <row r="40" spans="2:41" x14ac:dyDescent="0.2">
      <c r="B40" s="6" t="s">
        <v>116</v>
      </c>
      <c r="C40" s="22" t="s">
        <v>189</v>
      </c>
      <c r="AF40" s="2">
        <v>36</v>
      </c>
      <c r="AG40" s="2">
        <f t="shared" si="13"/>
        <v>1797.0467923150863</v>
      </c>
      <c r="AH40" s="2">
        <v>3.7076961234561168E-7</v>
      </c>
      <c r="AI40" s="2">
        <f t="shared" si="14"/>
        <v>1797.0467923150863</v>
      </c>
      <c r="AJ40" s="2">
        <v>1.538398919365136E-7</v>
      </c>
      <c r="AK40" s="2">
        <f t="shared" si="9"/>
        <v>1797.0467923150863</v>
      </c>
      <c r="AL40" s="2">
        <v>1.538398919365136E-7</v>
      </c>
      <c r="AM40" s="2">
        <f t="shared" si="10"/>
        <v>5.7039157096591937E-14</v>
      </c>
      <c r="AN40" s="2">
        <f t="shared" si="11"/>
        <v>2.3666712351038181E-14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111</v>
      </c>
      <c r="K41" s="30"/>
      <c r="L41" s="30"/>
      <c r="AF41" s="2">
        <v>37</v>
      </c>
      <c r="AG41" s="2">
        <f t="shared" si="13"/>
        <v>1797.0467923150863</v>
      </c>
      <c r="AH41" s="2">
        <v>3.7076961234561168E-7</v>
      </c>
      <c r="AI41" s="2">
        <f t="shared" si="14"/>
        <v>1797.0467923150863</v>
      </c>
      <c r="AJ41" s="2">
        <v>1.538398919365136E-7</v>
      </c>
      <c r="AK41" s="2">
        <f t="shared" si="9"/>
        <v>1797.0467923150863</v>
      </c>
      <c r="AL41" s="2">
        <v>1.538398919365136E-7</v>
      </c>
      <c r="AM41" s="2">
        <f t="shared" si="10"/>
        <v>5.7039157096591937E-14</v>
      </c>
      <c r="AN41" s="2">
        <f t="shared" si="11"/>
        <v>2.3666712351038181E-14</v>
      </c>
      <c r="AO41" s="2">
        <f t="shared" si="12"/>
        <v>0</v>
      </c>
    </row>
    <row r="42" spans="2:41" x14ac:dyDescent="0.2">
      <c r="B42" s="6" t="s">
        <v>190</v>
      </c>
      <c r="C42" s="17">
        <v>0.30480000000000002</v>
      </c>
      <c r="D42" s="6" t="s">
        <v>8</v>
      </c>
      <c r="J42" s="6" t="s">
        <v>57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1797.0467923150863</v>
      </c>
      <c r="AH42" s="2">
        <v>3.7076961234561168E-7</v>
      </c>
      <c r="AI42" s="2">
        <f t="shared" si="14"/>
        <v>1797.0467923150863</v>
      </c>
      <c r="AJ42" s="2">
        <v>1.538398919365136E-7</v>
      </c>
      <c r="AK42" s="2">
        <f t="shared" si="9"/>
        <v>1797.0467923150863</v>
      </c>
      <c r="AL42" s="2">
        <v>1.538398919365136E-7</v>
      </c>
      <c r="AM42" s="2">
        <f t="shared" si="10"/>
        <v>5.7039157096591937E-14</v>
      </c>
      <c r="AN42" s="2">
        <f t="shared" si="11"/>
        <v>2.3666712351038181E-14</v>
      </c>
      <c r="AO42" s="2">
        <f t="shared" si="12"/>
        <v>0</v>
      </c>
    </row>
    <row r="43" spans="2:41" x14ac:dyDescent="0.2">
      <c r="B43" s="6" t="s">
        <v>191</v>
      </c>
      <c r="C43" s="17">
        <v>5.7</v>
      </c>
      <c r="J43" s="11" t="s">
        <v>52</v>
      </c>
      <c r="K43" s="6">
        <f>ROUND(K15, 2)</f>
        <v>408.96</v>
      </c>
      <c r="L43" s="6" t="s">
        <v>7</v>
      </c>
      <c r="AF43" s="2">
        <v>39</v>
      </c>
      <c r="AG43" s="2">
        <f t="shared" si="13"/>
        <v>1797.0467923150863</v>
      </c>
      <c r="AH43" s="2">
        <v>3.7076961234561168E-7</v>
      </c>
      <c r="AI43" s="2">
        <f t="shared" si="14"/>
        <v>1797.0467923150863</v>
      </c>
      <c r="AJ43" s="2">
        <v>1.538398919365136E-7</v>
      </c>
      <c r="AK43" s="2">
        <f t="shared" si="9"/>
        <v>1797.0467923150863</v>
      </c>
      <c r="AL43" s="2">
        <v>1.538398919365136E-7</v>
      </c>
      <c r="AM43" s="2">
        <f t="shared" si="10"/>
        <v>5.7039157096591937E-14</v>
      </c>
      <c r="AN43" s="2">
        <f t="shared" si="11"/>
        <v>2.3666712351038181E-14</v>
      </c>
      <c r="AO43" s="2">
        <f t="shared" si="12"/>
        <v>0</v>
      </c>
    </row>
    <row r="44" spans="2:41" x14ac:dyDescent="0.2">
      <c r="J44" s="19" t="s">
        <v>78</v>
      </c>
      <c r="K44" s="6">
        <f>ROUND(SUM(K16:K19), 2)</f>
        <v>246.49</v>
      </c>
      <c r="L44" s="6" t="s">
        <v>7</v>
      </c>
      <c r="AF44" s="2">
        <v>40</v>
      </c>
      <c r="AG44" s="2">
        <f t="shared" si="13"/>
        <v>1797.0467923150863</v>
      </c>
      <c r="AH44" s="2">
        <v>3.7076961234561168E-7</v>
      </c>
      <c r="AI44" s="2">
        <f t="shared" si="14"/>
        <v>1797.0467923150863</v>
      </c>
      <c r="AJ44" s="2">
        <v>1.538398919365136E-7</v>
      </c>
      <c r="AK44" s="5">
        <f t="shared" si="9"/>
        <v>1797.0467923150863</v>
      </c>
      <c r="AL44" s="2">
        <v>1.538398919365136E-7</v>
      </c>
      <c r="AM44" s="2">
        <f t="shared" si="10"/>
        <v>5.7039157096591937E-14</v>
      </c>
      <c r="AN44" s="2">
        <f t="shared" si="11"/>
        <v>2.3666712351038181E-14</v>
      </c>
      <c r="AO44" s="2">
        <f t="shared" si="12"/>
        <v>0</v>
      </c>
    </row>
    <row r="45" spans="2:41" x14ac:dyDescent="0.2">
      <c r="B45" s="30" t="s">
        <v>192</v>
      </c>
      <c r="C45" s="30"/>
      <c r="D45" s="30"/>
      <c r="J45" s="20" t="s">
        <v>69</v>
      </c>
      <c r="K45" s="6">
        <f>ROUND(SUM(K20:K25), 2)</f>
        <v>456.06</v>
      </c>
      <c r="L45" s="6" t="s">
        <v>7</v>
      </c>
    </row>
    <row r="46" spans="2:41" x14ac:dyDescent="0.2">
      <c r="B46" s="6" t="s">
        <v>191</v>
      </c>
      <c r="C46" s="17">
        <v>3</v>
      </c>
      <c r="J46" s="15" t="s">
        <v>70</v>
      </c>
      <c r="K46" s="6">
        <f>ROUND(SUM(K26:K29), 2)</f>
        <v>85.51</v>
      </c>
      <c r="L46" s="6" t="s">
        <v>7</v>
      </c>
    </row>
    <row r="47" spans="2:41" x14ac:dyDescent="0.2">
      <c r="J47" s="10" t="s">
        <v>59</v>
      </c>
      <c r="K47" s="10">
        <f>SUM(K42:K46)</f>
        <v>1797.02</v>
      </c>
      <c r="L47" s="6" t="s">
        <v>7</v>
      </c>
    </row>
    <row r="48" spans="2:41" x14ac:dyDescent="0.2">
      <c r="B48" s="30" t="s">
        <v>193</v>
      </c>
      <c r="C48" s="30"/>
      <c r="D48" s="30"/>
    </row>
    <row r="49" spans="2:4" x14ac:dyDescent="0.2">
      <c r="B49" s="6" t="s">
        <v>194</v>
      </c>
      <c r="C49" s="17">
        <v>4.3036300000000001</v>
      </c>
    </row>
    <row r="50" spans="2:4" x14ac:dyDescent="0.2">
      <c r="B50" s="6" t="s">
        <v>195</v>
      </c>
      <c r="C50" s="17">
        <f>39.5112*0.3048^2</f>
        <v>3.6707105940480003</v>
      </c>
      <c r="D50" s="6" t="s">
        <v>174</v>
      </c>
    </row>
    <row r="51" spans="2:4" x14ac:dyDescent="0.2">
      <c r="B51" s="6" t="s">
        <v>196</v>
      </c>
      <c r="C51" s="17">
        <f>0.15*3.7875*0.3048</f>
        <v>0.1731645</v>
      </c>
      <c r="D51" s="6" t="s">
        <v>8</v>
      </c>
    </row>
    <row r="53" spans="2:4" x14ac:dyDescent="0.2">
      <c r="B53" s="30" t="s">
        <v>197</v>
      </c>
      <c r="C53" s="30"/>
      <c r="D53" s="30"/>
    </row>
    <row r="54" spans="2:4" x14ac:dyDescent="0.2">
      <c r="B54" s="6" t="s">
        <v>198</v>
      </c>
      <c r="C54" s="17">
        <v>1.1798999999999999</v>
      </c>
    </row>
    <row r="55" spans="2:4" x14ac:dyDescent="0.2">
      <c r="B55" s="6" t="s">
        <v>199</v>
      </c>
      <c r="C55" s="17">
        <f>27.34325*0.3048^2</f>
        <v>2.5402710484800002</v>
      </c>
      <c r="D55" s="6" t="s">
        <v>174</v>
      </c>
    </row>
    <row r="56" spans="2:4" x14ac:dyDescent="0.2">
      <c r="B56" s="6" t="s">
        <v>200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201</v>
      </c>
      <c r="C57" s="17">
        <v>35</v>
      </c>
      <c r="D57" s="6" t="s">
        <v>40</v>
      </c>
    </row>
    <row r="59" spans="2:4" x14ac:dyDescent="0.2">
      <c r="B59" s="32" t="s">
        <v>2</v>
      </c>
      <c r="C59" s="34"/>
      <c r="D59" s="34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0" t="s">
        <v>144</v>
      </c>
      <c r="C64" s="31"/>
      <c r="D64" s="31"/>
    </row>
    <row r="65" spans="2:4" x14ac:dyDescent="0.2">
      <c r="B65" s="6" t="s">
        <v>14</v>
      </c>
      <c r="C65" s="17">
        <v>1.0397562309141399</v>
      </c>
      <c r="D65" s="6" t="s">
        <v>15</v>
      </c>
    </row>
    <row r="66" spans="2:4" x14ac:dyDescent="0.2">
      <c r="B66" s="6" t="s">
        <v>130</v>
      </c>
      <c r="C66" s="23">
        <v>1.7363179204150701E-5</v>
      </c>
      <c r="D66" s="6" t="s">
        <v>129</v>
      </c>
    </row>
    <row r="67" spans="2:4" x14ac:dyDescent="0.2">
      <c r="B67" s="6" t="s">
        <v>123</v>
      </c>
      <c r="C67" s="17">
        <v>333.91694458017901</v>
      </c>
      <c r="D67" s="6" t="s">
        <v>10</v>
      </c>
    </row>
    <row r="68" spans="2:4" x14ac:dyDescent="0.2">
      <c r="B68" s="6" t="s">
        <v>16</v>
      </c>
      <c r="C68" s="1">
        <v>9.80149119240094</v>
      </c>
      <c r="D68" s="6" t="s">
        <v>17</v>
      </c>
    </row>
    <row r="70" spans="2:4" x14ac:dyDescent="0.2">
      <c r="B70" s="30" t="s">
        <v>145</v>
      </c>
      <c r="C70" s="31"/>
      <c r="D70" s="31"/>
    </row>
    <row r="71" spans="2:4" x14ac:dyDescent="0.2">
      <c r="B71" s="6" t="s">
        <v>14</v>
      </c>
      <c r="C71" s="17">
        <v>1.00854450666398</v>
      </c>
      <c r="D71" s="6" t="s">
        <v>15</v>
      </c>
    </row>
    <row r="72" spans="2:4" x14ac:dyDescent="0.2">
      <c r="B72" s="6" t="s">
        <v>130</v>
      </c>
      <c r="C72" s="23">
        <v>1.7265641515845801E-5</v>
      </c>
      <c r="D72" s="6" t="s">
        <v>129</v>
      </c>
    </row>
    <row r="73" spans="2:4" x14ac:dyDescent="0.2">
      <c r="B73" s="6" t="s">
        <v>123</v>
      </c>
      <c r="C73" s="17">
        <v>332.721752148093</v>
      </c>
      <c r="D73" s="6" t="s">
        <v>10</v>
      </c>
    </row>
    <row r="74" spans="2:4" x14ac:dyDescent="0.2">
      <c r="B74" s="6" t="s">
        <v>16</v>
      </c>
      <c r="C74" s="1">
        <v>9.8005536647414697</v>
      </c>
      <c r="D74" s="6" t="s">
        <v>17</v>
      </c>
    </row>
    <row r="76" spans="2:4" x14ac:dyDescent="0.2">
      <c r="B76" s="30" t="s">
        <v>71</v>
      </c>
      <c r="C76" s="30"/>
      <c r="D76" s="30"/>
    </row>
    <row r="77" spans="2:4" x14ac:dyDescent="0.2">
      <c r="B77" s="6" t="s">
        <v>137</v>
      </c>
      <c r="C77" s="17">
        <v>30</v>
      </c>
    </row>
    <row r="78" spans="2:4" x14ac:dyDescent="0.2">
      <c r="B78" s="6" t="s">
        <v>139</v>
      </c>
      <c r="C78" s="17">
        <v>0.8</v>
      </c>
    </row>
    <row r="79" spans="2:4" x14ac:dyDescent="0.2">
      <c r="B79" s="6" t="s">
        <v>140</v>
      </c>
      <c r="C79" s="17">
        <v>0.8</v>
      </c>
    </row>
    <row r="80" spans="2:4" x14ac:dyDescent="0.2">
      <c r="B80" s="6" t="s">
        <v>141</v>
      </c>
      <c r="C80" s="17">
        <v>0.8</v>
      </c>
    </row>
    <row r="81" spans="2:4" x14ac:dyDescent="0.2">
      <c r="B81" s="6" t="s">
        <v>202</v>
      </c>
      <c r="C81" s="17">
        <v>5</v>
      </c>
      <c r="D81" s="6" t="s">
        <v>40</v>
      </c>
    </row>
  </sheetData>
  <mergeCells count="23"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53:D53"/>
    <mergeCell ref="B59:D59"/>
    <mergeCell ref="B64:D64"/>
    <mergeCell ref="B70:D70"/>
    <mergeCell ref="B76:D76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E1A9-C4C4-A348-BC37-5AE9FA751E17}">
  <dimension ref="B1:AO81"/>
  <sheetViews>
    <sheetView zoomScale="88" workbookViewId="0">
      <selection activeCell="E7" sqref="E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6" t="s">
        <v>0</v>
      </c>
      <c r="C1" s="36"/>
      <c r="D1" s="36"/>
    </row>
    <row r="2" spans="2:41" x14ac:dyDescent="0.2">
      <c r="U2" s="16" t="s">
        <v>93</v>
      </c>
      <c r="AF2" s="29" t="s">
        <v>160</v>
      </c>
    </row>
    <row r="3" spans="2:41" x14ac:dyDescent="0.2">
      <c r="B3" s="30" t="s">
        <v>118</v>
      </c>
      <c r="C3" s="31"/>
      <c r="D3" s="31"/>
      <c r="F3" s="32" t="s">
        <v>80</v>
      </c>
      <c r="G3" s="34"/>
      <c r="H3" s="34"/>
      <c r="J3" s="30" t="s">
        <v>98</v>
      </c>
      <c r="K3" s="30"/>
      <c r="L3" s="30"/>
      <c r="N3" s="30" t="s">
        <v>92</v>
      </c>
      <c r="O3" s="30"/>
      <c r="P3" s="30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3" t="s">
        <v>161</v>
      </c>
      <c r="F4" s="6" t="s">
        <v>84</v>
      </c>
      <c r="G4" s="17">
        <f>500*0.3048/60</f>
        <v>2.54</v>
      </c>
      <c r="H4" s="6" t="s">
        <v>10</v>
      </c>
      <c r="J4" s="6" t="s">
        <v>99</v>
      </c>
      <c r="K4" s="6">
        <f>(1+$C$25/100)*MAX(G10,G29)</f>
        <v>344.77627006460705</v>
      </c>
      <c r="L4" s="6" t="s">
        <v>101</v>
      </c>
      <c r="N4" s="6" t="s">
        <v>162</v>
      </c>
      <c r="O4" s="6">
        <f xml:space="preserve"> $C$5 * $C$74</f>
        <v>18351.883933463865</v>
      </c>
      <c r="P4" s="6" t="s">
        <v>20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1.2095777321758872</v>
      </c>
      <c r="X4" s="3">
        <v>1</v>
      </c>
      <c r="Y4" s="2">
        <f t="shared" ref="Y4:Y34" si="1" xml:space="preserve"> $O$22 * TAN($O$19/180*PI()) + $O$23 / (2 * SQRT($O$22^2 + X4^2)) - X4</f>
        <v>-2.7282021730977046E-2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0.49370472097691431</v>
      </c>
      <c r="AB4" s="2">
        <f>W4*AA4</f>
        <v>0.59717423676378512</v>
      </c>
      <c r="AC4" s="2">
        <f>Y4*AA4</f>
        <v>-1.3469262926378135E-2</v>
      </c>
      <c r="AD4" s="2">
        <f>X4-V4</f>
        <v>1</v>
      </c>
      <c r="AF4" s="2">
        <v>0</v>
      </c>
      <c r="AH4" s="2">
        <f>K30</f>
        <v>-5.6200170629381319E-3</v>
      </c>
      <c r="AJ4" s="2">
        <f>K30</f>
        <v>-5.6200170629381319E-3</v>
      </c>
      <c r="AL4" s="2">
        <f>K30</f>
        <v>-5.6200170629381319E-3</v>
      </c>
    </row>
    <row r="5" spans="2:41" x14ac:dyDescent="0.2">
      <c r="B5" s="10" t="s">
        <v>37</v>
      </c>
      <c r="C5" s="10">
        <v>1872.5354261858399</v>
      </c>
      <c r="D5" s="10" t="s">
        <v>7</v>
      </c>
      <c r="F5" s="6" t="s">
        <v>87</v>
      </c>
      <c r="G5" s="17">
        <f>1000*0.3048</f>
        <v>304.8</v>
      </c>
      <c r="H5" s="6" t="s">
        <v>8</v>
      </c>
      <c r="J5" s="6" t="s">
        <v>100</v>
      </c>
      <c r="K5" s="6">
        <f>K4/$C$21</f>
        <v>43.097033758075881</v>
      </c>
      <c r="L5" s="6" t="s">
        <v>101</v>
      </c>
      <c r="N5" s="6" t="s">
        <v>22</v>
      </c>
      <c r="O5" s="6">
        <f xml:space="preserve"> 0.5 * $C$71 * $C$7^2</f>
        <v>807.76285552959814</v>
      </c>
      <c r="P5" s="6" t="s">
        <v>23</v>
      </c>
      <c r="U5" s="2">
        <v>1</v>
      </c>
      <c r="V5" s="2">
        <f>IF(AB4&gt;0, Z4, V4)</f>
        <v>0.5</v>
      </c>
      <c r="W5" s="2">
        <f t="shared" si="0"/>
        <v>0.49370472097691431</v>
      </c>
      <c r="X5" s="2">
        <f>IF(AC4&gt;0, Z4, X4)</f>
        <v>1</v>
      </c>
      <c r="Y5" s="2">
        <f t="shared" si="1"/>
        <v>-2.7282021730977046E-2</v>
      </c>
      <c r="Z5" s="2">
        <f t="shared" ref="Z5:Z34" si="3" xml:space="preserve"> (V5 + X5)/2</f>
        <v>0.75</v>
      </c>
      <c r="AA5" s="2">
        <f t="shared" si="2"/>
        <v>0.22978257632458077</v>
      </c>
      <c r="AB5" s="2">
        <f t="shared" ref="AB5:AB34" si="4">W5*AA5</f>
        <v>0.11344474272968366</v>
      </c>
      <c r="AC5" s="2">
        <f t="shared" ref="AC5:AC34" si="5">Y5*AA5</f>
        <v>-6.2689332406871039E-3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-668.06894502941316</v>
      </c>
      <c r="AI5" s="3">
        <v>10000</v>
      </c>
      <c r="AJ5" s="2">
        <f t="dataTable" ref="AJ5:AJ44" dt2D="0" dtr="0" r1="C5" ca="1"/>
        <v>2623.8854175975875</v>
      </c>
      <c r="AK5" s="2">
        <f>(AG5+AI5)/2</f>
        <v>5250</v>
      </c>
      <c r="AL5" s="2">
        <f t="dataTable" ref="AL5:AL44" dt2D="0" dtr="0" r1="C5" ca="1"/>
        <v>1640.6667428784808</v>
      </c>
      <c r="AM5" s="2">
        <f>AH5*AL5</f>
        <v>-1096078.5000596701</v>
      </c>
      <c r="AN5" s="2">
        <f>AJ5*AL5</f>
        <v>4304921.5417761765</v>
      </c>
      <c r="AO5" s="2">
        <f>AI5-AG5</f>
        <v>9500</v>
      </c>
    </row>
    <row r="6" spans="2:41" x14ac:dyDescent="0.2">
      <c r="B6" s="6" t="s">
        <v>163</v>
      </c>
      <c r="C6" s="17">
        <v>190.585610765045</v>
      </c>
      <c r="D6" s="6" t="s">
        <v>125</v>
      </c>
      <c r="F6" s="6" t="s">
        <v>88</v>
      </c>
      <c r="G6" s="6">
        <f xml:space="preserve"> $G$5/$G$4</f>
        <v>120</v>
      </c>
      <c r="H6" s="6" t="s">
        <v>13</v>
      </c>
      <c r="J6" s="6" t="s">
        <v>164</v>
      </c>
      <c r="K6" s="6">
        <f>(1+$C$32/100)*MAX(G20)</f>
        <v>66.353472961102042</v>
      </c>
      <c r="L6" s="6" t="s">
        <v>101</v>
      </c>
      <c r="N6" s="6" t="s">
        <v>114</v>
      </c>
      <c r="O6" s="6">
        <f xml:space="preserve"> ($C$21+$C$28) * 0.4 * ($C$5/($C$21+$C$28) *2.20462/1000)^(2/3) * 0.3048^2</f>
        <v>0.19892068387744649</v>
      </c>
      <c r="P6" s="6" t="s">
        <v>115</v>
      </c>
      <c r="U6" s="2">
        <v>2</v>
      </c>
      <c r="V6" s="2">
        <f t="shared" ref="V6:V34" si="7">IF(AB5&gt;0, Z5, V5)</f>
        <v>0.75</v>
      </c>
      <c r="W6" s="2">
        <f t="shared" si="0"/>
        <v>0.22978257632458077</v>
      </c>
      <c r="X6" s="2">
        <f t="shared" ref="X6:X34" si="8">IF(AC5&gt;0, Z5, X5)</f>
        <v>1</v>
      </c>
      <c r="Y6" s="2">
        <f t="shared" si="1"/>
        <v>-2.7282021730977046E-2</v>
      </c>
      <c r="Z6" s="2">
        <f t="shared" si="3"/>
        <v>0.875</v>
      </c>
      <c r="AA6" s="2">
        <f t="shared" si="2"/>
        <v>0.10075254268464706</v>
      </c>
      <c r="AB6" s="2">
        <f t="shared" si="4"/>
        <v>2.3151178829330495E-2</v>
      </c>
      <c r="AC6" s="2">
        <f t="shared" si="5"/>
        <v>-2.7487330589737336E-3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-668.06894502941316</v>
      </c>
      <c r="AI6" s="2">
        <f>IF(AN5&gt;0,AK5,AI5)</f>
        <v>5250</v>
      </c>
      <c r="AJ6" s="2">
        <v>1640.6667428784808</v>
      </c>
      <c r="AK6" s="2">
        <f t="shared" ref="AK6:AK44" si="9">(AG6+AI6)/2</f>
        <v>2875</v>
      </c>
      <c r="AL6" s="2">
        <v>352.84463678035536</v>
      </c>
      <c r="AM6" s="2">
        <f t="shared" ref="AM6:AM44" si="10">AH6*AL6</f>
        <v>-235724.54425313848</v>
      </c>
      <c r="AN6" s="2">
        <f t="shared" ref="AN6:AN44" si="11">AJ6*AL6</f>
        <v>578900.46096856624</v>
      </c>
      <c r="AO6" s="2">
        <f t="shared" ref="AO6:AO44" si="12">AI6-AG6</f>
        <v>4750</v>
      </c>
    </row>
    <row r="7" spans="2:41" x14ac:dyDescent="0.2">
      <c r="B7" s="6" t="s">
        <v>9</v>
      </c>
      <c r="C7" s="17">
        <f>144.082721738374* 1000/3600</f>
        <v>40.022978260659443</v>
      </c>
      <c r="D7" s="6" t="s">
        <v>10</v>
      </c>
      <c r="F7" s="6" t="s">
        <v>19</v>
      </c>
      <c r="G7" s="6">
        <f xml:space="preserve"> $C$5 * $C$68 / $C$21</f>
        <v>2294.2049359024063</v>
      </c>
      <c r="H7" s="6" t="s">
        <v>20</v>
      </c>
      <c r="J7" s="6" t="s">
        <v>165</v>
      </c>
      <c r="K7" s="6">
        <f>K6/$C$28</f>
        <v>66.353472961102042</v>
      </c>
      <c r="L7" s="6" t="s">
        <v>101</v>
      </c>
      <c r="N7" s="6" t="s">
        <v>166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0.10075254268464706</v>
      </c>
      <c r="X7" s="2">
        <f t="shared" si="8"/>
        <v>1</v>
      </c>
      <c r="Y7" s="2">
        <f t="shared" si="1"/>
        <v>-2.7282021730977046E-2</v>
      </c>
      <c r="Z7" s="2">
        <f t="shared" si="3"/>
        <v>0.9375</v>
      </c>
      <c r="AA7" s="2">
        <f t="shared" si="2"/>
        <v>3.6635298265187966E-2</v>
      </c>
      <c r="AB7" s="2">
        <f t="shared" si="4"/>
        <v>3.6910994522281271E-3</v>
      </c>
      <c r="AC7" s="2">
        <f t="shared" si="5"/>
        <v>-9.9948500339168368E-4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-668.06894502941316</v>
      </c>
      <c r="AI7" s="2">
        <f t="shared" ref="AI7:AI44" si="14">IF(AN6&gt;0,AK6,AI6)</f>
        <v>2875</v>
      </c>
      <c r="AJ7" s="2">
        <v>352.84463678035536</v>
      </c>
      <c r="AK7" s="2">
        <f t="shared" si="9"/>
        <v>1687.5</v>
      </c>
      <c r="AL7" s="2">
        <v>-79.075634351544295</v>
      </c>
      <c r="AM7" s="2">
        <f t="shared" si="10"/>
        <v>52827.975618767821</v>
      </c>
      <c r="AN7" s="2">
        <f t="shared" si="11"/>
        <v>-27901.413480946838</v>
      </c>
      <c r="AO7" s="2">
        <f t="shared" si="12"/>
        <v>2375</v>
      </c>
    </row>
    <row r="8" spans="2:41" x14ac:dyDescent="0.2">
      <c r="B8" s="6" t="s">
        <v>95</v>
      </c>
      <c r="C8" s="17">
        <v>2.3358264624836198</v>
      </c>
      <c r="D8" s="6" t="s">
        <v>8</v>
      </c>
      <c r="F8" t="s">
        <v>97</v>
      </c>
      <c r="G8" s="6">
        <f>G10/$C$21</f>
        <v>28.731355838717253</v>
      </c>
      <c r="H8" s="6" t="s">
        <v>18</v>
      </c>
      <c r="N8" s="6" t="s">
        <v>167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3.6635298265187966E-2</v>
      </c>
      <c r="X8" s="2">
        <f t="shared" si="8"/>
        <v>1</v>
      </c>
      <c r="Y8" s="2">
        <f t="shared" si="1"/>
        <v>-2.7282021730977046E-2</v>
      </c>
      <c r="Z8" s="2">
        <f t="shared" si="3"/>
        <v>0.96875</v>
      </c>
      <c r="AA8" s="2">
        <f t="shared" si="2"/>
        <v>4.654029677435445E-3</v>
      </c>
      <c r="AB8" s="2">
        <f t="shared" si="4"/>
        <v>1.7050176536788407E-4</v>
      </c>
      <c r="AC8" s="2">
        <f t="shared" si="5"/>
        <v>-1.2697133879640592E-4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-79.075634351544295</v>
      </c>
      <c r="AI8" s="2">
        <f t="shared" si="14"/>
        <v>2875</v>
      </c>
      <c r="AJ8" s="2">
        <v>352.84463678035536</v>
      </c>
      <c r="AK8" s="2">
        <f t="shared" si="9"/>
        <v>2281.25</v>
      </c>
      <c r="AL8" s="2">
        <v>159.65876229305172</v>
      </c>
      <c r="AM8" s="2">
        <f t="shared" si="10"/>
        <v>-12625.117908105485</v>
      </c>
      <c r="AN8" s="2">
        <f t="shared" si="11"/>
        <v>56334.73799009293</v>
      </c>
      <c r="AO8" s="2">
        <f t="shared" si="12"/>
        <v>1187.5</v>
      </c>
    </row>
    <row r="9" spans="2:41" x14ac:dyDescent="0.2">
      <c r="B9" s="6" t="s">
        <v>131</v>
      </c>
      <c r="C9" s="17">
        <f>(0.548288+0.530863+0.513438+0.496013+0.478588+0.461163+0.443738+0.426313)/8</f>
        <v>0.48730050000000003</v>
      </c>
      <c r="D9" s="6" t="s">
        <v>8</v>
      </c>
      <c r="F9" t="s">
        <v>146</v>
      </c>
      <c r="G9" s="6">
        <f xml:space="preserve"> (G7/$C$68*1000) / (G8*1000)</f>
        <v>8.1467414760082608</v>
      </c>
      <c r="H9" s="6" t="s">
        <v>147</v>
      </c>
      <c r="J9" s="30" t="s">
        <v>21</v>
      </c>
      <c r="K9" s="30"/>
      <c r="L9" s="30"/>
      <c r="N9" s="6" t="s">
        <v>168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4.654029677435445E-3</v>
      </c>
      <c r="X9" s="2">
        <f t="shared" si="8"/>
        <v>1</v>
      </c>
      <c r="Y9" s="2">
        <f t="shared" si="1"/>
        <v>-2.7282021730977046E-2</v>
      </c>
      <c r="Z9" s="2">
        <f t="shared" si="3"/>
        <v>0.984375</v>
      </c>
      <c r="AA9" s="2">
        <f t="shared" si="2"/>
        <v>-1.1319382900365049E-2</v>
      </c>
      <c r="AB9" s="2">
        <f t="shared" si="4"/>
        <v>-5.268074394855424E-5</v>
      </c>
      <c r="AC9" s="2">
        <f t="shared" si="5"/>
        <v>3.0881565026900926E-4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-79.075634351544295</v>
      </c>
      <c r="AI9" s="2">
        <f t="shared" si="14"/>
        <v>2281.25</v>
      </c>
      <c r="AJ9" s="2">
        <v>159.65876229305172</v>
      </c>
      <c r="AK9" s="2">
        <f t="shared" si="9"/>
        <v>1984.375</v>
      </c>
      <c r="AL9" s="2">
        <v>45.766397261269276</v>
      </c>
      <c r="AM9" s="2">
        <f t="shared" si="10"/>
        <v>-3619.0068954196477</v>
      </c>
      <c r="AN9" s="2">
        <f t="shared" si="11"/>
        <v>7307.0063413463649</v>
      </c>
      <c r="AO9" s="2">
        <f t="shared" si="12"/>
        <v>593.75</v>
      </c>
    </row>
    <row r="10" spans="2:41" x14ac:dyDescent="0.2">
      <c r="B10" s="6" t="s">
        <v>169</v>
      </c>
      <c r="C10" s="17">
        <v>2.1</v>
      </c>
      <c r="D10" s="6" t="s">
        <v>8</v>
      </c>
      <c r="F10" s="25" t="s">
        <v>82</v>
      </c>
      <c r="G10" s="25">
        <f xml:space="preserve"> 1/1000 * (($C$5*$C$68)/$C$24 * ( ($G$4/2) + SQRT( ($G$4/2)^2 + ($C$5*$C$68) / (2*$C$65*PI()*$C$8^2 * $C$21) ) ) )</f>
        <v>229.85084670973802</v>
      </c>
      <c r="H10" s="25" t="s">
        <v>101</v>
      </c>
      <c r="J10" s="6" t="s">
        <v>96</v>
      </c>
      <c r="K10" s="6">
        <f xml:space="preserve"> $C$18 * (G10*G6 + G20*G13 + G29*G25 + G33*G32)/3600</f>
        <v>64.015548818206156</v>
      </c>
      <c r="L10" s="6" t="s">
        <v>102</v>
      </c>
      <c r="N10" s="6" t="s">
        <v>38</v>
      </c>
      <c r="O10" s="6">
        <f xml:space="preserve"> O5 * $C$12 * O9</f>
        <v>442.26180430494549</v>
      </c>
      <c r="P10" s="6" t="s">
        <v>20</v>
      </c>
      <c r="U10" s="2">
        <v>6</v>
      </c>
      <c r="V10" s="2">
        <f t="shared" si="7"/>
        <v>0.96875</v>
      </c>
      <c r="W10" s="2">
        <f t="shared" si="0"/>
        <v>4.654029677435445E-3</v>
      </c>
      <c r="X10" s="2">
        <f t="shared" si="8"/>
        <v>0.984375</v>
      </c>
      <c r="Y10" s="2">
        <f t="shared" si="1"/>
        <v>-1.1319382900365049E-2</v>
      </c>
      <c r="Z10" s="2">
        <f t="shared" si="3"/>
        <v>0.9765625</v>
      </c>
      <c r="AA10" s="2">
        <f t="shared" si="2"/>
        <v>-3.3340551868542567E-3</v>
      </c>
      <c r="AB10" s="2">
        <f t="shared" si="4"/>
        <v>-1.5516791785827287E-5</v>
      </c>
      <c r="AC10" s="2">
        <f t="shared" si="5"/>
        <v>3.7739447270951476E-5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-79.075634351544295</v>
      </c>
      <c r="AI10" s="2">
        <f t="shared" si="14"/>
        <v>1984.375</v>
      </c>
      <c r="AJ10" s="2">
        <v>45.766397261269276</v>
      </c>
      <c r="AK10" s="2">
        <f t="shared" si="9"/>
        <v>1835.9375</v>
      </c>
      <c r="AL10" s="2">
        <v>-15.317133349128881</v>
      </c>
      <c r="AM10" s="2">
        <f t="shared" si="10"/>
        <v>1211.2120360295605</v>
      </c>
      <c r="AN10" s="2">
        <f t="shared" si="11"/>
        <v>-701.01000976006833</v>
      </c>
      <c r="AO10" s="2">
        <f t="shared" si="12"/>
        <v>296.875</v>
      </c>
    </row>
    <row r="11" spans="2:41" x14ac:dyDescent="0.2">
      <c r="B11" s="6" t="s">
        <v>170</v>
      </c>
      <c r="C11" s="17">
        <f>(0.500656+0.484769+0.468881+0.452994+0.437106+0.421219+0.405331+0.389444)/8</f>
        <v>0.44505</v>
      </c>
      <c r="D11" s="6" t="s">
        <v>8</v>
      </c>
      <c r="J11" s="6" t="s">
        <v>171</v>
      </c>
      <c r="K11" s="6">
        <f xml:space="preserve"> (G6 + G13 + G25 + G32)/60</f>
        <v>66.976078053930891</v>
      </c>
      <c r="L11" s="6" t="s">
        <v>103</v>
      </c>
      <c r="N11" s="6" t="s">
        <v>172</v>
      </c>
      <c r="O11" s="6">
        <f xml:space="preserve"> 1.78 * (1 - 0.045 * $C$13^0.68) - 0.64</f>
        <v>0.7746280255532213</v>
      </c>
      <c r="U11" s="2">
        <v>7</v>
      </c>
      <c r="V11" s="2">
        <f t="shared" si="7"/>
        <v>0.96875</v>
      </c>
      <c r="W11" s="2">
        <f t="shared" si="0"/>
        <v>4.654029677435445E-3</v>
      </c>
      <c r="X11" s="2">
        <f t="shared" si="8"/>
        <v>0.9765625</v>
      </c>
      <c r="Y11" s="2">
        <f t="shared" si="1"/>
        <v>-3.3340551868542567E-3</v>
      </c>
      <c r="Z11" s="2">
        <f t="shared" si="3"/>
        <v>0.97265625</v>
      </c>
      <c r="AA11" s="2">
        <f t="shared" si="2"/>
        <v>6.5963850940142787E-4</v>
      </c>
      <c r="AB11" s="2">
        <f t="shared" si="4"/>
        <v>3.0699771991335252E-6</v>
      </c>
      <c r="AC11" s="2">
        <f t="shared" si="5"/>
        <v>-2.1992711937186408E-6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-15.317133349128881</v>
      </c>
      <c r="AI11" s="2">
        <f t="shared" si="14"/>
        <v>1984.375</v>
      </c>
      <c r="AJ11" s="2">
        <v>45.766397261269276</v>
      </c>
      <c r="AK11" s="2">
        <f t="shared" si="9"/>
        <v>1910.15625</v>
      </c>
      <c r="AL11" s="2">
        <v>15.56323044709643</v>
      </c>
      <c r="AM11" s="2">
        <f t="shared" si="10"/>
        <v>-238.3840761013987</v>
      </c>
      <c r="AN11" s="2">
        <f t="shared" si="11"/>
        <v>712.27298731049666</v>
      </c>
      <c r="AO11" s="2">
        <f t="shared" si="12"/>
        <v>148.4375</v>
      </c>
    </row>
    <row r="12" spans="2:41" x14ac:dyDescent="0.2">
      <c r="B12" s="6" t="s">
        <v>173</v>
      </c>
      <c r="C12" s="17">
        <v>29.999999999999901</v>
      </c>
      <c r="D12" s="6" t="s">
        <v>174</v>
      </c>
      <c r="F12" s="32" t="s">
        <v>86</v>
      </c>
      <c r="G12" s="34"/>
      <c r="H12" s="34"/>
      <c r="N12" s="6" t="s">
        <v>175</v>
      </c>
      <c r="O12" s="6">
        <f xml:space="preserve"> O4 / (O5 * $C$12)</f>
        <v>0.75731318946044612</v>
      </c>
      <c r="U12" s="2">
        <v>8</v>
      </c>
      <c r="V12" s="2">
        <f t="shared" si="7"/>
        <v>0.97265625</v>
      </c>
      <c r="W12" s="2">
        <f t="shared" si="0"/>
        <v>6.5963850940142787E-4</v>
      </c>
      <c r="X12" s="2">
        <f t="shared" si="8"/>
        <v>0.9765625</v>
      </c>
      <c r="Y12" s="2">
        <f t="shared" si="1"/>
        <v>-3.3340551868542567E-3</v>
      </c>
      <c r="Z12" s="2">
        <f t="shared" si="3"/>
        <v>0.974609375</v>
      </c>
      <c r="AA12" s="2">
        <f t="shared" si="2"/>
        <v>-1.3372950061614208E-3</v>
      </c>
      <c r="AB12" s="2">
        <f t="shared" si="4"/>
        <v>-8.8213128449429293E-7</v>
      </c>
      <c r="AC12" s="2">
        <f t="shared" si="5"/>
        <v>4.4586153516467802E-6</v>
      </c>
      <c r="AD12" s="2">
        <f t="shared" si="6"/>
        <v>3.90625E-3</v>
      </c>
      <c r="AF12" s="2">
        <v>8</v>
      </c>
      <c r="AG12" s="2">
        <f t="shared" si="13"/>
        <v>1835.9375</v>
      </c>
      <c r="AH12" s="2">
        <v>-15.317133349128881</v>
      </c>
      <c r="AI12" s="2">
        <f t="shared" si="14"/>
        <v>1910.15625</v>
      </c>
      <c r="AJ12" s="2">
        <v>15.56323044709643</v>
      </c>
      <c r="AK12" s="2">
        <f t="shared" si="9"/>
        <v>1873.046875</v>
      </c>
      <c r="AL12" s="2">
        <v>0.20719801395171089</v>
      </c>
      <c r="AM12" s="2">
        <f t="shared" si="10"/>
        <v>-3.1736796093730222</v>
      </c>
      <c r="AN12" s="2">
        <f t="shared" si="11"/>
        <v>3.2246704393111778</v>
      </c>
      <c r="AO12" s="2">
        <f t="shared" si="12"/>
        <v>74.21875</v>
      </c>
    </row>
    <row r="13" spans="2:41" x14ac:dyDescent="0.2">
      <c r="B13" s="6" t="s">
        <v>176</v>
      </c>
      <c r="C13" s="17">
        <v>9.3168413449668606</v>
      </c>
      <c r="F13" s="9" t="s">
        <v>89</v>
      </c>
      <c r="G13" s="6">
        <f xml:space="preserve"> $C$17/$C$7</f>
        <v>2498.5646832358534</v>
      </c>
      <c r="H13" s="6" t="s">
        <v>13</v>
      </c>
      <c r="J13" s="28" t="s">
        <v>51</v>
      </c>
      <c r="K13" s="28"/>
      <c r="L13" s="28"/>
      <c r="N13" s="6" t="s">
        <v>177</v>
      </c>
      <c r="O13" s="6">
        <f xml:space="preserve"> O9 + O12^2 / ( PI() * O11 * $C$13 )</f>
        <v>4.3545747096313328E-2</v>
      </c>
      <c r="U13" s="2">
        <v>9</v>
      </c>
      <c r="V13" s="2">
        <f t="shared" si="7"/>
        <v>0.97265625</v>
      </c>
      <c r="W13" s="2">
        <f t="shared" si="0"/>
        <v>6.5963850940142787E-4</v>
      </c>
      <c r="X13" s="2">
        <f t="shared" si="8"/>
        <v>0.974609375</v>
      </c>
      <c r="Y13" s="2">
        <f t="shared" si="1"/>
        <v>-1.3372950061614208E-3</v>
      </c>
      <c r="Z13" s="2">
        <f t="shared" si="3"/>
        <v>0.9736328125</v>
      </c>
      <c r="AA13" s="2">
        <f t="shared" si="2"/>
        <v>-3.3884997948796514E-4</v>
      </c>
      <c r="AB13" s="2">
        <f t="shared" si="4"/>
        <v>-2.2351849538014574E-7</v>
      </c>
      <c r="AC13" s="2">
        <f t="shared" si="5"/>
        <v>4.5314238540715568E-7</v>
      </c>
      <c r="AD13" s="2">
        <f t="shared" si="6"/>
        <v>1.953125E-3</v>
      </c>
      <c r="AF13" s="2">
        <v>9</v>
      </c>
      <c r="AG13" s="2">
        <f t="shared" si="13"/>
        <v>1835.9375</v>
      </c>
      <c r="AH13" s="2">
        <v>-15.317133349128881</v>
      </c>
      <c r="AI13" s="2">
        <f t="shared" si="14"/>
        <v>1873.046875</v>
      </c>
      <c r="AJ13" s="2">
        <v>0.20719801395171089</v>
      </c>
      <c r="AK13" s="2">
        <f t="shared" si="9"/>
        <v>1854.4921875</v>
      </c>
      <c r="AL13" s="2">
        <v>-7.5339947248044155</v>
      </c>
      <c r="AM13" s="2">
        <f t="shared" si="10"/>
        <v>115.39920185146278</v>
      </c>
      <c r="AN13" s="2">
        <f t="shared" si="11"/>
        <v>-1.5610287441021415</v>
      </c>
      <c r="AO13" s="2">
        <f t="shared" si="12"/>
        <v>37.109375</v>
      </c>
    </row>
    <row r="14" spans="2:41" x14ac:dyDescent="0.2">
      <c r="F14" s="6" t="s">
        <v>178</v>
      </c>
      <c r="G14" s="6">
        <f>O21*$C$10</f>
        <v>41.911964826157245</v>
      </c>
      <c r="H14" s="6" t="s">
        <v>10</v>
      </c>
      <c r="J14" s="10" t="s">
        <v>79</v>
      </c>
      <c r="K14" s="18">
        <f>C5</f>
        <v>1872.5354261858399</v>
      </c>
      <c r="L14" s="6" t="s">
        <v>7</v>
      </c>
      <c r="N14" s="6" t="s">
        <v>39</v>
      </c>
      <c r="O14" s="6">
        <f xml:space="preserve"> O5 * O13 * $C$12</f>
        <v>1055.2391106206294</v>
      </c>
      <c r="P14" s="6" t="s">
        <v>20</v>
      </c>
      <c r="U14" s="2">
        <v>10</v>
      </c>
      <c r="V14" s="2">
        <f t="shared" si="7"/>
        <v>0.97265625</v>
      </c>
      <c r="W14" s="2">
        <f t="shared" si="0"/>
        <v>6.5963850940142787E-4</v>
      </c>
      <c r="X14" s="2">
        <f t="shared" si="8"/>
        <v>0.9736328125</v>
      </c>
      <c r="Y14" s="2">
        <f t="shared" si="1"/>
        <v>-3.3884997948796514E-4</v>
      </c>
      <c r="Z14" s="2">
        <f t="shared" si="3"/>
        <v>0.97314453125</v>
      </c>
      <c r="AA14" s="2">
        <f t="shared" si="2"/>
        <v>1.6038882412083844E-4</v>
      </c>
      <c r="AB14" s="2">
        <f t="shared" si="4"/>
        <v>1.0579864486771765E-7</v>
      </c>
      <c r="AC14" s="2">
        <f t="shared" si="5"/>
        <v>-5.4347749763444951E-8</v>
      </c>
      <c r="AD14" s="2">
        <f t="shared" si="6"/>
        <v>9.765625E-4</v>
      </c>
      <c r="AF14" s="2">
        <v>10</v>
      </c>
      <c r="AG14" s="2">
        <f t="shared" si="13"/>
        <v>1854.4921875</v>
      </c>
      <c r="AH14" s="2">
        <v>-7.5339947248044155</v>
      </c>
      <c r="AI14" s="2">
        <f t="shared" si="14"/>
        <v>1873.046875</v>
      </c>
      <c r="AJ14" s="2">
        <v>0.20719801395171089</v>
      </c>
      <c r="AK14" s="2">
        <f t="shared" si="9"/>
        <v>1863.76953125</v>
      </c>
      <c r="AL14" s="2">
        <v>-3.6581470651151449</v>
      </c>
      <c r="AM14" s="2">
        <f t="shared" si="10"/>
        <v>27.560460691136257</v>
      </c>
      <c r="AN14" s="2">
        <f t="shared" si="11"/>
        <v>-0.75796080663513798</v>
      </c>
      <c r="AO14" s="2">
        <f t="shared" si="12"/>
        <v>18.5546875</v>
      </c>
    </row>
    <row r="15" spans="2:41" x14ac:dyDescent="0.2">
      <c r="B15" s="30" t="s">
        <v>11</v>
      </c>
      <c r="C15" s="30"/>
      <c r="D15" s="30"/>
      <c r="F15" s="6" t="s">
        <v>179</v>
      </c>
      <c r="G15" s="6">
        <f>G14/$C$73</f>
        <v>0.12596701164131408</v>
      </c>
      <c r="H15" s="6" t="s">
        <v>122</v>
      </c>
      <c r="J15" s="11" t="s">
        <v>52</v>
      </c>
      <c r="K15" s="6">
        <f xml:space="preserve"> 1000 * K10 / ($C$60 * $C$61 * $C$62)</f>
        <v>376.56205187180092</v>
      </c>
      <c r="L15" s="6" t="s">
        <v>7</v>
      </c>
      <c r="N15" s="6" t="s">
        <v>180</v>
      </c>
      <c r="O15" s="6">
        <f>O4/O14</f>
        <v>17.391209014865236</v>
      </c>
      <c r="U15" s="2">
        <v>11</v>
      </c>
      <c r="V15" s="2">
        <f t="shared" si="7"/>
        <v>0.97314453125</v>
      </c>
      <c r="W15" s="2">
        <f t="shared" si="0"/>
        <v>1.6038882412083844E-4</v>
      </c>
      <c r="X15" s="2">
        <f t="shared" si="8"/>
        <v>0.9736328125</v>
      </c>
      <c r="Y15" s="2">
        <f t="shared" si="1"/>
        <v>-3.3884997948796514E-4</v>
      </c>
      <c r="Z15" s="2">
        <f t="shared" si="3"/>
        <v>0.973388671875</v>
      </c>
      <c r="AA15" s="2">
        <f t="shared" si="2"/>
        <v>-8.9231936883926721E-5</v>
      </c>
      <c r="AB15" s="2">
        <f t="shared" si="4"/>
        <v>-1.4311805430837879E-8</v>
      </c>
      <c r="AC15" s="2">
        <f t="shared" si="5"/>
        <v>3.0236239982789969E-8</v>
      </c>
      <c r="AD15" s="2">
        <f t="shared" si="6"/>
        <v>4.8828125E-4</v>
      </c>
      <c r="AF15" s="2">
        <v>11</v>
      </c>
      <c r="AG15" s="2">
        <f t="shared" si="13"/>
        <v>1863.76953125</v>
      </c>
      <c r="AH15" s="2">
        <v>-3.6581470651151449</v>
      </c>
      <c r="AI15" s="2">
        <f t="shared" si="14"/>
        <v>1873.046875</v>
      </c>
      <c r="AJ15" s="2">
        <v>0.20719801395171089</v>
      </c>
      <c r="AK15" s="2">
        <f t="shared" si="9"/>
        <v>1868.408203125</v>
      </c>
      <c r="AL15" s="2">
        <v>-1.7241606027346279</v>
      </c>
      <c r="AM15" s="2">
        <f t="shared" si="10"/>
        <v>6.3072330486808381</v>
      </c>
      <c r="AN15" s="2">
        <f t="shared" si="11"/>
        <v>-0.35724265262039967</v>
      </c>
      <c r="AO15" s="2">
        <f t="shared" si="12"/>
        <v>9.27734375</v>
      </c>
    </row>
    <row r="16" spans="2:41" x14ac:dyDescent="0.2">
      <c r="B16" s="6" t="s">
        <v>68</v>
      </c>
      <c r="C16" s="6">
        <f>C35*100</f>
        <v>600</v>
      </c>
      <c r="D16" s="6" t="s">
        <v>7</v>
      </c>
      <c r="F16" s="9" t="s">
        <v>19</v>
      </c>
      <c r="G16" s="6">
        <f>O20</f>
        <v>1055.2391106206294</v>
      </c>
      <c r="H16" s="6" t="s">
        <v>20</v>
      </c>
      <c r="J16" s="12" t="s">
        <v>126</v>
      </c>
      <c r="K16" s="6">
        <f xml:space="preserve"> $C$78 * ( $C$21 * (0.0095 * MAX(G7,G26) - 1.9275) +  $C$28 * (0.0095 * MAX(O20) - 1.9275) )</f>
        <v>133.62947734358309</v>
      </c>
      <c r="L16" s="6" t="s">
        <v>7</v>
      </c>
      <c r="N16" s="6" t="s">
        <v>113</v>
      </c>
      <c r="O16" s="6">
        <f>(O13*$C$12)/(0.3048^2)/($C$5*2.20462/1000)^(2/3)</f>
        <v>5.4642163297742563</v>
      </c>
      <c r="U16" s="2">
        <v>12</v>
      </c>
      <c r="V16" s="2">
        <f t="shared" si="7"/>
        <v>0.97314453125</v>
      </c>
      <c r="W16" s="2">
        <f t="shared" si="0"/>
        <v>1.6038882412083844E-4</v>
      </c>
      <c r="X16" s="2">
        <f t="shared" si="8"/>
        <v>0.973388671875</v>
      </c>
      <c r="Y16" s="2">
        <f t="shared" si="1"/>
        <v>-8.9231936883926721E-5</v>
      </c>
      <c r="Z16" s="2">
        <f t="shared" si="3"/>
        <v>0.9732666015625</v>
      </c>
      <c r="AA16" s="2">
        <f t="shared" si="2"/>
        <v>3.5578103692368579E-5</v>
      </c>
      <c r="AB16" s="2">
        <f t="shared" si="4"/>
        <v>5.7063302156682568E-9</v>
      </c>
      <c r="AC16" s="2">
        <f t="shared" si="5"/>
        <v>-3.1747031031272332E-9</v>
      </c>
      <c r="AD16" s="2">
        <f t="shared" si="6"/>
        <v>2.44140625E-4</v>
      </c>
      <c r="AF16" s="2">
        <v>12</v>
      </c>
      <c r="AG16" s="2">
        <f t="shared" si="13"/>
        <v>1868.408203125</v>
      </c>
      <c r="AH16" s="2">
        <v>-1.7241606027346279</v>
      </c>
      <c r="AI16" s="2">
        <f t="shared" si="14"/>
        <v>1873.046875</v>
      </c>
      <c r="AJ16" s="2">
        <v>0.20719801395171089</v>
      </c>
      <c r="AK16" s="2">
        <f t="shared" si="9"/>
        <v>1870.7275390625</v>
      </c>
      <c r="AL16" s="2">
        <v>-0.7581525682303436</v>
      </c>
      <c r="AM16" s="2">
        <f t="shared" si="10"/>
        <v>1.3071767890048354</v>
      </c>
      <c r="AN16" s="2">
        <f t="shared" si="11"/>
        <v>-0.15708770640971617</v>
      </c>
      <c r="AO16" s="2">
        <f t="shared" si="12"/>
        <v>4.638671875</v>
      </c>
    </row>
    <row r="17" spans="2:41" x14ac:dyDescent="0.2">
      <c r="B17" s="6" t="s">
        <v>12</v>
      </c>
      <c r="C17" s="17">
        <f>100*1000</f>
        <v>100000</v>
      </c>
      <c r="D17" s="6" t="s">
        <v>8</v>
      </c>
      <c r="F17" s="9" t="s">
        <v>97</v>
      </c>
      <c r="G17" s="6">
        <f xml:space="preserve"> 1/1000 * (O25 + O20 * (O30 * O27 + $C$7 * SIN(O19/180*PI())))</f>
        <v>44.235648640734695</v>
      </c>
      <c r="H17" s="6" t="s">
        <v>101</v>
      </c>
      <c r="J17" s="12" t="s">
        <v>127</v>
      </c>
      <c r="K17" s="6">
        <v>0</v>
      </c>
      <c r="L17" s="6" t="s">
        <v>7</v>
      </c>
      <c r="U17" s="2">
        <v>13</v>
      </c>
      <c r="V17" s="2">
        <f t="shared" si="7"/>
        <v>0.9732666015625</v>
      </c>
      <c r="W17" s="2">
        <f t="shared" si="0"/>
        <v>3.5578103692368579E-5</v>
      </c>
      <c r="X17" s="2">
        <f t="shared" si="8"/>
        <v>0.973388671875</v>
      </c>
      <c r="Y17" s="2">
        <f t="shared" si="1"/>
        <v>-8.9231936883926721E-5</v>
      </c>
      <c r="Z17" s="2">
        <f t="shared" si="3"/>
        <v>0.97332763671875</v>
      </c>
      <c r="AA17" s="2">
        <f t="shared" si="2"/>
        <v>-2.6827001561535724E-5</v>
      </c>
      <c r="AB17" s="2">
        <f t="shared" si="4"/>
        <v>-9.544538433116518E-10</v>
      </c>
      <c r="AC17" s="2">
        <f t="shared" si="5"/>
        <v>2.3938253101239594E-9</v>
      </c>
      <c r="AD17" s="2">
        <f t="shared" si="6"/>
        <v>1.220703125E-4</v>
      </c>
      <c r="AF17" s="2">
        <v>13</v>
      </c>
      <c r="AG17" s="2">
        <f t="shared" si="13"/>
        <v>1870.7275390625</v>
      </c>
      <c r="AH17" s="2">
        <v>-0.7581525682303436</v>
      </c>
      <c r="AI17" s="2">
        <f t="shared" si="14"/>
        <v>1873.046875</v>
      </c>
      <c r="AJ17" s="2">
        <v>0.20719801395171089</v>
      </c>
      <c r="AK17" s="2">
        <f t="shared" si="9"/>
        <v>1871.88720703125</v>
      </c>
      <c r="AL17" s="2">
        <v>-0.27539507965661869</v>
      </c>
      <c r="AM17" s="2">
        <f t="shared" si="10"/>
        <v>0.20879148691966551</v>
      </c>
      <c r="AN17" s="2">
        <f t="shared" si="11"/>
        <v>-5.7061313556924613E-2</v>
      </c>
      <c r="AO17" s="2">
        <f t="shared" si="12"/>
        <v>2.3193359375</v>
      </c>
    </row>
    <row r="18" spans="2:41" x14ac:dyDescent="0.2">
      <c r="B18" s="6" t="s">
        <v>136</v>
      </c>
      <c r="C18" s="17">
        <v>1</v>
      </c>
      <c r="F18" t="s">
        <v>146</v>
      </c>
      <c r="G18" s="6">
        <f xml:space="preserve"> (G16/$C$74*1000) / (G17*1000)</f>
        <v>2.4340408817432664</v>
      </c>
      <c r="H18" s="6" t="s">
        <v>147</v>
      </c>
      <c r="J18" s="13" t="s">
        <v>53</v>
      </c>
      <c r="K18" s="6">
        <f xml:space="preserve"> $C$78 * (0.2138 * K4 + 0.2138 * K6)</f>
        <v>70.319631247117286</v>
      </c>
      <c r="L18" s="6" t="s">
        <v>7</v>
      </c>
      <c r="N18" s="32" t="s">
        <v>181</v>
      </c>
      <c r="O18" s="35"/>
      <c r="P18" s="35"/>
      <c r="U18" s="2">
        <v>14</v>
      </c>
      <c r="V18" s="2">
        <f t="shared" si="7"/>
        <v>0.9732666015625</v>
      </c>
      <c r="W18" s="2">
        <f t="shared" si="0"/>
        <v>3.5578103692368579E-5</v>
      </c>
      <c r="X18" s="2">
        <f t="shared" si="8"/>
        <v>0.97332763671875</v>
      </c>
      <c r="Y18" s="2">
        <f t="shared" si="1"/>
        <v>-2.6827001561535724E-5</v>
      </c>
      <c r="Z18" s="2">
        <f t="shared" si="3"/>
        <v>0.973297119140625</v>
      </c>
      <c r="AA18" s="2">
        <f t="shared" si="2"/>
        <v>4.3755298220204963E-6</v>
      </c>
      <c r="AB18" s="2">
        <f t="shared" si="4"/>
        <v>1.5567305371689626E-10</v>
      </c>
      <c r="AC18" s="2">
        <f t="shared" si="5"/>
        <v>-1.1738234536788999E-10</v>
      </c>
      <c r="AD18" s="2">
        <f t="shared" si="6"/>
        <v>6.103515625E-5</v>
      </c>
      <c r="AF18" s="2">
        <v>14</v>
      </c>
      <c r="AG18" s="2">
        <f t="shared" si="13"/>
        <v>1871.88720703125</v>
      </c>
      <c r="AH18" s="2">
        <v>-0.27539507965661869</v>
      </c>
      <c r="AI18" s="2">
        <f t="shared" si="14"/>
        <v>1873.046875</v>
      </c>
      <c r="AJ18" s="2">
        <v>0.20719801395171089</v>
      </c>
      <c r="AK18" s="2">
        <f t="shared" si="9"/>
        <v>1872.467041015625</v>
      </c>
      <c r="AL18" s="2">
        <v>-3.4077902585295305E-2</v>
      </c>
      <c r="AM18" s="2">
        <f t="shared" si="10"/>
        <v>9.3848866970078926E-3</v>
      </c>
      <c r="AN18" s="2">
        <f t="shared" si="11"/>
        <v>-7.0608737353130609E-3</v>
      </c>
      <c r="AO18" s="2">
        <f t="shared" si="12"/>
        <v>1.15966796875</v>
      </c>
    </row>
    <row r="19" spans="2:41" x14ac:dyDescent="0.2">
      <c r="F19" s="9" t="s">
        <v>148</v>
      </c>
      <c r="G19" s="6">
        <f>O23 / ($C$29*$C$11/PI())</f>
        <v>5.0580267734058111E-2</v>
      </c>
      <c r="J19" s="13" t="s">
        <v>77</v>
      </c>
      <c r="K19" s="6">
        <f xml:space="preserve"> $C$78 * (0.1149 * K4 + 0.1149 * K6)</f>
        <v>37.791045978923179</v>
      </c>
      <c r="L19" s="6" t="s">
        <v>7</v>
      </c>
      <c r="N19" s="6" t="s">
        <v>25</v>
      </c>
      <c r="O19" s="6">
        <f xml:space="preserve"> 90 - $C$81</f>
        <v>85</v>
      </c>
      <c r="P19" s="6" t="s">
        <v>40</v>
      </c>
      <c r="U19" s="2">
        <v>15</v>
      </c>
      <c r="V19" s="2">
        <f t="shared" si="7"/>
        <v>0.973297119140625</v>
      </c>
      <c r="W19" s="2">
        <f t="shared" si="0"/>
        <v>4.3755298220204963E-6</v>
      </c>
      <c r="X19" s="2">
        <f t="shared" si="8"/>
        <v>0.97332763671875</v>
      </c>
      <c r="Y19" s="2">
        <f t="shared" si="1"/>
        <v>-2.6827001561535724E-5</v>
      </c>
      <c r="Z19" s="2">
        <f t="shared" si="3"/>
        <v>0.9733123779296875</v>
      </c>
      <c r="AA19" s="2">
        <f t="shared" si="2"/>
        <v>-1.122574118039843E-5</v>
      </c>
      <c r="AB19" s="2">
        <f t="shared" si="4"/>
        <v>-4.9118565309116897E-11</v>
      </c>
      <c r="AC19" s="2">
        <f t="shared" si="5"/>
        <v>3.0115297617594457E-10</v>
      </c>
      <c r="AD19" s="2">
        <f t="shared" si="6"/>
        <v>3.0517578125E-5</v>
      </c>
      <c r="AF19" s="2">
        <v>15</v>
      </c>
      <c r="AG19" s="2">
        <f t="shared" si="13"/>
        <v>1872.467041015625</v>
      </c>
      <c r="AH19" s="2">
        <v>-3.4077902585295305E-2</v>
      </c>
      <c r="AI19" s="2">
        <f t="shared" si="14"/>
        <v>1873.046875</v>
      </c>
      <c r="AJ19" s="2">
        <v>0.20719801395171089</v>
      </c>
      <c r="AK19" s="2">
        <f t="shared" si="9"/>
        <v>1872.7569580078125</v>
      </c>
      <c r="AL19" s="2">
        <v>8.6565252971240625E-2</v>
      </c>
      <c r="AM19" s="2">
        <f t="shared" si="10"/>
        <v>-2.9499622580253832E-3</v>
      </c>
      <c r="AN19" s="2">
        <f t="shared" si="11"/>
        <v>1.7936148492868498E-2</v>
      </c>
      <c r="AO19" s="2">
        <f t="shared" si="12"/>
        <v>0.579833984375</v>
      </c>
    </row>
    <row r="20" spans="2:41" x14ac:dyDescent="0.2">
      <c r="B20" s="30" t="s">
        <v>110</v>
      </c>
      <c r="C20" s="30"/>
      <c r="D20" s="30"/>
      <c r="F20" s="26" t="s">
        <v>132</v>
      </c>
      <c r="G20" s="25">
        <f xml:space="preserve"> $C$28 * G17</f>
        <v>44.235648640734695</v>
      </c>
      <c r="H20" s="25" t="s">
        <v>101</v>
      </c>
      <c r="J20" s="14" t="s">
        <v>60</v>
      </c>
      <c r="K20" s="6">
        <f xml:space="preserve"> $C$79 * (14.86 * ($C$5*2.20462)^0.144 * ($C$36/(PI()*$C$37))^0.778 * ($C$36*3.28084)^0.383 * $C$35^0.455 * 0.453592)</f>
        <v>209.97880353661833</v>
      </c>
      <c r="L20" s="6" t="s">
        <v>7</v>
      </c>
      <c r="N20" s="6" t="s">
        <v>19</v>
      </c>
      <c r="O20" s="6">
        <f xml:space="preserve"> O14 / $C$28</f>
        <v>1055.2391106206294</v>
      </c>
      <c r="P20" s="6" t="s">
        <v>20</v>
      </c>
      <c r="U20" s="2">
        <v>16</v>
      </c>
      <c r="V20" s="2">
        <f t="shared" si="7"/>
        <v>0.973297119140625</v>
      </c>
      <c r="W20" s="2">
        <f t="shared" si="0"/>
        <v>4.3755298220204963E-6</v>
      </c>
      <c r="X20" s="2">
        <f t="shared" si="8"/>
        <v>0.9733123779296875</v>
      </c>
      <c r="Y20" s="2">
        <f t="shared" si="1"/>
        <v>-1.122574118039843E-5</v>
      </c>
      <c r="Z20" s="2">
        <f t="shared" si="3"/>
        <v>0.97330474853515625</v>
      </c>
      <c r="AA20" s="2">
        <f t="shared" si="2"/>
        <v>-3.4251070069046818E-6</v>
      </c>
      <c r="AB20" s="2">
        <f t="shared" si="4"/>
        <v>-1.4986657852322797E-11</v>
      </c>
      <c r="AC20" s="2">
        <f t="shared" si="5"/>
        <v>3.8449364774681096E-11</v>
      </c>
      <c r="AD20" s="2">
        <f t="shared" si="6"/>
        <v>1.52587890625E-5</v>
      </c>
      <c r="AF20" s="2">
        <v>16</v>
      </c>
      <c r="AG20" s="2">
        <f t="shared" si="13"/>
        <v>1872.467041015625</v>
      </c>
      <c r="AH20" s="2">
        <v>-3.4077902585295305E-2</v>
      </c>
      <c r="AI20" s="2">
        <f t="shared" si="14"/>
        <v>1872.7569580078125</v>
      </c>
      <c r="AJ20" s="2">
        <v>8.6565252971240625E-2</v>
      </c>
      <c r="AK20" s="2">
        <f t="shared" si="9"/>
        <v>1872.6119995117188</v>
      </c>
      <c r="AL20" s="2">
        <v>2.6245092848967033E-2</v>
      </c>
      <c r="AM20" s="2">
        <f t="shared" si="10"/>
        <v>-8.9437771744912899E-4</v>
      </c>
      <c r="AN20" s="2">
        <f t="shared" si="11"/>
        <v>2.2719131017245294E-3</v>
      </c>
      <c r="AO20" s="2">
        <f t="shared" si="12"/>
        <v>0.2899169921875</v>
      </c>
    </row>
    <row r="21" spans="2:41" x14ac:dyDescent="0.2">
      <c r="B21" s="6" t="s">
        <v>94</v>
      </c>
      <c r="C21" s="17">
        <v>8</v>
      </c>
      <c r="J21" s="14" t="s">
        <v>61</v>
      </c>
      <c r="K21" s="6">
        <f xml:space="preserve"> $C$79 * C41 * $C$5</f>
        <v>48.685921080831839</v>
      </c>
      <c r="L21" s="6" t="s">
        <v>7</v>
      </c>
      <c r="N21" s="6" t="s">
        <v>26</v>
      </c>
      <c r="O21" s="6">
        <f>$C$6*2*PI()/60</f>
        <v>19.958078488646308</v>
      </c>
      <c r="P21" s="6" t="s">
        <v>27</v>
      </c>
      <c r="U21" s="2">
        <v>17</v>
      </c>
      <c r="V21" s="2">
        <f t="shared" si="7"/>
        <v>0.973297119140625</v>
      </c>
      <c r="W21" s="2">
        <f t="shared" si="0"/>
        <v>4.3755298220204963E-6</v>
      </c>
      <c r="X21" s="2">
        <f t="shared" si="8"/>
        <v>0.97330474853515625</v>
      </c>
      <c r="Y21" s="2">
        <f t="shared" si="1"/>
        <v>-3.4251070069046818E-6</v>
      </c>
      <c r="Z21" s="2">
        <f t="shared" si="3"/>
        <v>0.97330093383789062</v>
      </c>
      <c r="AA21" s="2">
        <f t="shared" si="2"/>
        <v>4.7521107560122289E-7</v>
      </c>
      <c r="AB21" s="2">
        <f t="shared" si="4"/>
        <v>2.0793002330475872E-12</v>
      </c>
      <c r="AC21" s="2">
        <f t="shared" si="5"/>
        <v>-1.6276487848004591E-12</v>
      </c>
      <c r="AD21" s="2">
        <f t="shared" si="6"/>
        <v>7.62939453125E-6</v>
      </c>
      <c r="AF21" s="2">
        <v>17</v>
      </c>
      <c r="AG21" s="2">
        <f t="shared" si="13"/>
        <v>1872.467041015625</v>
      </c>
      <c r="AH21" s="2">
        <v>-3.4077902585295305E-2</v>
      </c>
      <c r="AI21" s="2">
        <f t="shared" si="14"/>
        <v>1872.6119995117188</v>
      </c>
      <c r="AJ21" s="2">
        <v>2.6245092848967033E-2</v>
      </c>
      <c r="AK21" s="2">
        <f t="shared" si="9"/>
        <v>1872.5395202636719</v>
      </c>
      <c r="AL21" s="2">
        <v>-3.9160899182206776E-3</v>
      </c>
      <c r="AM21" s="2">
        <f t="shared" si="10"/>
        <v>1.334521307483813E-4</v>
      </c>
      <c r="AN21" s="2">
        <f t="shared" si="11"/>
        <v>-1.027781435086054E-4</v>
      </c>
      <c r="AO21" s="2">
        <f t="shared" si="12"/>
        <v>0.14495849609375</v>
      </c>
    </row>
    <row r="22" spans="2:41" x14ac:dyDescent="0.2">
      <c r="B22" s="6" t="s">
        <v>109</v>
      </c>
      <c r="C22" s="17">
        <v>2</v>
      </c>
      <c r="F22" s="30" t="s">
        <v>81</v>
      </c>
      <c r="G22" s="30"/>
      <c r="H22" s="30"/>
      <c r="J22" s="14" t="s">
        <v>182</v>
      </c>
      <c r="K22" s="6">
        <f xml:space="preserve"> $C$79 * (0.04674 * ($C$5*2.20462)^0.397 * ($C$12*3.28084^2)^0.36 * $C$46^0.397 * $C$13^1.712 * 0.453592)</f>
        <v>261.20431402862044</v>
      </c>
      <c r="L22" s="6" t="s">
        <v>7</v>
      </c>
      <c r="N22" s="6" t="s">
        <v>28</v>
      </c>
      <c r="O22" s="6">
        <f xml:space="preserve"> $C$7 * COS(O19/180*PI()) / (O21 * $C$10)</f>
        <v>8.3227603662812594E-2</v>
      </c>
      <c r="U22" s="2">
        <v>18</v>
      </c>
      <c r="V22" s="2">
        <f t="shared" si="7"/>
        <v>0.97330093383789062</v>
      </c>
      <c r="W22" s="2">
        <f t="shared" si="0"/>
        <v>4.7521107560122289E-7</v>
      </c>
      <c r="X22" s="2">
        <f t="shared" si="8"/>
        <v>0.97330474853515625</v>
      </c>
      <c r="Y22" s="2">
        <f t="shared" si="1"/>
        <v>-3.4251070069046818E-6</v>
      </c>
      <c r="Z22" s="2">
        <f t="shared" si="3"/>
        <v>0.97330284118652344</v>
      </c>
      <c r="AA22" s="2">
        <f t="shared" si="2"/>
        <v>-1.4749480485853894E-6</v>
      </c>
      <c r="AB22" s="2">
        <f t="shared" si="4"/>
        <v>-7.0091164862418764E-13</v>
      </c>
      <c r="AC22" s="2">
        <f t="shared" si="5"/>
        <v>5.0518548960302045E-12</v>
      </c>
      <c r="AD22" s="2">
        <f t="shared" si="6"/>
        <v>3.814697265625E-6</v>
      </c>
      <c r="AF22" s="2">
        <v>18</v>
      </c>
      <c r="AG22" s="2">
        <f t="shared" si="13"/>
        <v>1872.5395202636719</v>
      </c>
      <c r="AH22" s="2">
        <v>-3.9160899182206776E-3</v>
      </c>
      <c r="AI22" s="2">
        <f t="shared" si="14"/>
        <v>1872.6119995117188</v>
      </c>
      <c r="AJ22" s="2">
        <v>2.6245092848967033E-2</v>
      </c>
      <c r="AK22" s="2">
        <f t="shared" si="9"/>
        <v>1872.5757598876953</v>
      </c>
      <c r="AL22" s="2">
        <v>1.1164422380943506E-2</v>
      </c>
      <c r="AM22" s="2">
        <f t="shared" si="10"/>
        <v>-4.3720881928770161E-5</v>
      </c>
      <c r="AN22" s="2">
        <f t="shared" si="11"/>
        <v>2.9301130199294793E-4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85</v>
      </c>
      <c r="G23" s="17">
        <f>300*0.3048/60</f>
        <v>1.524</v>
      </c>
      <c r="H23" s="6" t="s">
        <v>10</v>
      </c>
      <c r="J23" s="14" t="s">
        <v>62</v>
      </c>
      <c r="K23" s="6">
        <f xml:space="preserve"> $C$79 * (3.184 * ($C$5*2.20462)^0.887 * ($C$50*3.28084*3.28084)^0.101 * ($C$49)^0.138 ) / ( 174.04 * ($C$51*3.28084)^0.223 ) * 0.453592</f>
        <v>21.515864848856818</v>
      </c>
      <c r="L23" s="6" t="s">
        <v>7</v>
      </c>
      <c r="N23" s="6" t="s">
        <v>29</v>
      </c>
      <c r="O23" s="6">
        <f xml:space="preserve"> O20 / ( $C$71 * PI() * $C$10^2 * O21^2 * $C$10^2)</f>
        <v>4.2992362098861446E-2</v>
      </c>
      <c r="U23" s="2">
        <v>19</v>
      </c>
      <c r="V23" s="2">
        <f t="shared" si="7"/>
        <v>0.97330093383789062</v>
      </c>
      <c r="W23" s="2">
        <f t="shared" si="0"/>
        <v>4.7521107560122289E-7</v>
      </c>
      <c r="X23" s="2">
        <f t="shared" si="8"/>
        <v>0.97330284118652344</v>
      </c>
      <c r="Y23" s="2">
        <f t="shared" si="1"/>
        <v>-1.4749480485853894E-6</v>
      </c>
      <c r="Z23" s="2">
        <f t="shared" si="3"/>
        <v>0.97330188751220703</v>
      </c>
      <c r="AA23" s="2">
        <f t="shared" si="2"/>
        <v>-4.9986850725325382E-7</v>
      </c>
      <c r="AB23" s="2">
        <f t="shared" si="4"/>
        <v>-2.3754305099099641E-13</v>
      </c>
      <c r="AC23" s="2">
        <f t="shared" si="5"/>
        <v>7.3728007932247834E-13</v>
      </c>
      <c r="AD23" s="2">
        <f t="shared" si="6"/>
        <v>1.9073486328125E-6</v>
      </c>
      <c r="AF23" s="2">
        <v>19</v>
      </c>
      <c r="AG23" s="2">
        <f t="shared" si="13"/>
        <v>1872.5395202636719</v>
      </c>
      <c r="AH23" s="2">
        <v>-3.9160899182206776E-3</v>
      </c>
      <c r="AI23" s="2">
        <f t="shared" si="14"/>
        <v>1872.5757598876953</v>
      </c>
      <c r="AJ23" s="2">
        <v>1.1164422380943506E-2</v>
      </c>
      <c r="AK23" s="2">
        <f t="shared" si="9"/>
        <v>1872.5576400756836</v>
      </c>
      <c r="AL23" s="2">
        <v>3.6241859170331736E-3</v>
      </c>
      <c r="AM23" s="2">
        <f t="shared" si="10"/>
        <v>-1.4192637931450973E-5</v>
      </c>
      <c r="AN23" s="2">
        <f t="shared" si="11"/>
        <v>4.0461942364825426E-5</v>
      </c>
      <c r="AO23" s="2">
        <f t="shared" si="12"/>
        <v>3.62396240234375E-2</v>
      </c>
    </row>
    <row r="24" spans="2:41" x14ac:dyDescent="0.2">
      <c r="B24" s="6" t="s">
        <v>183</v>
      </c>
      <c r="C24" s="17">
        <v>0.75</v>
      </c>
      <c r="F24" s="6" t="s">
        <v>91</v>
      </c>
      <c r="G24" s="17">
        <f>1000*0.3048</f>
        <v>304.8</v>
      </c>
      <c r="H24" s="6" t="s">
        <v>8</v>
      </c>
      <c r="J24" s="14" t="s">
        <v>63</v>
      </c>
      <c r="K24" s="6">
        <f xml:space="preserve"> $C$79 * ( 1.68 * ($C$5*2.20462)^0.567 * ($C$55*3.28084*3.28084)^1.249 * ($C$54)^0.482 ) / (639.95 * ($C$56*3.28084)^0.747 * (COS($C$57/180*PI()))^0.882 ) * 0.453592</f>
        <v>7.9072083183331907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0.97330093383789062</v>
      </c>
      <c r="W24" s="2">
        <f t="shared" si="0"/>
        <v>4.7521107560122289E-7</v>
      </c>
      <c r="X24" s="2">
        <f t="shared" si="8"/>
        <v>0.97330188751220703</v>
      </c>
      <c r="Y24" s="2">
        <f t="shared" si="1"/>
        <v>-4.9986850725325382E-7</v>
      </c>
      <c r="Z24" s="2">
        <f t="shared" si="3"/>
        <v>0.97330141067504883</v>
      </c>
      <c r="AA24" s="2">
        <f t="shared" si="2"/>
        <v>-1.2328721044063684E-8</v>
      </c>
      <c r="AB24" s="2">
        <f t="shared" si="4"/>
        <v>-5.8587447881369347E-15</v>
      </c>
      <c r="AC24" s="2">
        <f t="shared" si="5"/>
        <v>6.1627393846378905E-15</v>
      </c>
      <c r="AD24" s="2">
        <f t="shared" si="6"/>
        <v>9.5367431640625E-7</v>
      </c>
      <c r="AF24" s="2">
        <v>20</v>
      </c>
      <c r="AG24" s="2">
        <f t="shared" si="13"/>
        <v>1872.5395202636719</v>
      </c>
      <c r="AH24" s="2">
        <v>-3.9160899182206776E-3</v>
      </c>
      <c r="AI24" s="2">
        <f t="shared" si="14"/>
        <v>1872.5576400756836</v>
      </c>
      <c r="AJ24" s="2">
        <v>3.6241859170331736E-3</v>
      </c>
      <c r="AK24" s="2">
        <f t="shared" si="9"/>
        <v>1872.5485801696777</v>
      </c>
      <c r="AL24" s="2">
        <v>-1.4594707909054705E-4</v>
      </c>
      <c r="AM24" s="2">
        <f t="shared" si="10"/>
        <v>5.7154188502024721E-7</v>
      </c>
      <c r="AN24" s="2">
        <f t="shared" si="11"/>
        <v>-5.2893934867208733E-7</v>
      </c>
      <c r="AO24" s="2">
        <f t="shared" si="12"/>
        <v>1.811981201171875E-2</v>
      </c>
    </row>
    <row r="25" spans="2:41" x14ac:dyDescent="0.2">
      <c r="B25" s="6" t="s">
        <v>155</v>
      </c>
      <c r="C25" s="17">
        <v>50</v>
      </c>
      <c r="D25" s="6" t="s">
        <v>58</v>
      </c>
      <c r="F25" s="6" t="s">
        <v>90</v>
      </c>
      <c r="G25" s="6">
        <f xml:space="preserve"> $G$24/$G$23</f>
        <v>200</v>
      </c>
      <c r="H25" s="6" t="s">
        <v>13</v>
      </c>
      <c r="J25" s="14" t="s">
        <v>112</v>
      </c>
      <c r="K25" s="6">
        <f>$C$79*(0.14*$G$10*1000/745.7)*0.453592</f>
        <v>15.659048664617824</v>
      </c>
      <c r="L25" s="6" t="s">
        <v>7</v>
      </c>
      <c r="N25" s="6" t="s">
        <v>30</v>
      </c>
      <c r="O25" s="6">
        <f xml:space="preserve"> ($C$30 * $O$24 / 8) * (1 + 4.65 * O22^2) * ( PI() * $C$71 * O21^3 * $C$10^5)</f>
        <v>1004.0972203690754</v>
      </c>
      <c r="P25" s="6" t="s">
        <v>18</v>
      </c>
      <c r="U25" s="2">
        <v>21</v>
      </c>
      <c r="V25" s="2">
        <f t="shared" si="7"/>
        <v>0.97330093383789062</v>
      </c>
      <c r="W25" s="2">
        <f t="shared" si="0"/>
        <v>4.7521107560122289E-7</v>
      </c>
      <c r="X25" s="2">
        <f t="shared" si="8"/>
        <v>0.97330141067504883</v>
      </c>
      <c r="Y25" s="2">
        <f t="shared" si="1"/>
        <v>-1.2328721044063684E-8</v>
      </c>
      <c r="Z25" s="2">
        <f t="shared" si="3"/>
        <v>0.97330117225646973</v>
      </c>
      <c r="AA25" s="2">
        <f t="shared" si="2"/>
        <v>2.3144117600182312E-7</v>
      </c>
      <c r="AB25" s="2">
        <f t="shared" si="4"/>
        <v>1.099834101862383E-13</v>
      </c>
      <c r="AC25" s="2">
        <f t="shared" si="5"/>
        <v>-2.8533736970365235E-15</v>
      </c>
      <c r="AD25" s="2">
        <f t="shared" si="6"/>
        <v>4.76837158203125E-7</v>
      </c>
      <c r="AF25" s="2">
        <v>21</v>
      </c>
      <c r="AG25" s="2">
        <f t="shared" si="13"/>
        <v>1872.5485801696777</v>
      </c>
      <c r="AH25" s="2">
        <v>-1.4594707909054705E-4</v>
      </c>
      <c r="AI25" s="2">
        <f t="shared" si="14"/>
        <v>1872.5576400756836</v>
      </c>
      <c r="AJ25" s="2">
        <v>3.6241859170331736E-3</v>
      </c>
      <c r="AK25" s="2">
        <f t="shared" si="9"/>
        <v>1872.5531101226807</v>
      </c>
      <c r="AL25" s="2">
        <v>1.7391206492902711E-3</v>
      </c>
      <c r="AM25" s="2">
        <f t="shared" si="10"/>
        <v>-2.5381957894997073E-7</v>
      </c>
      <c r="AN25" s="2">
        <f t="shared" si="11"/>
        <v>6.3028965651793893E-6</v>
      </c>
      <c r="AO25" s="2">
        <f t="shared" si="12"/>
        <v>9.059906005859375E-3</v>
      </c>
    </row>
    <row r="26" spans="2:41" x14ac:dyDescent="0.2">
      <c r="F26" s="6" t="s">
        <v>19</v>
      </c>
      <c r="G26" s="6">
        <f xml:space="preserve"> $C$5 * $C$68 / $C$21</f>
        <v>2294.2049359024063</v>
      </c>
      <c r="H26" s="6" t="s">
        <v>20</v>
      </c>
      <c r="J26" s="15" t="s">
        <v>64</v>
      </c>
      <c r="K26" s="6">
        <f xml:space="preserve"> $C$80 * (0.0268 * $C$5)</f>
        <v>40.147159537424415</v>
      </c>
      <c r="L26" s="6" t="s">
        <v>7</v>
      </c>
      <c r="N26" s="6" t="s">
        <v>31</v>
      </c>
      <c r="O26" s="18">
        <f>Z34</f>
        <v>0.97330139903351665</v>
      </c>
      <c r="U26" s="2">
        <v>22</v>
      </c>
      <c r="V26" s="2">
        <f t="shared" si="7"/>
        <v>0.97330117225646973</v>
      </c>
      <c r="W26" s="2">
        <f t="shared" si="0"/>
        <v>2.3144117600182312E-7</v>
      </c>
      <c r="X26" s="2">
        <f t="shared" si="8"/>
        <v>0.97330141067504883</v>
      </c>
      <c r="Y26" s="2">
        <f t="shared" si="1"/>
        <v>-1.2328721044063684E-8</v>
      </c>
      <c r="Z26" s="2">
        <f t="shared" si="3"/>
        <v>0.97330129146575928</v>
      </c>
      <c r="AA26" s="2">
        <f t="shared" si="2"/>
        <v>1.0955622720132396E-7</v>
      </c>
      <c r="AB26" s="2">
        <f t="shared" si="4"/>
        <v>2.5355822061797341E-14</v>
      </c>
      <c r="AC26" s="2">
        <f t="shared" si="5"/>
        <v>-1.350688163805185E-15</v>
      </c>
      <c r="AD26" s="2">
        <f t="shared" si="6"/>
        <v>2.384185791015625E-7</v>
      </c>
      <c r="AF26" s="2">
        <v>22</v>
      </c>
      <c r="AG26" s="2">
        <f t="shared" si="13"/>
        <v>1872.5485801696777</v>
      </c>
      <c r="AH26" s="2">
        <v>-1.4594707909054705E-4</v>
      </c>
      <c r="AI26" s="2">
        <f t="shared" si="14"/>
        <v>1872.5531101226807</v>
      </c>
      <c r="AJ26" s="2">
        <v>1.7391206492902711E-3</v>
      </c>
      <c r="AK26" s="2">
        <f t="shared" si="9"/>
        <v>1872.5508451461792</v>
      </c>
      <c r="AL26" s="2">
        <v>7.9642927289569343E-4</v>
      </c>
      <c r="AM26" s="2">
        <f t="shared" si="10"/>
        <v>-1.1623652608133464E-7</v>
      </c>
      <c r="AN26" s="2">
        <f t="shared" si="11"/>
        <v>1.3850865941921369E-6</v>
      </c>
      <c r="AO26" s="2">
        <f t="shared" si="12"/>
        <v>4.5299530029296875E-3</v>
      </c>
    </row>
    <row r="27" spans="2:41" x14ac:dyDescent="0.2">
      <c r="B27" s="30" t="s">
        <v>184</v>
      </c>
      <c r="C27" s="30"/>
      <c r="D27" s="30"/>
      <c r="F27" t="s">
        <v>97</v>
      </c>
      <c r="G27" s="6">
        <f>G29/$C$21</f>
        <v>24.540916461076346</v>
      </c>
      <c r="H27" t="s">
        <v>101</v>
      </c>
      <c r="J27" s="15" t="s">
        <v>65</v>
      </c>
      <c r="K27" s="6">
        <f xml:space="preserve"> $C$80 * (11.5 * ($C$5*2.20462/1000)^0.4 * 0.453592)</f>
        <v>7.3579821164852079</v>
      </c>
      <c r="L27" s="6" t="s">
        <v>7</v>
      </c>
      <c r="N27" s="6" t="s">
        <v>32</v>
      </c>
      <c r="O27" s="6">
        <f xml:space="preserve"> O21 * $C$10 * O26 - $C$7 * SIN(O19/180*PI())</f>
        <v>0.92229525643226395</v>
      </c>
      <c r="P27" s="6" t="s">
        <v>10</v>
      </c>
      <c r="U27" s="2">
        <v>23</v>
      </c>
      <c r="V27" s="2">
        <f t="shared" si="7"/>
        <v>0.97330129146575928</v>
      </c>
      <c r="W27" s="2">
        <f t="shared" si="0"/>
        <v>1.0955622720132396E-7</v>
      </c>
      <c r="X27" s="2">
        <f t="shared" si="8"/>
        <v>0.97330141067504883</v>
      </c>
      <c r="Y27" s="2">
        <f t="shared" si="1"/>
        <v>-1.2328721044063684E-8</v>
      </c>
      <c r="Z27" s="2">
        <f t="shared" si="3"/>
        <v>0.97330135107040405</v>
      </c>
      <c r="AA27" s="2">
        <f t="shared" si="2"/>
        <v>4.8613753023118988E-8</v>
      </c>
      <c r="AB27" s="2">
        <f t="shared" si="4"/>
        <v>5.3259393713098736E-15</v>
      </c>
      <c r="AC27" s="2">
        <f t="shared" si="5"/>
        <v>-5.9934539992704161E-16</v>
      </c>
      <c r="AD27" s="2">
        <f t="shared" si="6"/>
        <v>1.1920928955078125E-7</v>
      </c>
      <c r="AF27" s="2">
        <v>23</v>
      </c>
      <c r="AG27" s="2">
        <f t="shared" si="13"/>
        <v>1872.5485801696777</v>
      </c>
      <c r="AH27" s="2">
        <v>-1.4594707909054705E-4</v>
      </c>
      <c r="AI27" s="2">
        <f t="shared" si="14"/>
        <v>1872.5508451461792</v>
      </c>
      <c r="AJ27" s="2">
        <v>7.9642927289569343E-4</v>
      </c>
      <c r="AK27" s="2">
        <f t="shared" si="9"/>
        <v>1872.5497126579285</v>
      </c>
      <c r="AL27" s="2">
        <v>3.2539899325456645E-4</v>
      </c>
      <c r="AM27" s="2">
        <f t="shared" si="10"/>
        <v>-4.7491032604508596E-8</v>
      </c>
      <c r="AN27" s="2">
        <f t="shared" si="11"/>
        <v>2.5915728359872502E-7</v>
      </c>
      <c r="AO27" s="2">
        <f t="shared" si="12"/>
        <v>2.2649765014648438E-3</v>
      </c>
    </row>
    <row r="28" spans="2:41" x14ac:dyDescent="0.2">
      <c r="B28" s="6" t="s">
        <v>185</v>
      </c>
      <c r="C28" s="17">
        <v>1</v>
      </c>
      <c r="F28" t="s">
        <v>146</v>
      </c>
      <c r="G28" s="6">
        <f xml:space="preserve"> (G26/$C$68*1000) / (G27*1000)</f>
        <v>9.537823440476517</v>
      </c>
      <c r="H28" s="6" t="s">
        <v>147</v>
      </c>
      <c r="J28" s="15" t="s">
        <v>66</v>
      </c>
      <c r="K28" s="6">
        <f xml:space="preserve"> $C$80 * (8 * ($C$5/1000))</f>
        <v>11.984226727589377</v>
      </c>
      <c r="L28" s="6" t="s">
        <v>7</v>
      </c>
      <c r="N28" s="6" t="s">
        <v>33</v>
      </c>
      <c r="O28" s="6">
        <f xml:space="preserve"> 1/$C$31 - O25 * SQRT( (2*$C$71*PI()*$C$10^2) / O20^3 )</f>
        <v>1.1784851163375785</v>
      </c>
      <c r="U28" s="2">
        <v>24</v>
      </c>
      <c r="V28" s="2">
        <f t="shared" si="7"/>
        <v>0.97330135107040405</v>
      </c>
      <c r="W28" s="2">
        <f t="shared" si="0"/>
        <v>4.8613753023118988E-8</v>
      </c>
      <c r="X28" s="2">
        <f t="shared" si="8"/>
        <v>0.97330141067504883</v>
      </c>
      <c r="Y28" s="2">
        <f t="shared" si="1"/>
        <v>-1.2328721044063684E-8</v>
      </c>
      <c r="Z28" s="2">
        <f t="shared" si="3"/>
        <v>0.97330138087272644</v>
      </c>
      <c r="AA28" s="2">
        <f t="shared" si="2"/>
        <v>1.8142516045038803E-8</v>
      </c>
      <c r="AB28" s="2">
        <f t="shared" si="4"/>
        <v>8.8197579423148989E-16</v>
      </c>
      <c r="AC28" s="2">
        <f t="shared" si="5"/>
        <v>-2.2367401935673295E-16</v>
      </c>
      <c r="AD28" s="2">
        <f t="shared" si="6"/>
        <v>5.9604644775390625E-8</v>
      </c>
      <c r="AF28" s="2">
        <v>24</v>
      </c>
      <c r="AG28" s="2">
        <f t="shared" si="13"/>
        <v>1872.5485801696777</v>
      </c>
      <c r="AH28" s="2">
        <v>-1.4594707909054705E-4</v>
      </c>
      <c r="AI28" s="2">
        <f t="shared" si="14"/>
        <v>1872.5497126579285</v>
      </c>
      <c r="AJ28" s="2">
        <v>3.2539899325456645E-4</v>
      </c>
      <c r="AK28" s="2">
        <f t="shared" si="9"/>
        <v>1872.5491464138031</v>
      </c>
      <c r="AL28" s="2">
        <v>8.972597652245895E-5</v>
      </c>
      <c r="AM28" s="2">
        <f t="shared" si="10"/>
        <v>-1.3095244191999884E-8</v>
      </c>
      <c r="AN28" s="2">
        <f t="shared" si="11"/>
        <v>2.9196742429191006E-8</v>
      </c>
      <c r="AO28" s="2">
        <f t="shared" si="12"/>
        <v>1.1324882507324219E-3</v>
      </c>
    </row>
    <row r="29" spans="2:41" x14ac:dyDescent="0.2">
      <c r="B29" s="6" t="s">
        <v>186</v>
      </c>
      <c r="C29" s="17">
        <v>6</v>
      </c>
      <c r="F29" s="25" t="s">
        <v>83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196.32733168861077</v>
      </c>
      <c r="H29" s="25" t="s">
        <v>101</v>
      </c>
      <c r="J29" s="15" t="s">
        <v>67</v>
      </c>
      <c r="K29" s="6">
        <f xml:space="preserve"> $C$80 * (13 * ($C$5*2.20462/1000)^1.3 * 0.453592)</f>
        <v>29.798310902101118</v>
      </c>
      <c r="L29" s="6" t="s">
        <v>7</v>
      </c>
      <c r="N29" s="6" t="s">
        <v>34</v>
      </c>
      <c r="O29" s="17">
        <v>1.1499999999999999</v>
      </c>
      <c r="U29" s="2">
        <v>25</v>
      </c>
      <c r="V29" s="2">
        <f t="shared" si="7"/>
        <v>0.97330138087272644</v>
      </c>
      <c r="W29" s="2">
        <f t="shared" si="0"/>
        <v>1.8142516045038803E-8</v>
      </c>
      <c r="X29" s="2">
        <f t="shared" si="8"/>
        <v>0.97330141067504883</v>
      </c>
      <c r="Y29" s="2">
        <f t="shared" si="1"/>
        <v>-1.2328721044063684E-8</v>
      </c>
      <c r="Z29" s="2">
        <f t="shared" si="3"/>
        <v>0.97330139577388763</v>
      </c>
      <c r="AA29" s="2">
        <f t="shared" si="2"/>
        <v>2.9068975004875597E-9</v>
      </c>
      <c r="AB29" s="2">
        <f t="shared" si="4"/>
        <v>5.2738434543878744E-17</v>
      </c>
      <c r="AC29" s="2">
        <f t="shared" si="5"/>
        <v>-3.58383283871971E-17</v>
      </c>
      <c r="AD29" s="2">
        <f t="shared" si="6"/>
        <v>2.9802322387695312E-8</v>
      </c>
      <c r="AF29" s="2">
        <v>25</v>
      </c>
      <c r="AG29" s="2">
        <f t="shared" si="13"/>
        <v>1872.5485801696777</v>
      </c>
      <c r="AH29" s="2">
        <v>-1.4594707909054705E-4</v>
      </c>
      <c r="AI29" s="2">
        <f t="shared" si="14"/>
        <v>1872.5491464138031</v>
      </c>
      <c r="AJ29" s="2">
        <v>8.972597652245895E-5</v>
      </c>
      <c r="AK29" s="2">
        <f t="shared" si="9"/>
        <v>1872.5488632917404</v>
      </c>
      <c r="AL29" s="2">
        <v>-2.8110546736570541E-5</v>
      </c>
      <c r="AM29" s="2">
        <f t="shared" si="10"/>
        <v>4.1026521878407796E-9</v>
      </c>
      <c r="AN29" s="2">
        <f t="shared" si="11"/>
        <v>-2.5222462565190134E-9</v>
      </c>
      <c r="AO29" s="2">
        <f t="shared" si="12"/>
        <v>5.6624412536621094E-4</v>
      </c>
    </row>
    <row r="30" spans="2:41" x14ac:dyDescent="0.2">
      <c r="B30" s="6" t="s">
        <v>187</v>
      </c>
      <c r="C30" s="6">
        <f>$C$29*$C$11/PI()</f>
        <v>0.84998288907657626</v>
      </c>
      <c r="J30" s="10" t="s">
        <v>54</v>
      </c>
      <c r="K30" s="10">
        <f>$C$5 - $C$16 - SUM(K15:K29)</f>
        <v>-5.6200170629381319E-3</v>
      </c>
      <c r="L30" s="10" t="s">
        <v>7</v>
      </c>
      <c r="N30" s="6" t="s">
        <v>35</v>
      </c>
      <c r="O30" s="6">
        <f xml:space="preserve"> 1/$C$77 * LN( EXP($C$77 * O28) + EXP($C$77 * O29) )</f>
        <v>1.1903019089142444</v>
      </c>
      <c r="U30" s="2">
        <v>26</v>
      </c>
      <c r="V30" s="2">
        <f>IF(AB29&gt;0, Z29, V29)</f>
        <v>0.97330139577388763</v>
      </c>
      <c r="W30" s="2">
        <f t="shared" si="0"/>
        <v>2.9068975004875597E-9</v>
      </c>
      <c r="X30" s="2">
        <f t="shared" si="8"/>
        <v>0.97330141067504883</v>
      </c>
      <c r="Y30" s="2">
        <f t="shared" si="1"/>
        <v>-1.2328721044063684E-8</v>
      </c>
      <c r="Z30" s="2">
        <f t="shared" si="3"/>
        <v>0.97330140322446823</v>
      </c>
      <c r="AA30" s="2">
        <f t="shared" si="2"/>
        <v>-4.7109117717880622E-9</v>
      </c>
      <c r="AB30" s="2">
        <f t="shared" si="4"/>
        <v>-1.3694137654428139E-17</v>
      </c>
      <c r="AC30" s="2">
        <f t="shared" si="5"/>
        <v>5.8079517097570818E-17</v>
      </c>
      <c r="AD30" s="2">
        <f t="shared" si="6"/>
        <v>1.4901161193847656E-8</v>
      </c>
      <c r="AF30" s="2">
        <v>26</v>
      </c>
      <c r="AG30" s="2">
        <f t="shared" si="13"/>
        <v>1872.5488632917404</v>
      </c>
      <c r="AH30" s="2">
        <v>-2.8110546736570541E-5</v>
      </c>
      <c r="AI30" s="2">
        <f t="shared" si="14"/>
        <v>1872.5491464138031</v>
      </c>
      <c r="AJ30" s="2">
        <v>8.972597652245895E-5</v>
      </c>
      <c r="AK30" s="2">
        <f t="shared" si="9"/>
        <v>1872.5490048527718</v>
      </c>
      <c r="AL30" s="2">
        <v>3.0807715802438906E-5</v>
      </c>
      <c r="AM30" s="2">
        <f t="shared" si="10"/>
        <v>-8.6602173491144168E-10</v>
      </c>
      <c r="AN30" s="2">
        <f t="shared" si="11"/>
        <v>2.764252384800221E-9</v>
      </c>
      <c r="AO30" s="2">
        <f t="shared" si="12"/>
        <v>2.8312206268310547E-4</v>
      </c>
    </row>
    <row r="31" spans="2:41" x14ac:dyDescent="0.2">
      <c r="B31" s="6" t="s">
        <v>188</v>
      </c>
      <c r="C31" s="17">
        <v>0.75</v>
      </c>
      <c r="F31" s="32" t="s">
        <v>156</v>
      </c>
      <c r="G31" s="34"/>
      <c r="H31" s="34"/>
      <c r="J31" s="6" t="s">
        <v>55</v>
      </c>
      <c r="K31" s="4" t="str">
        <f>IF(ABS(K30)&lt;1, "TRUE", "FALSE")</f>
        <v>TRUE</v>
      </c>
      <c r="U31" s="2">
        <v>27</v>
      </c>
      <c r="V31" s="2">
        <f t="shared" si="7"/>
        <v>0.97330139577388763</v>
      </c>
      <c r="W31" s="2">
        <f t="shared" si="0"/>
        <v>2.9068975004875597E-9</v>
      </c>
      <c r="X31" s="2">
        <f t="shared" si="8"/>
        <v>0.97330140322446823</v>
      </c>
      <c r="Y31" s="2">
        <f t="shared" si="1"/>
        <v>-4.7109117717880622E-9</v>
      </c>
      <c r="Z31" s="2">
        <f t="shared" si="3"/>
        <v>0.97330139949917793</v>
      </c>
      <c r="AA31" s="2">
        <f t="shared" si="2"/>
        <v>-9.0200713565025126E-10</v>
      </c>
      <c r="AB31" s="2">
        <f t="shared" si="4"/>
        <v>-2.6220422880436586E-18</v>
      </c>
      <c r="AC31" s="2">
        <f t="shared" si="5"/>
        <v>4.2492760335716001E-18</v>
      </c>
      <c r="AD31" s="2">
        <f t="shared" si="6"/>
        <v>7.4505805969238281E-9</v>
      </c>
      <c r="AF31" s="2">
        <v>27</v>
      </c>
      <c r="AG31" s="2">
        <f t="shared" si="13"/>
        <v>1872.5488632917404</v>
      </c>
      <c r="AH31" s="2">
        <v>-2.8110546736570541E-5</v>
      </c>
      <c r="AI31" s="2">
        <f t="shared" si="14"/>
        <v>1872.5490048527718</v>
      </c>
      <c r="AJ31" s="2">
        <v>3.0807715802438906E-5</v>
      </c>
      <c r="AK31" s="2">
        <f t="shared" si="9"/>
        <v>1872.5489340722561</v>
      </c>
      <c r="AL31" s="2">
        <v>1.3485853287420468E-6</v>
      </c>
      <c r="AM31" s="2">
        <f t="shared" si="10"/>
        <v>-3.7909470911856655E-11</v>
      </c>
      <c r="AN31" s="2">
        <f t="shared" si="11"/>
        <v>4.1546833543223624E-11</v>
      </c>
      <c r="AO31" s="2">
        <f t="shared" si="12"/>
        <v>1.4156103134155273E-4</v>
      </c>
    </row>
    <row r="32" spans="2:41" x14ac:dyDescent="0.2">
      <c r="B32" s="6" t="s">
        <v>155</v>
      </c>
      <c r="C32" s="17">
        <v>50</v>
      </c>
      <c r="D32" s="6" t="s">
        <v>58</v>
      </c>
      <c r="F32" s="9" t="s">
        <v>157</v>
      </c>
      <c r="G32" s="17">
        <f>20*60</f>
        <v>1200</v>
      </c>
      <c r="H32" s="6" t="s">
        <v>13</v>
      </c>
      <c r="U32" s="2">
        <v>28</v>
      </c>
      <c r="V32" s="2">
        <f t="shared" si="7"/>
        <v>0.97330139577388763</v>
      </c>
      <c r="W32" s="2">
        <f t="shared" si="0"/>
        <v>2.9068975004875597E-9</v>
      </c>
      <c r="X32" s="2">
        <f t="shared" si="8"/>
        <v>0.97330139949917793</v>
      </c>
      <c r="Y32" s="2">
        <f t="shared" si="1"/>
        <v>-9.0200713565025126E-10</v>
      </c>
      <c r="Z32" s="2">
        <f t="shared" si="3"/>
        <v>0.97330139763653278</v>
      </c>
      <c r="AA32" s="2">
        <f t="shared" si="2"/>
        <v>1.0024452379298054E-9</v>
      </c>
      <c r="AB32" s="2">
        <f t="shared" si="4"/>
        <v>2.9140055565138085E-18</v>
      </c>
      <c r="AC32" s="2">
        <f t="shared" si="5"/>
        <v>-9.0421275771129842E-19</v>
      </c>
      <c r="AD32" s="2">
        <f t="shared" si="6"/>
        <v>3.7252902984619141E-9</v>
      </c>
      <c r="AF32" s="2">
        <v>28</v>
      </c>
      <c r="AG32" s="2">
        <f t="shared" si="13"/>
        <v>1872.5488632917404</v>
      </c>
      <c r="AH32" s="2">
        <v>-2.8110546736570541E-5</v>
      </c>
      <c r="AI32" s="2">
        <f t="shared" si="14"/>
        <v>1872.5489340722561</v>
      </c>
      <c r="AJ32" s="2">
        <v>1.3485853287420468E-6</v>
      </c>
      <c r="AK32" s="2">
        <f t="shared" si="9"/>
        <v>1872.5488986819983</v>
      </c>
      <c r="AL32" s="2">
        <v>-1.3538800203605206E-5</v>
      </c>
      <c r="AM32" s="2">
        <f t="shared" si="10"/>
        <v>3.8058307588053489E-10</v>
      </c>
      <c r="AN32" s="2">
        <f t="shared" si="11"/>
        <v>-1.8258227323351817E-11</v>
      </c>
      <c r="AO32" s="2">
        <f t="shared" si="12"/>
        <v>7.0780515670776367E-5</v>
      </c>
    </row>
    <row r="33" spans="2:41" x14ac:dyDescent="0.2">
      <c r="F33" s="26" t="s">
        <v>132</v>
      </c>
      <c r="G33" s="25">
        <f xml:space="preserve"> G20</f>
        <v>44.235648640734695</v>
      </c>
      <c r="H33" s="25" t="s">
        <v>101</v>
      </c>
      <c r="J33" s="27" t="s">
        <v>56</v>
      </c>
      <c r="K33" s="27"/>
      <c r="L33" s="27"/>
      <c r="U33" s="2">
        <v>29</v>
      </c>
      <c r="V33" s="2">
        <f t="shared" si="7"/>
        <v>0.97330139763653278</v>
      </c>
      <c r="W33" s="2">
        <f t="shared" si="0"/>
        <v>1.0024452379298054E-9</v>
      </c>
      <c r="X33" s="2">
        <f t="shared" si="8"/>
        <v>0.97330139949917793</v>
      </c>
      <c r="Y33" s="2">
        <f t="shared" si="1"/>
        <v>-9.0200713565025126E-10</v>
      </c>
      <c r="Z33" s="2">
        <f t="shared" si="3"/>
        <v>0.97330139856785536</v>
      </c>
      <c r="AA33" s="2">
        <f t="shared" si="2"/>
        <v>5.0219051139777093E-11</v>
      </c>
      <c r="AB33" s="2">
        <f t="shared" si="4"/>
        <v>5.0341848668422916E-20</v>
      </c>
      <c r="AC33" s="2">
        <f t="shared" si="5"/>
        <v>-4.5297942473663822E-20</v>
      </c>
      <c r="AD33" s="2">
        <f t="shared" si="6"/>
        <v>1.862645149230957E-9</v>
      </c>
      <c r="AF33" s="2">
        <v>29</v>
      </c>
      <c r="AG33" s="2">
        <f t="shared" si="13"/>
        <v>1872.5488986819983</v>
      </c>
      <c r="AH33" s="2">
        <v>-1.3538800203605206E-5</v>
      </c>
      <c r="AI33" s="2">
        <f t="shared" si="14"/>
        <v>1872.5489340722561</v>
      </c>
      <c r="AJ33" s="2">
        <v>1.3485853287420468E-6</v>
      </c>
      <c r="AK33" s="2">
        <f t="shared" si="9"/>
        <v>1872.5489163771272</v>
      </c>
      <c r="AL33" s="2">
        <v>-6.0951076648052549E-6</v>
      </c>
      <c r="AM33" s="2">
        <f t="shared" si="10"/>
        <v>8.2520444893261035E-11</v>
      </c>
      <c r="AN33" s="2">
        <f t="shared" si="11"/>
        <v>-8.2197727738595641E-12</v>
      </c>
      <c r="AO33" s="2">
        <f t="shared" si="12"/>
        <v>3.5390257835388184E-5</v>
      </c>
    </row>
    <row r="34" spans="2:41" x14ac:dyDescent="0.2">
      <c r="B34" s="30" t="s">
        <v>104</v>
      </c>
      <c r="C34" s="30"/>
      <c r="D34" s="30"/>
      <c r="J34" s="6" t="s">
        <v>57</v>
      </c>
      <c r="K34" s="6">
        <f>ROUND($C$16/$C$5 * 100, 2)</f>
        <v>32.04</v>
      </c>
      <c r="L34" s="6" t="s">
        <v>58</v>
      </c>
      <c r="U34" s="2">
        <v>30</v>
      </c>
      <c r="V34" s="2">
        <f t="shared" si="7"/>
        <v>0.97330139856785536</v>
      </c>
      <c r="W34" s="2">
        <f t="shared" si="0"/>
        <v>5.0219051139777093E-11</v>
      </c>
      <c r="X34" s="2">
        <f t="shared" si="8"/>
        <v>0.97330139949917793</v>
      </c>
      <c r="Y34" s="2">
        <f t="shared" si="1"/>
        <v>-9.0200713565025126E-10</v>
      </c>
      <c r="Z34" s="2">
        <f t="shared" si="3"/>
        <v>0.97330139903351665</v>
      </c>
      <c r="AA34" s="2">
        <f t="shared" si="2"/>
        <v>-4.2589409776638831E-10</v>
      </c>
      <c r="AB34" s="2">
        <f t="shared" si="4"/>
        <v>-2.138799747585948E-20</v>
      </c>
      <c r="AC34" s="2">
        <f t="shared" si="5"/>
        <v>3.8415951521660799E-19</v>
      </c>
      <c r="AD34" s="2">
        <f t="shared" si="6"/>
        <v>9.3132257461547852E-10</v>
      </c>
      <c r="AF34" s="2">
        <v>30</v>
      </c>
      <c r="AG34" s="2">
        <f t="shared" si="13"/>
        <v>1872.5489163771272</v>
      </c>
      <c r="AH34" s="2">
        <v>-6.0951076648052549E-6</v>
      </c>
      <c r="AI34" s="2">
        <f t="shared" si="14"/>
        <v>1872.5489340722561</v>
      </c>
      <c r="AJ34" s="2">
        <v>1.3485853287420468E-6</v>
      </c>
      <c r="AK34" s="2">
        <f t="shared" si="9"/>
        <v>1872.5489252246916</v>
      </c>
      <c r="AL34" s="2">
        <v>-2.3732609406579286E-6</v>
      </c>
      <c r="AM34" s="2">
        <f t="shared" si="10"/>
        <v>1.446528094998707E-11</v>
      </c>
      <c r="AN34" s="2">
        <f t="shared" si="11"/>
        <v>-3.2005448858478319E-12</v>
      </c>
      <c r="AO34" s="2">
        <f t="shared" si="12"/>
        <v>1.7695128917694092E-5</v>
      </c>
    </row>
    <row r="35" spans="2:41" x14ac:dyDescent="0.2">
      <c r="B35" s="6" t="s">
        <v>105</v>
      </c>
      <c r="C35" s="17">
        <v>6</v>
      </c>
      <c r="J35" s="11" t="s">
        <v>52</v>
      </c>
      <c r="K35" s="6">
        <f>ROUND(K15/$C$5 * 100, 2)</f>
        <v>20.11</v>
      </c>
      <c r="L35" s="6" t="s">
        <v>58</v>
      </c>
      <c r="AF35" s="2">
        <v>31</v>
      </c>
      <c r="AG35" s="2">
        <f t="shared" si="13"/>
        <v>1872.5489252246916</v>
      </c>
      <c r="AH35" s="2">
        <v>-2.3732609406579286E-6</v>
      </c>
      <c r="AI35" s="2">
        <f t="shared" si="14"/>
        <v>1872.5489340722561</v>
      </c>
      <c r="AJ35" s="2">
        <v>1.3485853287420468E-6</v>
      </c>
      <c r="AK35" s="2">
        <f t="shared" si="9"/>
        <v>1872.5489296484739</v>
      </c>
      <c r="AL35" s="2">
        <v>-5.1233814701845404E-7</v>
      </c>
      <c r="AM35" s="2">
        <f t="shared" si="10"/>
        <v>1.2159121127279563E-12</v>
      </c>
      <c r="AN35" s="2">
        <f t="shared" si="11"/>
        <v>-6.9093170842397296E-13</v>
      </c>
      <c r="AO35" s="2">
        <f t="shared" si="12"/>
        <v>8.8475644588470459E-6</v>
      </c>
    </row>
    <row r="36" spans="2:41" x14ac:dyDescent="0.2">
      <c r="B36" s="6" t="s">
        <v>106</v>
      </c>
      <c r="C36" s="17">
        <v>9.1440000000000001</v>
      </c>
      <c r="D36" s="6" t="s">
        <v>8</v>
      </c>
      <c r="J36" s="19" t="s">
        <v>78</v>
      </c>
      <c r="K36" s="6">
        <f>ROUND(SUM(K16:K19)/$C$5 * 100, 2)</f>
        <v>12.91</v>
      </c>
      <c r="L36" s="6" t="s">
        <v>58</v>
      </c>
      <c r="AF36" s="2">
        <v>32</v>
      </c>
      <c r="AG36" s="2">
        <f t="shared" si="13"/>
        <v>1872.5489296484739</v>
      </c>
      <c r="AH36" s="2">
        <v>-5.1233814701845404E-7</v>
      </c>
      <c r="AI36" s="2">
        <f t="shared" si="14"/>
        <v>1872.5489340722561</v>
      </c>
      <c r="AJ36" s="2">
        <v>1.3485853287420468E-6</v>
      </c>
      <c r="AK36" s="2">
        <f t="shared" si="9"/>
        <v>1872.548931860365</v>
      </c>
      <c r="AL36" s="2">
        <v>4.181235908617964E-7</v>
      </c>
      <c r="AM36" s="2">
        <f t="shared" si="10"/>
        <v>-2.1422066576683497E-13</v>
      </c>
      <c r="AN36" s="2">
        <f t="shared" si="11"/>
        <v>5.6387534023716079E-13</v>
      </c>
      <c r="AO36" s="2">
        <f t="shared" si="12"/>
        <v>4.4237822294235229E-6</v>
      </c>
    </row>
    <row r="37" spans="2:41" x14ac:dyDescent="0.2">
      <c r="B37" s="6" t="s">
        <v>107</v>
      </c>
      <c r="C37" s="17">
        <v>1.8675309360000001</v>
      </c>
      <c r="D37" s="6" t="s">
        <v>8</v>
      </c>
      <c r="J37" s="20" t="s">
        <v>69</v>
      </c>
      <c r="K37" s="6">
        <f>ROUND(SUM(K20:K25)/$C$5 * 100, 2)</f>
        <v>30.17</v>
      </c>
      <c r="L37" s="6" t="s">
        <v>58</v>
      </c>
      <c r="AF37" s="2">
        <v>33</v>
      </c>
      <c r="AG37" s="2">
        <f t="shared" si="13"/>
        <v>1872.5489296484739</v>
      </c>
      <c r="AH37" s="2">
        <v>-5.1233814701845404E-7</v>
      </c>
      <c r="AI37" s="2">
        <f t="shared" si="14"/>
        <v>1872.548931860365</v>
      </c>
      <c r="AJ37" s="2">
        <v>1.3485853287420468E-6</v>
      </c>
      <c r="AK37" s="2">
        <f t="shared" si="9"/>
        <v>1872.5489307544194</v>
      </c>
      <c r="AL37" s="2">
        <v>8.8335445980192162E-7</v>
      </c>
      <c r="AM37" s="2">
        <f t="shared" si="10"/>
        <v>-4.5257618709540397E-13</v>
      </c>
      <c r="AN37" s="2">
        <f t="shared" si="11"/>
        <v>1.1912788645677277E-12</v>
      </c>
      <c r="AO37" s="2">
        <f t="shared" si="12"/>
        <v>2.2118911147117615E-6</v>
      </c>
    </row>
    <row r="38" spans="2:41" x14ac:dyDescent="0.2">
      <c r="J38" s="15" t="s">
        <v>70</v>
      </c>
      <c r="K38" s="6">
        <f>ROUND(SUM(K26:K29)/$C$5*100, 2)</f>
        <v>4.7699999999999996</v>
      </c>
      <c r="L38" s="6" t="s">
        <v>58</v>
      </c>
      <c r="AF38" s="2">
        <v>34</v>
      </c>
      <c r="AG38" s="2">
        <f t="shared" si="13"/>
        <v>1872.5489296484739</v>
      </c>
      <c r="AH38" s="2">
        <v>-5.1233814701845404E-7</v>
      </c>
      <c r="AI38" s="2">
        <f t="shared" si="14"/>
        <v>1872.5489307544194</v>
      </c>
      <c r="AJ38" s="2">
        <v>1.3485853287420468E-6</v>
      </c>
      <c r="AK38" s="2">
        <f t="shared" si="9"/>
        <v>1872.5489302014466</v>
      </c>
      <c r="AL38" s="2">
        <v>1.1159697805851465E-6</v>
      </c>
      <c r="AM38" s="2">
        <f t="shared" si="10"/>
        <v>-5.7175388951358469E-13</v>
      </c>
      <c r="AN38" s="2">
        <f t="shared" si="11"/>
        <v>1.5049804734166097E-12</v>
      </c>
      <c r="AO38" s="2">
        <f t="shared" si="12"/>
        <v>1.1059455573558807E-6</v>
      </c>
    </row>
    <row r="39" spans="2:41" x14ac:dyDescent="0.2">
      <c r="B39" s="30" t="s">
        <v>108</v>
      </c>
      <c r="C39" s="30"/>
      <c r="D39" s="30"/>
      <c r="J39" s="10" t="s">
        <v>59</v>
      </c>
      <c r="K39" s="10">
        <f>SUM(K34:K38)</f>
        <v>100</v>
      </c>
      <c r="L39" s="10" t="s">
        <v>58</v>
      </c>
      <c r="AF39" s="2">
        <v>35</v>
      </c>
      <c r="AG39" s="2">
        <f t="shared" si="13"/>
        <v>1872.5489296484739</v>
      </c>
      <c r="AH39" s="2">
        <v>-5.1233814701845404E-7</v>
      </c>
      <c r="AI39" s="2">
        <f t="shared" si="14"/>
        <v>1872.5489302014466</v>
      </c>
      <c r="AJ39" s="2">
        <v>1.3485853287420468E-6</v>
      </c>
      <c r="AK39" s="2">
        <f t="shared" si="9"/>
        <v>1872.5489299249602</v>
      </c>
      <c r="AL39" s="2">
        <v>1.2322770999162458E-6</v>
      </c>
      <c r="AM39" s="2">
        <f t="shared" si="10"/>
        <v>-6.3134256598436371E-13</v>
      </c>
      <c r="AN39" s="2">
        <f t="shared" si="11"/>
        <v>1.6618308178918464E-12</v>
      </c>
      <c r="AO39" s="2">
        <f t="shared" si="12"/>
        <v>5.5297277867794037E-7</v>
      </c>
    </row>
    <row r="40" spans="2:41" x14ac:dyDescent="0.2">
      <c r="B40" s="6" t="s">
        <v>116</v>
      </c>
      <c r="C40" s="22" t="s">
        <v>189</v>
      </c>
      <c r="AF40" s="2">
        <v>36</v>
      </c>
      <c r="AG40" s="2">
        <f t="shared" si="13"/>
        <v>1872.5489296484739</v>
      </c>
      <c r="AH40" s="2">
        <v>-5.1233814701845404E-7</v>
      </c>
      <c r="AI40" s="2">
        <f t="shared" si="14"/>
        <v>1872.5489299249602</v>
      </c>
      <c r="AJ40" s="2">
        <v>1.3485853287420468E-6</v>
      </c>
      <c r="AK40" s="2">
        <f t="shared" si="9"/>
        <v>1872.5489297867171</v>
      </c>
      <c r="AL40" s="2">
        <v>1.2904315553896595E-6</v>
      </c>
      <c r="AM40" s="2">
        <f t="shared" si="10"/>
        <v>-6.6113731194247967E-13</v>
      </c>
      <c r="AN40" s="2">
        <f t="shared" si="11"/>
        <v>1.7402570633442748E-12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111</v>
      </c>
      <c r="K41" s="30"/>
      <c r="L41" s="30"/>
      <c r="AF41" s="2">
        <v>37</v>
      </c>
      <c r="AG41" s="2">
        <f t="shared" si="13"/>
        <v>1872.5489296484739</v>
      </c>
      <c r="AH41" s="2">
        <v>-5.1233814701845404E-7</v>
      </c>
      <c r="AI41" s="2">
        <f t="shared" si="14"/>
        <v>1872.5489297867171</v>
      </c>
      <c r="AJ41" s="2">
        <v>1.3485853287420468E-6</v>
      </c>
      <c r="AK41" s="2">
        <f t="shared" si="9"/>
        <v>1872.5489297175955</v>
      </c>
      <c r="AL41" s="2">
        <v>1.3195076462579891E-6</v>
      </c>
      <c r="AM41" s="2">
        <f t="shared" si="10"/>
        <v>-6.7603410246049987E-13</v>
      </c>
      <c r="AN41" s="2">
        <f t="shared" si="11"/>
        <v>1.7794686529064747E-12</v>
      </c>
      <c r="AO41" s="2">
        <f t="shared" si="12"/>
        <v>1.3824319466948509E-7</v>
      </c>
    </row>
    <row r="42" spans="2:41" x14ac:dyDescent="0.2">
      <c r="B42" s="6" t="s">
        <v>190</v>
      </c>
      <c r="C42" s="17">
        <v>0.30480000000000002</v>
      </c>
      <c r="D42" s="6" t="s">
        <v>8</v>
      </c>
      <c r="J42" s="6" t="s">
        <v>57</v>
      </c>
      <c r="K42" s="6">
        <f>ROUND(C16,2)</f>
        <v>600</v>
      </c>
      <c r="L42" s="6" t="s">
        <v>7</v>
      </c>
      <c r="AF42" s="2">
        <v>38</v>
      </c>
      <c r="AG42" s="2">
        <f t="shared" si="13"/>
        <v>1872.5489296484739</v>
      </c>
      <c r="AH42" s="2">
        <v>-5.1233814701845404E-7</v>
      </c>
      <c r="AI42" s="2">
        <f t="shared" si="14"/>
        <v>1872.5489297175955</v>
      </c>
      <c r="AJ42" s="2">
        <v>1.3485853287420468E-6</v>
      </c>
      <c r="AK42" s="2">
        <f t="shared" si="9"/>
        <v>1872.5489296830347</v>
      </c>
      <c r="AL42" s="2">
        <v>1.3340466011868557E-6</v>
      </c>
      <c r="AM42" s="2">
        <f t="shared" si="10"/>
        <v>-6.8348296368834019E-13</v>
      </c>
      <c r="AN42" s="2">
        <f t="shared" si="11"/>
        <v>1.799075674218786E-12</v>
      </c>
      <c r="AO42" s="2">
        <f t="shared" si="12"/>
        <v>6.9121597334742546E-8</v>
      </c>
    </row>
    <row r="43" spans="2:41" x14ac:dyDescent="0.2">
      <c r="B43" s="6" t="s">
        <v>191</v>
      </c>
      <c r="C43" s="17">
        <v>5.7</v>
      </c>
      <c r="J43" s="11" t="s">
        <v>52</v>
      </c>
      <c r="K43" s="6">
        <f>ROUND(K15, 2)</f>
        <v>376.56</v>
      </c>
      <c r="L43" s="6" t="s">
        <v>7</v>
      </c>
      <c r="AF43" s="2">
        <v>39</v>
      </c>
      <c r="AG43" s="2">
        <f t="shared" si="13"/>
        <v>1872.5489296484739</v>
      </c>
      <c r="AH43" s="2">
        <v>-5.1233814701845404E-7</v>
      </c>
      <c r="AI43" s="2">
        <f t="shared" si="14"/>
        <v>1872.5489296830347</v>
      </c>
      <c r="AJ43" s="2">
        <v>1.3485853287420468E-6</v>
      </c>
      <c r="AK43" s="2">
        <f t="shared" si="9"/>
        <v>1872.5489296657543</v>
      </c>
      <c r="AL43" s="2">
        <v>1.3413161923381267E-6</v>
      </c>
      <c r="AM43" s="2">
        <f t="shared" si="10"/>
        <v>-6.8720745254836414E-13</v>
      </c>
      <c r="AN43" s="2">
        <f t="shared" si="11"/>
        <v>1.8088793381913431E-12</v>
      </c>
      <c r="AO43" s="2">
        <f t="shared" si="12"/>
        <v>3.4560798667371273E-8</v>
      </c>
    </row>
    <row r="44" spans="2:41" x14ac:dyDescent="0.2">
      <c r="J44" s="19" t="s">
        <v>78</v>
      </c>
      <c r="K44" s="6">
        <f>ROUND(SUM(K16:K19), 2)</f>
        <v>241.74</v>
      </c>
      <c r="L44" s="6" t="s">
        <v>7</v>
      </c>
      <c r="AF44" s="2">
        <v>40</v>
      </c>
      <c r="AG44" s="2">
        <f t="shared" si="13"/>
        <v>1872.5489296484739</v>
      </c>
      <c r="AH44" s="2">
        <v>-5.1233814701845404E-7</v>
      </c>
      <c r="AI44" s="2">
        <f t="shared" si="14"/>
        <v>1872.5489296657543</v>
      </c>
      <c r="AJ44" s="2">
        <v>1.3485853287420468E-6</v>
      </c>
      <c r="AK44" s="5">
        <f t="shared" si="9"/>
        <v>1872.5489296571141</v>
      </c>
      <c r="AL44" s="2">
        <v>1.3449507605400868E-6</v>
      </c>
      <c r="AM44" s="2">
        <f t="shared" si="10"/>
        <v>-6.8906958048616855E-13</v>
      </c>
      <c r="AN44" s="2">
        <f t="shared" si="11"/>
        <v>1.8137808635448188E-12</v>
      </c>
      <c r="AO44" s="2">
        <f t="shared" si="12"/>
        <v>1.7280399333685637E-8</v>
      </c>
    </row>
    <row r="45" spans="2:41" x14ac:dyDescent="0.2">
      <c r="B45" s="30" t="s">
        <v>192</v>
      </c>
      <c r="C45" s="30"/>
      <c r="D45" s="30"/>
      <c r="J45" s="20" t="s">
        <v>69</v>
      </c>
      <c r="K45" s="6">
        <f>ROUND(SUM(K20:K25), 2)</f>
        <v>564.95000000000005</v>
      </c>
      <c r="L45" s="6" t="s">
        <v>7</v>
      </c>
    </row>
    <row r="46" spans="2:41" x14ac:dyDescent="0.2">
      <c r="B46" s="6" t="s">
        <v>191</v>
      </c>
      <c r="C46" s="17">
        <v>3</v>
      </c>
      <c r="J46" s="15" t="s">
        <v>70</v>
      </c>
      <c r="K46" s="6">
        <f>ROUND(SUM(K26:K29), 2)</f>
        <v>89.29</v>
      </c>
      <c r="L46" s="6" t="s">
        <v>7</v>
      </c>
    </row>
    <row r="47" spans="2:41" x14ac:dyDescent="0.2">
      <c r="J47" s="10" t="s">
        <v>59</v>
      </c>
      <c r="K47" s="10">
        <f>SUM(K42:K46)</f>
        <v>1872.54</v>
      </c>
      <c r="L47" s="6" t="s">
        <v>7</v>
      </c>
    </row>
    <row r="48" spans="2:41" x14ac:dyDescent="0.2">
      <c r="B48" s="30" t="s">
        <v>193</v>
      </c>
      <c r="C48" s="30"/>
      <c r="D48" s="30"/>
    </row>
    <row r="49" spans="2:4" x14ac:dyDescent="0.2">
      <c r="B49" s="6" t="s">
        <v>194</v>
      </c>
      <c r="C49" s="17">
        <v>4.3036300000000001</v>
      </c>
    </row>
    <row r="50" spans="2:4" x14ac:dyDescent="0.2">
      <c r="B50" s="6" t="s">
        <v>195</v>
      </c>
      <c r="C50" s="17">
        <f>39.5112*0.3048^2</f>
        <v>3.6707105940480003</v>
      </c>
      <c r="D50" s="6" t="s">
        <v>174</v>
      </c>
    </row>
    <row r="51" spans="2:4" x14ac:dyDescent="0.2">
      <c r="B51" s="6" t="s">
        <v>196</v>
      </c>
      <c r="C51" s="17">
        <f>0.15*3.7875*0.3048</f>
        <v>0.1731645</v>
      </c>
      <c r="D51" s="6" t="s">
        <v>8</v>
      </c>
    </row>
    <row r="53" spans="2:4" x14ac:dyDescent="0.2">
      <c r="B53" s="30" t="s">
        <v>197</v>
      </c>
      <c r="C53" s="30"/>
      <c r="D53" s="30"/>
    </row>
    <row r="54" spans="2:4" x14ac:dyDescent="0.2">
      <c r="B54" s="6" t="s">
        <v>198</v>
      </c>
      <c r="C54" s="17">
        <v>1.1798999999999999</v>
      </c>
    </row>
    <row r="55" spans="2:4" x14ac:dyDescent="0.2">
      <c r="B55" s="6" t="s">
        <v>199</v>
      </c>
      <c r="C55" s="17">
        <f>27.34325*0.3048^2</f>
        <v>2.5402710484800002</v>
      </c>
      <c r="D55" s="6" t="s">
        <v>174</v>
      </c>
    </row>
    <row r="56" spans="2:4" x14ac:dyDescent="0.2">
      <c r="B56" s="6" t="s">
        <v>200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201</v>
      </c>
      <c r="C57" s="17">
        <v>35</v>
      </c>
      <c r="D57" s="6" t="s">
        <v>40</v>
      </c>
    </row>
    <row r="59" spans="2:4" x14ac:dyDescent="0.2">
      <c r="B59" s="32" t="s">
        <v>2</v>
      </c>
      <c r="C59" s="34"/>
      <c r="D59" s="34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0" t="s">
        <v>144</v>
      </c>
      <c r="C64" s="31"/>
      <c r="D64" s="31"/>
    </row>
    <row r="65" spans="2:4" x14ac:dyDescent="0.2">
      <c r="B65" s="6" t="s">
        <v>14</v>
      </c>
      <c r="C65" s="17">
        <v>1.0397562309141399</v>
      </c>
      <c r="D65" s="6" t="s">
        <v>15</v>
      </c>
    </row>
    <row r="66" spans="2:4" x14ac:dyDescent="0.2">
      <c r="B66" s="6" t="s">
        <v>130</v>
      </c>
      <c r="C66" s="23">
        <v>1.7363179204150701E-5</v>
      </c>
      <c r="D66" s="6" t="s">
        <v>129</v>
      </c>
    </row>
    <row r="67" spans="2:4" x14ac:dyDescent="0.2">
      <c r="B67" s="6" t="s">
        <v>123</v>
      </c>
      <c r="C67" s="17">
        <v>333.91694458017901</v>
      </c>
      <c r="D67" s="6" t="s">
        <v>10</v>
      </c>
    </row>
    <row r="68" spans="2:4" x14ac:dyDescent="0.2">
      <c r="B68" s="6" t="s">
        <v>16</v>
      </c>
      <c r="C68" s="1">
        <v>9.80149119240094</v>
      </c>
      <c r="D68" s="6" t="s">
        <v>17</v>
      </c>
    </row>
    <row r="70" spans="2:4" x14ac:dyDescent="0.2">
      <c r="B70" s="30" t="s">
        <v>145</v>
      </c>
      <c r="C70" s="31"/>
      <c r="D70" s="31"/>
    </row>
    <row r="71" spans="2:4" x14ac:dyDescent="0.2">
      <c r="B71" s="6" t="s">
        <v>14</v>
      </c>
      <c r="C71" s="17">
        <v>1.00854450666398</v>
      </c>
      <c r="D71" s="6" t="s">
        <v>15</v>
      </c>
    </row>
    <row r="72" spans="2:4" x14ac:dyDescent="0.2">
      <c r="B72" s="6" t="s">
        <v>130</v>
      </c>
      <c r="C72" s="23">
        <v>1.7265641515845801E-5</v>
      </c>
      <c r="D72" s="6" t="s">
        <v>129</v>
      </c>
    </row>
    <row r="73" spans="2:4" x14ac:dyDescent="0.2">
      <c r="B73" s="6" t="s">
        <v>123</v>
      </c>
      <c r="C73" s="17">
        <v>332.721752148093</v>
      </c>
      <c r="D73" s="6" t="s">
        <v>10</v>
      </c>
    </row>
    <row r="74" spans="2:4" x14ac:dyDescent="0.2">
      <c r="B74" s="6" t="s">
        <v>16</v>
      </c>
      <c r="C74" s="1">
        <v>9.8005536647414697</v>
      </c>
      <c r="D74" s="6" t="s">
        <v>17</v>
      </c>
    </row>
    <row r="76" spans="2:4" x14ac:dyDescent="0.2">
      <c r="B76" s="30" t="s">
        <v>71</v>
      </c>
      <c r="C76" s="30"/>
      <c r="D76" s="30"/>
    </row>
    <row r="77" spans="2:4" x14ac:dyDescent="0.2">
      <c r="B77" s="6" t="s">
        <v>137</v>
      </c>
      <c r="C77" s="17">
        <v>30</v>
      </c>
    </row>
    <row r="78" spans="2:4" x14ac:dyDescent="0.2">
      <c r="B78" s="6" t="s">
        <v>139</v>
      </c>
      <c r="C78" s="17">
        <v>0.8</v>
      </c>
    </row>
    <row r="79" spans="2:4" x14ac:dyDescent="0.2">
      <c r="B79" s="6" t="s">
        <v>140</v>
      </c>
      <c r="C79" s="17">
        <v>0.8</v>
      </c>
    </row>
    <row r="80" spans="2:4" x14ac:dyDescent="0.2">
      <c r="B80" s="6" t="s">
        <v>141</v>
      </c>
      <c r="C80" s="17">
        <v>0.8</v>
      </c>
    </row>
    <row r="81" spans="2:4" x14ac:dyDescent="0.2">
      <c r="B81" s="6" t="s">
        <v>202</v>
      </c>
      <c r="C81" s="17">
        <v>5</v>
      </c>
      <c r="D81" s="6" t="s">
        <v>40</v>
      </c>
    </row>
  </sheetData>
  <mergeCells count="23"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53:D53"/>
    <mergeCell ref="B59:D59"/>
    <mergeCell ref="B64:D64"/>
    <mergeCell ref="B70:D70"/>
    <mergeCell ref="B76:D76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F753-5355-0F46-912E-E2EF6F89CF42}">
  <dimension ref="B1:AO81"/>
  <sheetViews>
    <sheetView zoomScale="88" workbookViewId="0">
      <selection activeCell="E7" sqref="E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6" t="s">
        <v>0</v>
      </c>
      <c r="C1" s="36"/>
      <c r="D1" s="36"/>
    </row>
    <row r="2" spans="2:41" x14ac:dyDescent="0.2">
      <c r="U2" s="16" t="s">
        <v>93</v>
      </c>
      <c r="AF2" s="29" t="s">
        <v>160</v>
      </c>
    </row>
    <row r="3" spans="2:41" x14ac:dyDescent="0.2">
      <c r="B3" s="30" t="s">
        <v>118</v>
      </c>
      <c r="C3" s="31"/>
      <c r="D3" s="31"/>
      <c r="F3" s="32" t="s">
        <v>80</v>
      </c>
      <c r="G3" s="34"/>
      <c r="H3" s="34"/>
      <c r="J3" s="30" t="s">
        <v>98</v>
      </c>
      <c r="K3" s="30"/>
      <c r="L3" s="30"/>
      <c r="N3" s="30" t="s">
        <v>92</v>
      </c>
      <c r="O3" s="30"/>
      <c r="P3" s="30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3" t="s">
        <v>161</v>
      </c>
      <c r="F4" s="6" t="s">
        <v>84</v>
      </c>
      <c r="G4" s="17">
        <f>500*0.3048/60</f>
        <v>2.54</v>
      </c>
      <c r="H4" s="6" t="s">
        <v>10</v>
      </c>
      <c r="J4" s="6" t="s">
        <v>99</v>
      </c>
      <c r="K4" s="6">
        <f>(1+$C$25/100)*MAX(G10,G29)</f>
        <v>946.5030284005901</v>
      </c>
      <c r="L4" s="6" t="s">
        <v>101</v>
      </c>
      <c r="N4" s="6" t="s">
        <v>162</v>
      </c>
      <c r="O4" s="6">
        <f xml:space="preserve"> $C$5 * $C$74</f>
        <v>30129.142577728315</v>
      </c>
      <c r="P4" s="6" t="s">
        <v>20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1.1528731328032853</v>
      </c>
      <c r="X4" s="3">
        <v>1</v>
      </c>
      <c r="Y4" s="2">
        <f t="shared" ref="Y4:Y34" si="1" xml:space="preserve"> $O$22 * TAN($O$19/180*PI()) + $O$23 / (2 * SQRT($O$22^2 + X4^2)) - X4</f>
        <v>-4.0671699123476013E-2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0.4763026911357503</v>
      </c>
      <c r="AB4" s="2">
        <f>W4*AA4</f>
        <v>0.54911657569230798</v>
      </c>
      <c r="AC4" s="2">
        <f>Y4*AA4</f>
        <v>-1.9372039745575161E-2</v>
      </c>
      <c r="AD4" s="2">
        <f>X4-V4</f>
        <v>1</v>
      </c>
      <c r="AF4" s="2">
        <v>0</v>
      </c>
      <c r="AH4" s="2">
        <f>K30</f>
        <v>-8.0892453288470278E-3</v>
      </c>
      <c r="AJ4" s="2">
        <f>K30</f>
        <v>-8.0892453288470278E-3</v>
      </c>
      <c r="AL4" s="2">
        <f>K30</f>
        <v>-8.0892453288470278E-3</v>
      </c>
    </row>
    <row r="5" spans="2:41" x14ac:dyDescent="0.2">
      <c r="B5" s="10" t="s">
        <v>37</v>
      </c>
      <c r="C5" s="10">
        <v>3074.2286209932299</v>
      </c>
      <c r="D5" s="10" t="s">
        <v>7</v>
      </c>
      <c r="F5" s="6" t="s">
        <v>87</v>
      </c>
      <c r="G5" s="17">
        <f>1000*0.3048</f>
        <v>304.8</v>
      </c>
      <c r="H5" s="6" t="s">
        <v>8</v>
      </c>
      <c r="J5" s="6" t="s">
        <v>100</v>
      </c>
      <c r="K5" s="6">
        <f>K4/$C$21</f>
        <v>118.31287855007376</v>
      </c>
      <c r="L5" s="6" t="s">
        <v>101</v>
      </c>
      <c r="N5" s="6" t="s">
        <v>22</v>
      </c>
      <c r="O5" s="6">
        <f xml:space="preserve"> 0.5 * $C$71 * $C$7^2</f>
        <v>3984.3733596601419</v>
      </c>
      <c r="P5" s="6" t="s">
        <v>23</v>
      </c>
      <c r="U5" s="2">
        <v>1</v>
      </c>
      <c r="V5" s="2">
        <f>IF(AB4&gt;0, Z4, V4)</f>
        <v>0.5</v>
      </c>
      <c r="W5" s="2">
        <f t="shared" si="0"/>
        <v>0.4763026911357503</v>
      </c>
      <c r="X5" s="2">
        <f>IF(AC4&gt;0, Z4, X4)</f>
        <v>1</v>
      </c>
      <c r="Y5" s="2">
        <f t="shared" si="1"/>
        <v>-4.0671699123476013E-2</v>
      </c>
      <c r="Z5" s="2">
        <f t="shared" ref="Z5:Z34" si="3" xml:space="preserve"> (V5 + X5)/2</f>
        <v>0.75</v>
      </c>
      <c r="AA5" s="2">
        <f t="shared" si="2"/>
        <v>0.21504118326110699</v>
      </c>
      <c r="AB5" s="2">
        <f t="shared" ref="AB5:AB34" si="4">W5*AA5</f>
        <v>0.10242469429228132</v>
      </c>
      <c r="AC5" s="2">
        <f t="shared" ref="AC5:AC34" si="5">Y5*AA5</f>
        <v>-8.7460903047520099E-3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-1217.7014041173759</v>
      </c>
      <c r="AI5" s="3">
        <v>10000</v>
      </c>
      <c r="AJ5" s="2">
        <f t="dataTable" ref="AJ5:AJ44" dt2D="0" dtr="0" r1="C5" ca="1"/>
        <v>466.34066137378431</v>
      </c>
      <c r="AK5" s="2">
        <f>(AG5+AI5)/2</f>
        <v>5250</v>
      </c>
      <c r="AL5" s="2">
        <f t="dataTable" ref="AL5:AL44" dt2D="0" dtr="0" r1="C5" ca="1"/>
        <v>584.06654581271232</v>
      </c>
      <c r="AM5" s="2">
        <f>AH5*AL5</f>
        <v>-711218.65293412539</v>
      </c>
      <c r="AN5" s="2">
        <f>AJ5*AL5</f>
        <v>272373.97926060198</v>
      </c>
      <c r="AO5" s="2">
        <f>AI5-AG5</f>
        <v>9500</v>
      </c>
    </row>
    <row r="6" spans="2:41" x14ac:dyDescent="0.2">
      <c r="B6" s="6" t="s">
        <v>163</v>
      </c>
      <c r="C6" s="17">
        <v>573.82884775819196</v>
      </c>
      <c r="D6" s="6" t="s">
        <v>125</v>
      </c>
      <c r="F6" s="6" t="s">
        <v>88</v>
      </c>
      <c r="G6" s="6">
        <f xml:space="preserve"> $G$5/$G$4</f>
        <v>120</v>
      </c>
      <c r="H6" s="6" t="s">
        <v>13</v>
      </c>
      <c r="J6" s="6" t="s">
        <v>164</v>
      </c>
      <c r="K6" s="6">
        <f>(1+$C$32/100)*MAX(G20)</f>
        <v>332.75298504613215</v>
      </c>
      <c r="L6" s="6" t="s">
        <v>101</v>
      </c>
      <c r="N6" s="6" t="s">
        <v>114</v>
      </c>
      <c r="O6" s="6">
        <f xml:space="preserve"> ($C$21+$C$28) * 0.4 * ($C$5/($C$21+$C$28) *2.20462/1000)^(2/3) * 0.3048^2</f>
        <v>0.27683267936468059</v>
      </c>
      <c r="P6" s="6" t="s">
        <v>115</v>
      </c>
      <c r="U6" s="2">
        <v>2</v>
      </c>
      <c r="V6" s="2">
        <f t="shared" ref="V6:V34" si="7">IF(AB5&gt;0, Z5, V5)</f>
        <v>0.75</v>
      </c>
      <c r="W6" s="2">
        <f t="shared" si="0"/>
        <v>0.21504118326110699</v>
      </c>
      <c r="X6" s="2">
        <f t="shared" ref="X6:X34" si="8">IF(AC5&gt;0, Z5, X5)</f>
        <v>1</v>
      </c>
      <c r="Y6" s="2">
        <f t="shared" si="1"/>
        <v>-4.0671699123476013E-2</v>
      </c>
      <c r="Z6" s="2">
        <f t="shared" si="3"/>
        <v>0.875</v>
      </c>
      <c r="AA6" s="2">
        <f t="shared" si="2"/>
        <v>8.6782135147238537E-2</v>
      </c>
      <c r="AB6" s="2">
        <f t="shared" si="4"/>
        <v>1.8661733027987477E-2</v>
      </c>
      <c r="AC6" s="2">
        <f t="shared" si="5"/>
        <v>-3.5295768900013183E-3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-1217.7014041173759</v>
      </c>
      <c r="AI6" s="2">
        <f>IF(AN5&gt;0,AK5,AI5)</f>
        <v>5250</v>
      </c>
      <c r="AJ6" s="2">
        <v>584.06654581271232</v>
      </c>
      <c r="AK6" s="2">
        <f t="shared" ref="AK6:AK44" si="9">(AG6+AI6)/2</f>
        <v>2875</v>
      </c>
      <c r="AL6" s="2">
        <v>-73.914048017070854</v>
      </c>
      <c r="AM6" s="2">
        <f t="shared" ref="AM6:AM44" si="10">AH6*AL6</f>
        <v>90005.240054386319</v>
      </c>
      <c r="AN6" s="2">
        <f t="shared" ref="AN6:AN44" si="11">AJ6*AL6</f>
        <v>-43170.722712365532</v>
      </c>
      <c r="AO6" s="2">
        <f t="shared" ref="AO6:AO44" si="12">AI6-AG6</f>
        <v>4750</v>
      </c>
    </row>
    <row r="7" spans="2:41" x14ac:dyDescent="0.2">
      <c r="B7" s="6" t="s">
        <v>9</v>
      </c>
      <c r="C7" s="17">
        <f>319.999999999999 * 1000/3600</f>
        <v>88.888888888888602</v>
      </c>
      <c r="D7" s="6" t="s">
        <v>10</v>
      </c>
      <c r="F7" s="6" t="s">
        <v>19</v>
      </c>
      <c r="G7" s="6">
        <f xml:space="preserve"> $C$5 * $C$68 / $C$21</f>
        <v>3766.5030940115039</v>
      </c>
      <c r="H7" s="6" t="s">
        <v>20</v>
      </c>
      <c r="J7" s="6" t="s">
        <v>165</v>
      </c>
      <c r="K7" s="6">
        <f>K6/$C$28</f>
        <v>332.75298504613215</v>
      </c>
      <c r="L7" s="6" t="s">
        <v>101</v>
      </c>
      <c r="N7" s="6" t="s">
        <v>166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8.6782135147238537E-2</v>
      </c>
      <c r="X7" s="2">
        <f t="shared" si="8"/>
        <v>1</v>
      </c>
      <c r="Y7" s="2">
        <f t="shared" si="1"/>
        <v>-4.0671699123476013E-2</v>
      </c>
      <c r="Z7" s="2">
        <f t="shared" si="3"/>
        <v>0.9375</v>
      </c>
      <c r="AA7" s="2">
        <f t="shared" si="2"/>
        <v>2.2974367199637968E-2</v>
      </c>
      <c r="AB7" s="2">
        <f t="shared" si="4"/>
        <v>1.9937646392412666E-3</v>
      </c>
      <c r="AC7" s="2">
        <f t="shared" si="5"/>
        <v>-9.3440655029593158E-4</v>
      </c>
      <c r="AD7" s="2">
        <f t="shared" si="6"/>
        <v>0.125</v>
      </c>
      <c r="AF7" s="2">
        <v>3</v>
      </c>
      <c r="AG7" s="2">
        <f t="shared" ref="AG7:AG44" si="13">IF(AM6&gt;0,AK6,AG6)</f>
        <v>2875</v>
      </c>
      <c r="AH7" s="2">
        <v>-73.914048017070854</v>
      </c>
      <c r="AI7" s="2">
        <f t="shared" ref="AI7:AI44" si="14">IF(AN6&gt;0,AK6,AI6)</f>
        <v>5250</v>
      </c>
      <c r="AJ7" s="2">
        <v>584.06654581271232</v>
      </c>
      <c r="AK7" s="2">
        <f t="shared" si="9"/>
        <v>4062.5</v>
      </c>
      <c r="AL7" s="2">
        <v>315.58158464490771</v>
      </c>
      <c r="AM7" s="2">
        <f t="shared" si="10"/>
        <v>-23325.91240074702</v>
      </c>
      <c r="AN7" s="2">
        <f t="shared" si="11"/>
        <v>184320.64606565333</v>
      </c>
      <c r="AO7" s="2">
        <f t="shared" si="12"/>
        <v>2375</v>
      </c>
    </row>
    <row r="8" spans="2:41" x14ac:dyDescent="0.2">
      <c r="B8" s="6" t="s">
        <v>95</v>
      </c>
      <c r="C8" s="17">
        <v>1.6697667999310499</v>
      </c>
      <c r="D8" s="6" t="s">
        <v>8</v>
      </c>
      <c r="F8" t="s">
        <v>97</v>
      </c>
      <c r="G8" s="6">
        <f>G10/$C$21</f>
        <v>78.875252366715841</v>
      </c>
      <c r="H8" s="6" t="s">
        <v>18</v>
      </c>
      <c r="N8" s="6" t="s">
        <v>167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2.2974367199637968E-2</v>
      </c>
      <c r="X8" s="2">
        <f t="shared" si="8"/>
        <v>1</v>
      </c>
      <c r="Y8" s="2">
        <f t="shared" si="1"/>
        <v>-4.0671699123476013E-2</v>
      </c>
      <c r="Z8" s="2">
        <f t="shared" si="3"/>
        <v>0.96875</v>
      </c>
      <c r="AA8" s="2">
        <f t="shared" si="2"/>
        <v>-8.866951530106193E-3</v>
      </c>
      <c r="AB8" s="2">
        <f t="shared" si="4"/>
        <v>-2.0371260039405141E-4</v>
      </c>
      <c r="AC8" s="2">
        <f t="shared" si="5"/>
        <v>3.6063398477492433E-4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-73.914048017070854</v>
      </c>
      <c r="AI8" s="2">
        <f t="shared" si="14"/>
        <v>4062.5</v>
      </c>
      <c r="AJ8" s="2">
        <v>315.58158464490771</v>
      </c>
      <c r="AK8" s="2">
        <f t="shared" si="9"/>
        <v>3468.75</v>
      </c>
      <c r="AL8" s="2">
        <v>136.12096789000589</v>
      </c>
      <c r="AM8" s="2">
        <f t="shared" si="10"/>
        <v>-10061.251756752055</v>
      </c>
      <c r="AN8" s="2">
        <f t="shared" si="11"/>
        <v>42957.270750126656</v>
      </c>
      <c r="AO8" s="2">
        <f t="shared" si="12"/>
        <v>1187.5</v>
      </c>
    </row>
    <row r="9" spans="2:41" x14ac:dyDescent="0.2">
      <c r="B9" s="6" t="s">
        <v>131</v>
      </c>
      <c r="C9" s="17">
        <f>(0.548288+0.530863+0.513438+0.496013+0.478588+0.461163+0.443738+0.426313)/8</f>
        <v>0.48730050000000003</v>
      </c>
      <c r="D9" s="6" t="s">
        <v>8</v>
      </c>
      <c r="F9" t="s">
        <v>146</v>
      </c>
      <c r="G9" s="6">
        <f xml:space="preserve"> (G7/$C$68*1000) / (G8*1000)</f>
        <v>4.8719790567201215</v>
      </c>
      <c r="H9" s="6" t="s">
        <v>147</v>
      </c>
      <c r="J9" s="30" t="s">
        <v>21</v>
      </c>
      <c r="K9" s="30"/>
      <c r="L9" s="30"/>
      <c r="N9" s="6" t="s">
        <v>168</v>
      </c>
      <c r="O9" s="6">
        <f xml:space="preserve"> $O$8/$C$12 + $O$7</f>
        <v>2.2885693978879629E-2</v>
      </c>
      <c r="U9" s="2">
        <v>5</v>
      </c>
      <c r="V9" s="2">
        <f t="shared" si="7"/>
        <v>0.9375</v>
      </c>
      <c r="W9" s="2">
        <f t="shared" si="0"/>
        <v>2.2974367199637968E-2</v>
      </c>
      <c r="X9" s="2">
        <f t="shared" si="8"/>
        <v>0.96875</v>
      </c>
      <c r="Y9" s="2">
        <f t="shared" si="1"/>
        <v>-8.866951530106193E-3</v>
      </c>
      <c r="Z9" s="2">
        <f t="shared" si="3"/>
        <v>0.953125</v>
      </c>
      <c r="AA9" s="2">
        <f t="shared" si="2"/>
        <v>7.0489149244740146E-3</v>
      </c>
      <c r="AB9" s="2">
        <f t="shared" si="4"/>
        <v>1.6194435983387436E-4</v>
      </c>
      <c r="AC9" s="2">
        <f t="shared" si="5"/>
        <v>-6.2502386975153248E-5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-73.914048017070854</v>
      </c>
      <c r="AI9" s="2">
        <f t="shared" si="14"/>
        <v>3468.75</v>
      </c>
      <c r="AJ9" s="2">
        <v>136.12096789000589</v>
      </c>
      <c r="AK9" s="2">
        <f t="shared" si="9"/>
        <v>3171.875</v>
      </c>
      <c r="AL9" s="2">
        <v>34.947314955971251</v>
      </c>
      <c r="AM9" s="2">
        <f t="shared" si="10"/>
        <v>-2583.0975157233574</v>
      </c>
      <c r="AN9" s="2">
        <f t="shared" si="11"/>
        <v>4757.0623369636851</v>
      </c>
      <c r="AO9" s="2">
        <f t="shared" si="12"/>
        <v>593.75</v>
      </c>
    </row>
    <row r="10" spans="2:41" x14ac:dyDescent="0.2">
      <c r="B10" s="6" t="s">
        <v>169</v>
      </c>
      <c r="C10" s="17">
        <v>1.5643208646354301</v>
      </c>
      <c r="D10" s="6" t="s">
        <v>8</v>
      </c>
      <c r="F10" s="25" t="s">
        <v>82</v>
      </c>
      <c r="G10" s="25">
        <f xml:space="preserve"> 1/1000 * (($C$5*$C$68)/$C$24 * ( ($G$4/2) + SQRT( ($G$4/2)^2 + ($C$5*$C$68) / (2*$C$65*PI()*$C$8^2 * $C$21) ) ) )</f>
        <v>631.00201893372673</v>
      </c>
      <c r="H10" s="25" t="s">
        <v>101</v>
      </c>
      <c r="J10" s="6" t="s">
        <v>96</v>
      </c>
      <c r="K10" s="6">
        <f xml:space="preserve"> $C$18 * (G10*G6 + G20*G13 + G29*G25 + G33*G32)/3600</f>
        <v>196.39814143771801</v>
      </c>
      <c r="L10" s="6" t="s">
        <v>102</v>
      </c>
      <c r="N10" s="6" t="s">
        <v>38</v>
      </c>
      <c r="O10" s="6">
        <f xml:space="preserve"> O5 * $C$12 * O9</f>
        <v>1812.1918083888736</v>
      </c>
      <c r="P10" s="6" t="s">
        <v>20</v>
      </c>
      <c r="U10" s="2">
        <v>6</v>
      </c>
      <c r="V10" s="2">
        <f t="shared" si="7"/>
        <v>0.953125</v>
      </c>
      <c r="W10" s="2">
        <f t="shared" si="0"/>
        <v>7.0489149244740146E-3</v>
      </c>
      <c r="X10" s="2">
        <f t="shared" si="8"/>
        <v>0.96875</v>
      </c>
      <c r="Y10" s="2">
        <f t="shared" si="1"/>
        <v>-8.866951530106193E-3</v>
      </c>
      <c r="Z10" s="2">
        <f t="shared" si="3"/>
        <v>0.9609375</v>
      </c>
      <c r="AA10" s="2">
        <f t="shared" si="2"/>
        <v>-9.1018773561146737E-4</v>
      </c>
      <c r="AB10" s="2">
        <f t="shared" si="4"/>
        <v>-6.4158359136248805E-6</v>
      </c>
      <c r="AC10" s="2">
        <f t="shared" si="5"/>
        <v>8.0705905349639913E-6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-73.914048017070854</v>
      </c>
      <c r="AI10" s="2">
        <f t="shared" si="14"/>
        <v>3171.875</v>
      </c>
      <c r="AJ10" s="2">
        <v>34.947314955971251</v>
      </c>
      <c r="AK10" s="2">
        <f t="shared" si="9"/>
        <v>3023.4375</v>
      </c>
      <c r="AL10" s="2">
        <v>-18.519613983180534</v>
      </c>
      <c r="AM10" s="2">
        <f t="shared" si="10"/>
        <v>1368.8596372104228</v>
      </c>
      <c r="AN10" s="2">
        <f t="shared" si="11"/>
        <v>-647.21078273321939</v>
      </c>
      <c r="AO10" s="2">
        <f t="shared" si="12"/>
        <v>296.875</v>
      </c>
    </row>
    <row r="11" spans="2:41" x14ac:dyDescent="0.2">
      <c r="B11" s="6" t="s">
        <v>170</v>
      </c>
      <c r="C11" s="17">
        <f>(0.500656+0.484769+0.468881+0.452994+0.437106+0.421219+0.405331+0.389444)/8</f>
        <v>0.44505</v>
      </c>
      <c r="D11" s="6" t="s">
        <v>8</v>
      </c>
      <c r="J11" s="6" t="s">
        <v>171</v>
      </c>
      <c r="K11" s="6">
        <f xml:space="preserve"> (G6 + G13 + G25 + G32)/60</f>
        <v>44.083333333333393</v>
      </c>
      <c r="L11" s="6" t="s">
        <v>103</v>
      </c>
      <c r="N11" s="6" t="s">
        <v>172</v>
      </c>
      <c r="O11" s="6">
        <f xml:space="preserve"> 1.78 * (1 - 0.045 * $C$13^0.68) - 0.64</f>
        <v>0.81404840310249116</v>
      </c>
      <c r="U11" s="2">
        <v>7</v>
      </c>
      <c r="V11" s="2">
        <f t="shared" si="7"/>
        <v>0.953125</v>
      </c>
      <c r="W11" s="2">
        <f t="shared" si="0"/>
        <v>7.0489149244740146E-3</v>
      </c>
      <c r="X11" s="2">
        <f t="shared" si="8"/>
        <v>0.9609375</v>
      </c>
      <c r="Y11" s="2">
        <f t="shared" si="1"/>
        <v>-9.1018773561146737E-4</v>
      </c>
      <c r="Z11" s="2">
        <f t="shared" si="3"/>
        <v>0.95703125</v>
      </c>
      <c r="AA11" s="2">
        <f t="shared" si="2"/>
        <v>3.0690677089795226E-3</v>
      </c>
      <c r="AB11" s="2">
        <f t="shared" si="4"/>
        <v>2.1633597178047028E-5</v>
      </c>
      <c r="AC11" s="2">
        <f t="shared" si="5"/>
        <v>-2.7934277884743455E-6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-18.519613983180534</v>
      </c>
      <c r="AI11" s="2">
        <f t="shared" si="14"/>
        <v>3171.875</v>
      </c>
      <c r="AJ11" s="2">
        <v>34.947314955971251</v>
      </c>
      <c r="AK11" s="2">
        <f t="shared" si="9"/>
        <v>3097.65625</v>
      </c>
      <c r="AL11" s="2">
        <v>8.4544408444285182</v>
      </c>
      <c r="AM11" s="2">
        <f t="shared" si="10"/>
        <v>-156.57298088245102</v>
      </c>
      <c r="AN11" s="2">
        <f t="shared" si="11"/>
        <v>295.46000696687099</v>
      </c>
      <c r="AO11" s="2">
        <f t="shared" si="12"/>
        <v>148.4375</v>
      </c>
    </row>
    <row r="12" spans="2:41" x14ac:dyDescent="0.2">
      <c r="B12" s="6" t="s">
        <v>173</v>
      </c>
      <c r="C12" s="17">
        <v>19.8737603675416</v>
      </c>
      <c r="D12" s="6" t="s">
        <v>174</v>
      </c>
      <c r="F12" s="32" t="s">
        <v>86</v>
      </c>
      <c r="G12" s="34"/>
      <c r="H12" s="34"/>
      <c r="N12" s="6" t="s">
        <v>175</v>
      </c>
      <c r="O12" s="6">
        <f xml:space="preserve"> O4 / (O5 * $C$12)</f>
        <v>0.38049302159297649</v>
      </c>
      <c r="U12" s="2">
        <v>8</v>
      </c>
      <c r="V12" s="2">
        <f t="shared" si="7"/>
        <v>0.95703125</v>
      </c>
      <c r="W12" s="2">
        <f t="shared" si="0"/>
        <v>3.0690677089795226E-3</v>
      </c>
      <c r="X12" s="2">
        <f t="shared" si="8"/>
        <v>0.9609375</v>
      </c>
      <c r="Y12" s="2">
        <f t="shared" si="1"/>
        <v>-9.1018773561146737E-4</v>
      </c>
      <c r="Z12" s="2">
        <f t="shared" si="3"/>
        <v>0.958984375</v>
      </c>
      <c r="AA12" s="2">
        <f t="shared" si="2"/>
        <v>1.0793664606348896E-3</v>
      </c>
      <c r="AB12" s="2">
        <f t="shared" si="4"/>
        <v>3.3126487504900567E-6</v>
      </c>
      <c r="AC12" s="2">
        <f t="shared" si="5"/>
        <v>-9.8242611470023428E-7</v>
      </c>
      <c r="AD12" s="2">
        <f t="shared" si="6"/>
        <v>3.90625E-3</v>
      </c>
      <c r="AF12" s="2">
        <v>8</v>
      </c>
      <c r="AG12" s="2">
        <f t="shared" si="13"/>
        <v>3023.4375</v>
      </c>
      <c r="AH12" s="2">
        <v>-18.519613983180534</v>
      </c>
      <c r="AI12" s="2">
        <f t="shared" si="14"/>
        <v>3097.65625</v>
      </c>
      <c r="AJ12" s="2">
        <v>8.4544408444285182</v>
      </c>
      <c r="AK12" s="2">
        <f t="shared" si="9"/>
        <v>3060.546875</v>
      </c>
      <c r="AL12" s="2">
        <v>-4.9723951420960475</v>
      </c>
      <c r="AM12" s="2">
        <f t="shared" si="10"/>
        <v>92.086838603460919</v>
      </c>
      <c r="AN12" s="2">
        <f t="shared" si="11"/>
        <v>-42.038820583974768</v>
      </c>
      <c r="AO12" s="2">
        <f t="shared" si="12"/>
        <v>74.21875</v>
      </c>
    </row>
    <row r="13" spans="2:41" x14ac:dyDescent="0.2">
      <c r="B13" s="6" t="s">
        <v>176</v>
      </c>
      <c r="C13" s="17">
        <v>7.8768725604826297</v>
      </c>
      <c r="F13" s="9" t="s">
        <v>89</v>
      </c>
      <c r="G13" s="6">
        <f xml:space="preserve"> $C$17/$C$7</f>
        <v>1125.0000000000036</v>
      </c>
      <c r="H13" s="6" t="s">
        <v>13</v>
      </c>
      <c r="J13" s="28" t="s">
        <v>51</v>
      </c>
      <c r="K13" s="28"/>
      <c r="L13" s="28"/>
      <c r="N13" s="6" t="s">
        <v>177</v>
      </c>
      <c r="O13" s="6">
        <f xml:space="preserve"> O9 + O12^2 / ( PI() * O11 * $C$13 )</f>
        <v>3.0072558723169246E-2</v>
      </c>
      <c r="U13" s="2">
        <v>9</v>
      </c>
      <c r="V13" s="2">
        <f t="shared" si="7"/>
        <v>0.958984375</v>
      </c>
      <c r="W13" s="2">
        <f t="shared" si="0"/>
        <v>1.0793664606348896E-3</v>
      </c>
      <c r="X13" s="2">
        <f t="shared" si="8"/>
        <v>0.9609375</v>
      </c>
      <c r="Y13" s="2">
        <f t="shared" si="1"/>
        <v>-9.1018773561146737E-4</v>
      </c>
      <c r="Z13" s="2">
        <f t="shared" si="3"/>
        <v>0.9599609375</v>
      </c>
      <c r="AA13" s="2">
        <f t="shared" si="2"/>
        <v>8.4571036274572187E-5</v>
      </c>
      <c r="AB13" s="2">
        <f t="shared" si="4"/>
        <v>9.1283140095909847E-8</v>
      </c>
      <c r="AC13" s="2">
        <f t="shared" si="5"/>
        <v>-7.6975520005068122E-8</v>
      </c>
      <c r="AD13" s="2">
        <f t="shared" si="6"/>
        <v>1.953125E-3</v>
      </c>
      <c r="AF13" s="2">
        <v>9</v>
      </c>
      <c r="AG13" s="2">
        <f t="shared" si="13"/>
        <v>3060.546875</v>
      </c>
      <c r="AH13" s="2">
        <v>-4.9723951420960475</v>
      </c>
      <c r="AI13" s="2">
        <f t="shared" si="14"/>
        <v>3097.65625</v>
      </c>
      <c r="AJ13" s="2">
        <v>8.4544408444285182</v>
      </c>
      <c r="AK13" s="2">
        <f t="shared" si="9"/>
        <v>3079.1015625</v>
      </c>
      <c r="AL13" s="2">
        <v>1.7560645511066468</v>
      </c>
      <c r="AM13" s="2">
        <f t="shared" si="10"/>
        <v>-8.7318468431297678</v>
      </c>
      <c r="AN13" s="2">
        <f t="shared" si="11"/>
        <v>14.846543866329066</v>
      </c>
      <c r="AO13" s="2">
        <f t="shared" si="12"/>
        <v>37.109375</v>
      </c>
    </row>
    <row r="14" spans="2:41" x14ac:dyDescent="0.2">
      <c r="F14" s="6" t="s">
        <v>178</v>
      </c>
      <c r="G14" s="6">
        <f>O21*$C$10</f>
        <v>94.00194362374144</v>
      </c>
      <c r="H14" s="6" t="s">
        <v>10</v>
      </c>
      <c r="J14" s="10" t="s">
        <v>79</v>
      </c>
      <c r="K14" s="18">
        <f>C5</f>
        <v>3074.2286209932299</v>
      </c>
      <c r="L14" s="6" t="s">
        <v>7</v>
      </c>
      <c r="N14" s="6" t="s">
        <v>39</v>
      </c>
      <c r="O14" s="6">
        <f xml:space="preserve"> O5 * O13 * $C$12</f>
        <v>2381.2799658037106</v>
      </c>
      <c r="P14" s="6" t="s">
        <v>20</v>
      </c>
      <c r="U14" s="2">
        <v>10</v>
      </c>
      <c r="V14" s="2">
        <f t="shared" si="7"/>
        <v>0.9599609375</v>
      </c>
      <c r="W14" s="2">
        <f t="shared" si="0"/>
        <v>8.4571036274572187E-5</v>
      </c>
      <c r="X14" s="2">
        <f t="shared" si="8"/>
        <v>0.9609375</v>
      </c>
      <c r="Y14" s="2">
        <f t="shared" si="1"/>
        <v>-9.1018773561146737E-4</v>
      </c>
      <c r="Z14" s="2">
        <f t="shared" si="3"/>
        <v>0.96044921875</v>
      </c>
      <c r="AA14" s="2">
        <f t="shared" si="2"/>
        <v>-4.1281292434247607E-4</v>
      </c>
      <c r="AB14" s="2">
        <f t="shared" si="4"/>
        <v>-3.4912016799179768E-8</v>
      </c>
      <c r="AC14" s="2">
        <f t="shared" si="5"/>
        <v>3.7573726083842631E-7</v>
      </c>
      <c r="AD14" s="2">
        <f t="shared" si="6"/>
        <v>9.765625E-4</v>
      </c>
      <c r="AF14" s="2">
        <v>10</v>
      </c>
      <c r="AG14" s="2">
        <f t="shared" si="13"/>
        <v>3060.546875</v>
      </c>
      <c r="AH14" s="2">
        <v>-4.9723951420960475</v>
      </c>
      <c r="AI14" s="2">
        <f t="shared" si="14"/>
        <v>3079.1015625</v>
      </c>
      <c r="AJ14" s="2">
        <v>1.7560645511066468</v>
      </c>
      <c r="AK14" s="2">
        <f t="shared" si="9"/>
        <v>3069.82421875</v>
      </c>
      <c r="AL14" s="2">
        <v>-1.6044036875778147</v>
      </c>
      <c r="AM14" s="2">
        <f t="shared" si="10"/>
        <v>7.9777291020729102</v>
      </c>
      <c r="AN14" s="2">
        <f t="shared" si="11"/>
        <v>-2.8174364414201842</v>
      </c>
      <c r="AO14" s="2">
        <f t="shared" si="12"/>
        <v>18.5546875</v>
      </c>
    </row>
    <row r="15" spans="2:41" x14ac:dyDescent="0.2">
      <c r="B15" s="30" t="s">
        <v>11</v>
      </c>
      <c r="C15" s="30"/>
      <c r="D15" s="30"/>
      <c r="F15" s="6" t="s">
        <v>179</v>
      </c>
      <c r="G15" s="6">
        <f>G14/$C$73</f>
        <v>0.28252419030872855</v>
      </c>
      <c r="H15" s="6" t="s">
        <v>122</v>
      </c>
      <c r="J15" s="11" t="s">
        <v>52</v>
      </c>
      <c r="K15" s="6">
        <f xml:space="preserve"> 1000 * K10 / ($C$60 * $C$61 * $C$62)</f>
        <v>1155.2831849277529</v>
      </c>
      <c r="L15" s="6" t="s">
        <v>7</v>
      </c>
      <c r="N15" s="6" t="s">
        <v>180</v>
      </c>
      <c r="O15" s="6">
        <f>O4/O14</f>
        <v>12.652499080493195</v>
      </c>
      <c r="U15" s="2">
        <v>11</v>
      </c>
      <c r="V15" s="2">
        <f t="shared" si="7"/>
        <v>0.9599609375</v>
      </c>
      <c r="W15" s="2">
        <f t="shared" si="0"/>
        <v>8.4571036274572187E-5</v>
      </c>
      <c r="X15" s="2">
        <f t="shared" si="8"/>
        <v>0.96044921875</v>
      </c>
      <c r="Y15" s="2">
        <f t="shared" si="1"/>
        <v>-4.1281292434247607E-4</v>
      </c>
      <c r="Z15" s="2">
        <f t="shared" si="3"/>
        <v>0.960205078125</v>
      </c>
      <c r="AA15" s="2">
        <f t="shared" si="2"/>
        <v>-1.6412208856197985E-4</v>
      </c>
      <c r="AB15" s="2">
        <f t="shared" si="4"/>
        <v>-1.3879975105233747E-8</v>
      </c>
      <c r="AC15" s="2">
        <f t="shared" si="5"/>
        <v>6.7751719328465742E-8</v>
      </c>
      <c r="AD15" s="2">
        <f t="shared" si="6"/>
        <v>4.8828125E-4</v>
      </c>
      <c r="AF15" s="2">
        <v>11</v>
      </c>
      <c r="AG15" s="2">
        <f t="shared" si="13"/>
        <v>3069.82421875</v>
      </c>
      <c r="AH15" s="2">
        <v>-1.6044036875778147</v>
      </c>
      <c r="AI15" s="2">
        <f t="shared" si="14"/>
        <v>3079.1015625</v>
      </c>
      <c r="AJ15" s="2">
        <v>1.7560645511066468</v>
      </c>
      <c r="AK15" s="2">
        <f t="shared" si="9"/>
        <v>3074.462890625</v>
      </c>
      <c r="AL15" s="2">
        <v>7.6770495749769907E-2</v>
      </c>
      <c r="AM15" s="2">
        <f t="shared" si="10"/>
        <v>-0.12317086647810779</v>
      </c>
      <c r="AN15" s="2">
        <f t="shared" si="11"/>
        <v>0.13481394615705444</v>
      </c>
      <c r="AO15" s="2">
        <f t="shared" si="12"/>
        <v>9.27734375</v>
      </c>
    </row>
    <row r="16" spans="2:41" x14ac:dyDescent="0.2">
      <c r="B16" s="6" t="s">
        <v>68</v>
      </c>
      <c r="C16" s="6">
        <f>C35*100</f>
        <v>600</v>
      </c>
      <c r="D16" s="6" t="s">
        <v>7</v>
      </c>
      <c r="F16" s="9" t="s">
        <v>19</v>
      </c>
      <c r="G16" s="6">
        <f>O20</f>
        <v>2381.2799658037106</v>
      </c>
      <c r="H16" s="6" t="s">
        <v>20</v>
      </c>
      <c r="J16" s="12" t="s">
        <v>126</v>
      </c>
      <c r="K16" s="6">
        <f xml:space="preserve"> $C$78 * ( $C$21 * (0.0095 * MAX(G7,G26) - 1.9275) +  $C$28 * (0.0095 * MAX(O20) - 1.9275) )</f>
        <v>233.22311585600767</v>
      </c>
      <c r="L16" s="6" t="s">
        <v>7</v>
      </c>
      <c r="N16" s="6" t="s">
        <v>113</v>
      </c>
      <c r="O16" s="6">
        <f>(O13*$C$12)/(0.3048^2)/($C$5*2.20462/1000)^(2/3)</f>
        <v>1.7962794530861423</v>
      </c>
      <c r="U16" s="2">
        <v>12</v>
      </c>
      <c r="V16" s="2">
        <f t="shared" si="7"/>
        <v>0.9599609375</v>
      </c>
      <c r="W16" s="2">
        <f t="shared" si="0"/>
        <v>8.4571036274572187E-5</v>
      </c>
      <c r="X16" s="2">
        <f t="shared" si="8"/>
        <v>0.960205078125</v>
      </c>
      <c r="Y16" s="2">
        <f t="shared" si="1"/>
        <v>-1.6412208856197985E-4</v>
      </c>
      <c r="Z16" s="2">
        <f t="shared" si="3"/>
        <v>0.9600830078125</v>
      </c>
      <c r="AA16" s="2">
        <f t="shared" si="2"/>
        <v>-3.9775812383235909E-5</v>
      </c>
      <c r="AB16" s="2">
        <f t="shared" si="4"/>
        <v>-3.3638816719132216E-9</v>
      </c>
      <c r="AC16" s="2">
        <f t="shared" si="5"/>
        <v>6.528089402586139E-9</v>
      </c>
      <c r="AD16" s="2">
        <f t="shared" si="6"/>
        <v>2.44140625E-4</v>
      </c>
      <c r="AF16" s="2">
        <v>12</v>
      </c>
      <c r="AG16" s="2">
        <f t="shared" si="13"/>
        <v>3069.82421875</v>
      </c>
      <c r="AH16" s="2">
        <v>-1.6044036875778147</v>
      </c>
      <c r="AI16" s="2">
        <f t="shared" si="14"/>
        <v>3074.462890625</v>
      </c>
      <c r="AJ16" s="2">
        <v>7.6770495749769907E-2</v>
      </c>
      <c r="AK16" s="2">
        <f t="shared" si="9"/>
        <v>3072.1435546875</v>
      </c>
      <c r="AL16" s="2">
        <v>-0.76358207684916124</v>
      </c>
      <c r="AM16" s="2">
        <f t="shared" si="10"/>
        <v>1.2250938998651206</v>
      </c>
      <c r="AN16" s="2">
        <f t="shared" si="11"/>
        <v>-5.8620574585349014E-2</v>
      </c>
      <c r="AO16" s="2">
        <f t="shared" si="12"/>
        <v>4.638671875</v>
      </c>
    </row>
    <row r="17" spans="2:41" x14ac:dyDescent="0.2">
      <c r="B17" s="6" t="s">
        <v>12</v>
      </c>
      <c r="C17" s="17">
        <f>100*1000</f>
        <v>100000</v>
      </c>
      <c r="D17" s="6" t="s">
        <v>8</v>
      </c>
      <c r="F17" s="9" t="s">
        <v>97</v>
      </c>
      <c r="G17" s="6">
        <f xml:space="preserve"> 1/1000 * (O25 + O20 * (O30 * O27 + $C$7 * SIN(O19/180*PI())))</f>
        <v>221.83532336408808</v>
      </c>
      <c r="H17" s="6" t="s">
        <v>101</v>
      </c>
      <c r="J17" s="12" t="s">
        <v>127</v>
      </c>
      <c r="K17" s="6">
        <v>0</v>
      </c>
      <c r="L17" s="6" t="s">
        <v>7</v>
      </c>
      <c r="U17" s="2">
        <v>13</v>
      </c>
      <c r="V17" s="2">
        <f t="shared" si="7"/>
        <v>0.9599609375</v>
      </c>
      <c r="W17" s="2">
        <f t="shared" si="0"/>
        <v>8.4571036274572187E-5</v>
      </c>
      <c r="X17" s="2">
        <f t="shared" si="8"/>
        <v>0.9600830078125</v>
      </c>
      <c r="Y17" s="2">
        <f t="shared" si="1"/>
        <v>-3.9775812383235909E-5</v>
      </c>
      <c r="Z17" s="2">
        <f t="shared" si="3"/>
        <v>0.96002197265625</v>
      </c>
      <c r="AA17" s="2">
        <f t="shared" si="2"/>
        <v>2.2397540372365299E-5</v>
      </c>
      <c r="AB17" s="2">
        <f t="shared" si="4"/>
        <v>1.8941831992925008E-9</v>
      </c>
      <c r="AC17" s="2">
        <f t="shared" si="5"/>
        <v>-8.9088036369715383E-10</v>
      </c>
      <c r="AD17" s="2">
        <f t="shared" si="6"/>
        <v>1.220703125E-4</v>
      </c>
      <c r="AF17" s="2">
        <v>13</v>
      </c>
      <c r="AG17" s="2">
        <f t="shared" si="13"/>
        <v>3072.1435546875</v>
      </c>
      <c r="AH17" s="2">
        <v>-0.76358207684916124</v>
      </c>
      <c r="AI17" s="2">
        <f t="shared" si="14"/>
        <v>3074.462890625</v>
      </c>
      <c r="AJ17" s="2">
        <v>7.6770495749769907E-2</v>
      </c>
      <c r="AK17" s="2">
        <f t="shared" si="9"/>
        <v>3073.30322265625</v>
      </c>
      <c r="AL17" s="2">
        <v>-0.34334716218199901</v>
      </c>
      <c r="AM17" s="2">
        <f t="shared" si="10"/>
        <v>0.26217373917919662</v>
      </c>
      <c r="AN17" s="2">
        <f t="shared" si="11"/>
        <v>-2.6358931854988714E-2</v>
      </c>
      <c r="AO17" s="2">
        <f t="shared" si="12"/>
        <v>2.3193359375</v>
      </c>
    </row>
    <row r="18" spans="2:41" x14ac:dyDescent="0.2">
      <c r="B18" s="6" t="s">
        <v>136</v>
      </c>
      <c r="C18" s="17">
        <v>1</v>
      </c>
      <c r="F18" t="s">
        <v>146</v>
      </c>
      <c r="G18" s="6">
        <f xml:space="preserve"> (G16/$C$74*1000) / (G17*1000)</f>
        <v>1.0952900591743633</v>
      </c>
      <c r="H18" s="6" t="s">
        <v>147</v>
      </c>
      <c r="J18" s="13" t="s">
        <v>53</v>
      </c>
      <c r="K18" s="6">
        <f xml:space="preserve"> $C$78 * (0.2138 * K4 + 0.2138 * K6)</f>
        <v>218.8039485399274</v>
      </c>
      <c r="L18" s="6" t="s">
        <v>7</v>
      </c>
      <c r="N18" s="32" t="s">
        <v>181</v>
      </c>
      <c r="O18" s="35"/>
      <c r="P18" s="35"/>
      <c r="U18" s="2">
        <v>14</v>
      </c>
      <c r="V18" s="2">
        <f t="shared" si="7"/>
        <v>0.96002197265625</v>
      </c>
      <c r="W18" s="2">
        <f t="shared" si="0"/>
        <v>2.2397540372365299E-5</v>
      </c>
      <c r="X18" s="2">
        <f t="shared" si="8"/>
        <v>0.9600830078125</v>
      </c>
      <c r="Y18" s="2">
        <f t="shared" si="1"/>
        <v>-3.9775812383235909E-5</v>
      </c>
      <c r="Z18" s="2">
        <f t="shared" si="3"/>
        <v>0.960052490234375</v>
      </c>
      <c r="AA18" s="2">
        <f t="shared" si="2"/>
        <v>-8.6891538971789473E-6</v>
      </c>
      <c r="AB18" s="2">
        <f t="shared" si="4"/>
        <v>-1.9461567521376075E-10</v>
      </c>
      <c r="AC18" s="2">
        <f t="shared" si="5"/>
        <v>3.4561815518325291E-10</v>
      </c>
      <c r="AD18" s="2">
        <f t="shared" si="6"/>
        <v>6.103515625E-5</v>
      </c>
      <c r="AF18" s="2">
        <v>14</v>
      </c>
      <c r="AG18" s="2">
        <f t="shared" si="13"/>
        <v>3073.30322265625</v>
      </c>
      <c r="AH18" s="2">
        <v>-0.34334716218199901</v>
      </c>
      <c r="AI18" s="2">
        <f t="shared" si="14"/>
        <v>3074.462890625</v>
      </c>
      <c r="AJ18" s="2">
        <v>7.6770495749769907E-2</v>
      </c>
      <c r="AK18" s="2">
        <f t="shared" si="9"/>
        <v>3073.883056640625</v>
      </c>
      <c r="AL18" s="2">
        <v>-0.13327329554476819</v>
      </c>
      <c r="AM18" s="2">
        <f t="shared" si="10"/>
        <v>4.575900781993901E-2</v>
      </c>
      <c r="AN18" s="2">
        <f t="shared" si="11"/>
        <v>-1.0231456969177455E-2</v>
      </c>
      <c r="AO18" s="2">
        <f t="shared" si="12"/>
        <v>1.15966796875</v>
      </c>
    </row>
    <row r="19" spans="2:41" x14ac:dyDescent="0.2">
      <c r="F19" s="9" t="s">
        <v>148</v>
      </c>
      <c r="G19" s="6">
        <f>O23 / ($C$29*$C$11/PI())</f>
        <v>4.089121281644631E-2</v>
      </c>
      <c r="J19" s="13" t="s">
        <v>77</v>
      </c>
      <c r="K19" s="6">
        <f xml:space="preserve"> $C$78 * (0.1149 * K4 + 0.1149 * K6)</f>
        <v>117.5892127560227</v>
      </c>
      <c r="L19" s="6" t="s">
        <v>7</v>
      </c>
      <c r="N19" s="6" t="s">
        <v>25</v>
      </c>
      <c r="O19" s="6">
        <f xml:space="preserve"> 90 - $C$81</f>
        <v>85</v>
      </c>
      <c r="P19" s="6" t="s">
        <v>40</v>
      </c>
      <c r="U19" s="2">
        <v>15</v>
      </c>
      <c r="V19" s="2">
        <f t="shared" si="7"/>
        <v>0.96002197265625</v>
      </c>
      <c r="W19" s="2">
        <f t="shared" si="0"/>
        <v>2.2397540372365299E-5</v>
      </c>
      <c r="X19" s="2">
        <f t="shared" si="8"/>
        <v>0.960052490234375</v>
      </c>
      <c r="Y19" s="2">
        <f t="shared" si="1"/>
        <v>-8.6891538971789473E-6</v>
      </c>
      <c r="Z19" s="2">
        <f t="shared" si="3"/>
        <v>0.9600372314453125</v>
      </c>
      <c r="AA19" s="2">
        <f t="shared" si="2"/>
        <v>6.8541887644490984E-6</v>
      </c>
      <c r="AB19" s="2">
        <f t="shared" si="4"/>
        <v>1.5351696957156131E-10</v>
      </c>
      <c r="AC19" s="2">
        <f t="shared" si="5"/>
        <v>-5.9557101014613037E-11</v>
      </c>
      <c r="AD19" s="2">
        <f t="shared" si="6"/>
        <v>3.0517578125E-5</v>
      </c>
      <c r="AF19" s="2">
        <v>15</v>
      </c>
      <c r="AG19" s="2">
        <f t="shared" si="13"/>
        <v>3073.883056640625</v>
      </c>
      <c r="AH19" s="2">
        <v>-0.13327329554476819</v>
      </c>
      <c r="AI19" s="2">
        <f t="shared" si="14"/>
        <v>3074.462890625</v>
      </c>
      <c r="AJ19" s="2">
        <v>7.6770495749769907E-2</v>
      </c>
      <c r="AK19" s="2">
        <f t="shared" si="9"/>
        <v>3074.1729736328125</v>
      </c>
      <c r="AL19" s="2">
        <v>-2.8247767411812674E-2</v>
      </c>
      <c r="AM19" s="2">
        <f t="shared" si="10"/>
        <v>3.7646730547543821E-3</v>
      </c>
      <c r="AN19" s="2">
        <f t="shared" si="11"/>
        <v>-2.1685951080290537E-3</v>
      </c>
      <c r="AO19" s="2">
        <f t="shared" si="12"/>
        <v>0.579833984375</v>
      </c>
    </row>
    <row r="20" spans="2:41" x14ac:dyDescent="0.2">
      <c r="B20" s="30" t="s">
        <v>110</v>
      </c>
      <c r="C20" s="30"/>
      <c r="D20" s="30"/>
      <c r="F20" s="26" t="s">
        <v>132</v>
      </c>
      <c r="G20" s="25">
        <f xml:space="preserve"> $C$28 * G17</f>
        <v>221.83532336408808</v>
      </c>
      <c r="H20" s="25" t="s">
        <v>101</v>
      </c>
      <c r="J20" s="14" t="s">
        <v>60</v>
      </c>
      <c r="K20" s="6">
        <f xml:space="preserve"> $C$79 * (14.86 * ($C$5*2.20462)^0.144 * ($C$36/(PI()*$C$37))^0.778 * ($C$36*3.28084)^0.383 * $C$35^0.455 * 0.453592)</f>
        <v>225.51713100508866</v>
      </c>
      <c r="L20" s="6" t="s">
        <v>7</v>
      </c>
      <c r="N20" s="6" t="s">
        <v>19</v>
      </c>
      <c r="O20" s="6">
        <f xml:space="preserve"> O14 / $C$28</f>
        <v>2381.2799658037106</v>
      </c>
      <c r="P20" s="6" t="s">
        <v>20</v>
      </c>
      <c r="U20" s="2">
        <v>16</v>
      </c>
      <c r="V20" s="2">
        <f t="shared" si="7"/>
        <v>0.9600372314453125</v>
      </c>
      <c r="W20" s="2">
        <f t="shared" si="0"/>
        <v>6.8541887644490984E-6</v>
      </c>
      <c r="X20" s="2">
        <f t="shared" si="8"/>
        <v>0.960052490234375</v>
      </c>
      <c r="Y20" s="2">
        <f t="shared" si="1"/>
        <v>-8.6891538971789473E-6</v>
      </c>
      <c r="Z20" s="2">
        <f t="shared" si="3"/>
        <v>0.96004486083984375</v>
      </c>
      <c r="AA20" s="2">
        <f t="shared" si="2"/>
        <v>-9.1748368458155483E-7</v>
      </c>
      <c r="AB20" s="2">
        <f t="shared" si="4"/>
        <v>-6.2886063624242537E-12</v>
      </c>
      <c r="AC20" s="2">
        <f t="shared" si="5"/>
        <v>7.9721569334799177E-12</v>
      </c>
      <c r="AD20" s="2">
        <f t="shared" si="6"/>
        <v>1.52587890625E-5</v>
      </c>
      <c r="AF20" s="2">
        <v>16</v>
      </c>
      <c r="AG20" s="2">
        <f t="shared" si="13"/>
        <v>3074.1729736328125</v>
      </c>
      <c r="AH20" s="2">
        <v>-2.8247767411812674E-2</v>
      </c>
      <c r="AI20" s="2">
        <f t="shared" si="14"/>
        <v>3074.462890625</v>
      </c>
      <c r="AJ20" s="2">
        <v>7.6770495749769907E-2</v>
      </c>
      <c r="AK20" s="2">
        <f t="shared" si="9"/>
        <v>3074.3179321289062</v>
      </c>
      <c r="AL20" s="2">
        <v>2.4262779995751771E-2</v>
      </c>
      <c r="AM20" s="2">
        <f t="shared" si="10"/>
        <v>-6.8536936608397728E-4</v>
      </c>
      <c r="AN20" s="2">
        <f t="shared" si="11"/>
        <v>1.8626656485414637E-3</v>
      </c>
      <c r="AO20" s="2">
        <f t="shared" si="12"/>
        <v>0.2899169921875</v>
      </c>
    </row>
    <row r="21" spans="2:41" x14ac:dyDescent="0.2">
      <c r="B21" s="6" t="s">
        <v>94</v>
      </c>
      <c r="C21" s="17">
        <v>8</v>
      </c>
      <c r="J21" s="14" t="s">
        <v>61</v>
      </c>
      <c r="K21" s="6">
        <f xml:space="preserve"> $C$79 * C41 * $C$5</f>
        <v>79.929944145823981</v>
      </c>
      <c r="L21" s="6" t="s">
        <v>7</v>
      </c>
      <c r="N21" s="6" t="s">
        <v>26</v>
      </c>
      <c r="O21" s="6">
        <f>$C$6*2*PI()/60</f>
        <v>60.091216417834389</v>
      </c>
      <c r="P21" s="6" t="s">
        <v>27</v>
      </c>
      <c r="U21" s="2">
        <v>17</v>
      </c>
      <c r="V21" s="2">
        <f t="shared" si="7"/>
        <v>0.9600372314453125</v>
      </c>
      <c r="W21" s="2">
        <f t="shared" si="0"/>
        <v>6.8541887644490984E-6</v>
      </c>
      <c r="X21" s="2">
        <f t="shared" si="8"/>
        <v>0.96004486083984375</v>
      </c>
      <c r="Y21" s="2">
        <f t="shared" si="1"/>
        <v>-9.1748368458155483E-7</v>
      </c>
      <c r="Z21" s="2">
        <f t="shared" si="3"/>
        <v>0.96004104614257812</v>
      </c>
      <c r="AA21" s="2">
        <f t="shared" si="2"/>
        <v>2.968352260324103E-6</v>
      </c>
      <c r="AB21" s="2">
        <f t="shared" si="4"/>
        <v>2.0345646711640551E-11</v>
      </c>
      <c r="AC21" s="2">
        <f t="shared" si="5"/>
        <v>-2.7234147689381445E-12</v>
      </c>
      <c r="AD21" s="2">
        <f t="shared" si="6"/>
        <v>7.62939453125E-6</v>
      </c>
      <c r="AF21" s="2">
        <v>17</v>
      </c>
      <c r="AG21" s="2">
        <f t="shared" si="13"/>
        <v>3074.1729736328125</v>
      </c>
      <c r="AH21" s="2">
        <v>-2.8247767411812674E-2</v>
      </c>
      <c r="AI21" s="2">
        <f t="shared" si="14"/>
        <v>3074.3179321289062</v>
      </c>
      <c r="AJ21" s="2">
        <v>2.4262779995751771E-2</v>
      </c>
      <c r="AK21" s="2">
        <f t="shared" si="9"/>
        <v>3074.2454528808594</v>
      </c>
      <c r="AL21" s="2">
        <v>-1.9922666810998635E-3</v>
      </c>
      <c r="AM21" s="2">
        <f t="shared" si="10"/>
        <v>5.6277085830012921E-5</v>
      </c>
      <c r="AN21" s="2">
        <f t="shared" si="11"/>
        <v>-4.8337928176392538E-5</v>
      </c>
      <c r="AO21" s="2">
        <f t="shared" si="12"/>
        <v>0.14495849609375</v>
      </c>
    </row>
    <row r="22" spans="2:41" x14ac:dyDescent="0.2">
      <c r="B22" s="6" t="s">
        <v>109</v>
      </c>
      <c r="C22" s="17">
        <v>2</v>
      </c>
      <c r="F22" s="30" t="s">
        <v>81</v>
      </c>
      <c r="G22" s="30"/>
      <c r="H22" s="30"/>
      <c r="J22" s="14" t="s">
        <v>182</v>
      </c>
      <c r="K22" s="6">
        <f xml:space="preserve"> $C$79 * (0.04674 * ($C$5*2.20462)^0.397 * ($C$12*3.28084^2)^0.36 * $C$46^0.397 * $C$13^1.712 * 0.453592)</f>
        <v>205.70448668864572</v>
      </c>
      <c r="L22" s="6" t="s">
        <v>7</v>
      </c>
      <c r="N22" s="6" t="s">
        <v>28</v>
      </c>
      <c r="O22" s="6">
        <f xml:space="preserve"> $C$7 * COS(O19/180*PI()) / (O21 * $C$10)</f>
        <v>8.2415073927987484E-2</v>
      </c>
      <c r="U22" s="2">
        <v>18</v>
      </c>
      <c r="V22" s="2">
        <f t="shared" si="7"/>
        <v>0.96004104614257812</v>
      </c>
      <c r="W22" s="2">
        <f t="shared" si="0"/>
        <v>2.968352260324103E-6</v>
      </c>
      <c r="X22" s="2">
        <f t="shared" si="8"/>
        <v>0.96004486083984375</v>
      </c>
      <c r="Y22" s="2">
        <f t="shared" si="1"/>
        <v>-9.1748368458155483E-7</v>
      </c>
      <c r="Z22" s="2">
        <f t="shared" si="3"/>
        <v>0.96004295349121094</v>
      </c>
      <c r="AA22" s="2">
        <f t="shared" si="2"/>
        <v>1.0254342179827347E-6</v>
      </c>
      <c r="AB22" s="2">
        <f t="shared" si="4"/>
        <v>3.0438499787627297E-12</v>
      </c>
      <c r="AC22" s="2">
        <f t="shared" si="5"/>
        <v>-9.4081916461080472E-13</v>
      </c>
      <c r="AD22" s="2">
        <f t="shared" si="6"/>
        <v>3.814697265625E-6</v>
      </c>
      <c r="AF22" s="2">
        <v>18</v>
      </c>
      <c r="AG22" s="2">
        <f t="shared" si="13"/>
        <v>3074.2454528808594</v>
      </c>
      <c r="AH22" s="2">
        <v>-1.9922666810998635E-3</v>
      </c>
      <c r="AI22" s="2">
        <f t="shared" si="14"/>
        <v>3074.3179321289062</v>
      </c>
      <c r="AJ22" s="2">
        <v>2.4262779995751771E-2</v>
      </c>
      <c r="AK22" s="2">
        <f t="shared" si="9"/>
        <v>3074.2816925048828</v>
      </c>
      <c r="AL22" s="2">
        <v>1.1135313414342818E-2</v>
      </c>
      <c r="AM22" s="2">
        <f t="shared" si="10"/>
        <v>-2.2184513898999553E-5</v>
      </c>
      <c r="AN22" s="2">
        <f t="shared" si="11"/>
        <v>2.701736595559433E-4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85</v>
      </c>
      <c r="G23" s="17">
        <f>300*0.3048/60</f>
        <v>1.524</v>
      </c>
      <c r="H23" s="6" t="s">
        <v>10</v>
      </c>
      <c r="J23" s="14" t="s">
        <v>62</v>
      </c>
      <c r="K23" s="6">
        <f xml:space="preserve"> $C$79 * (3.184 * ($C$5*2.20462)^0.887 * ($C$50*3.28084*3.28084)^0.101 * ($C$49)^0.138 ) / ( 174.04 * ($C$51*3.28084)^0.223 ) * 0.453592</f>
        <v>33.399143898047974</v>
      </c>
      <c r="L23" s="6" t="s">
        <v>7</v>
      </c>
      <c r="N23" s="6" t="s">
        <v>29</v>
      </c>
      <c r="O23" s="6">
        <f xml:space="preserve"> O20 / ( $C$71 * PI() * $C$10^2 * O21^2 * $C$10^2)</f>
        <v>3.4756831207568159E-2</v>
      </c>
      <c r="U23" s="2">
        <v>19</v>
      </c>
      <c r="V23" s="2">
        <f t="shared" si="7"/>
        <v>0.96004295349121094</v>
      </c>
      <c r="W23" s="2">
        <f t="shared" si="0"/>
        <v>1.0254342179827347E-6</v>
      </c>
      <c r="X23" s="2">
        <f t="shared" si="8"/>
        <v>0.96004486083984375</v>
      </c>
      <c r="Y23" s="2">
        <f t="shared" si="1"/>
        <v>-9.1748368458155483E-7</v>
      </c>
      <c r="Z23" s="2">
        <f t="shared" si="3"/>
        <v>0.96004390716552734</v>
      </c>
      <c r="AA23" s="2">
        <f t="shared" si="2"/>
        <v>5.3975249270088455E-8</v>
      </c>
      <c r="AB23" s="2">
        <f t="shared" si="4"/>
        <v>5.5348067525696326E-14</v>
      </c>
      <c r="AC23" s="2">
        <f t="shared" si="5"/>
        <v>-4.9521410576528635E-14</v>
      </c>
      <c r="AD23" s="2">
        <f t="shared" si="6"/>
        <v>1.9073486328125E-6</v>
      </c>
      <c r="AF23" s="2">
        <v>19</v>
      </c>
      <c r="AG23" s="2">
        <f t="shared" si="13"/>
        <v>3074.2454528808594</v>
      </c>
      <c r="AH23" s="2">
        <v>-1.9922666810998635E-3</v>
      </c>
      <c r="AI23" s="2">
        <f t="shared" si="14"/>
        <v>3074.2816925048828</v>
      </c>
      <c r="AJ23" s="2">
        <v>2.4262779995751771E-2</v>
      </c>
      <c r="AK23" s="2">
        <f t="shared" si="9"/>
        <v>3074.2635726928711</v>
      </c>
      <c r="AL23" s="2">
        <v>1.7698553186619392E-2</v>
      </c>
      <c r="AM23" s="2">
        <f t="shared" si="10"/>
        <v>-3.5260237817375633E-5</v>
      </c>
      <c r="AN23" s="2">
        <f t="shared" si="11"/>
        <v>4.2941610221005776E-4</v>
      </c>
      <c r="AO23" s="2">
        <f t="shared" si="12"/>
        <v>3.62396240234375E-2</v>
      </c>
    </row>
    <row r="24" spans="2:41" x14ac:dyDescent="0.2">
      <c r="B24" s="6" t="s">
        <v>183</v>
      </c>
      <c r="C24" s="17">
        <v>0.75</v>
      </c>
      <c r="F24" s="6" t="s">
        <v>91</v>
      </c>
      <c r="G24" s="17">
        <f>1000*0.3048</f>
        <v>304.8</v>
      </c>
      <c r="H24" s="6" t="s">
        <v>8</v>
      </c>
      <c r="J24" s="14" t="s">
        <v>63</v>
      </c>
      <c r="K24" s="6">
        <f xml:space="preserve"> $C$79 * ( 1.68 * ($C$5*2.20462)^0.567 * ($C$55*3.28084*3.28084)^1.249 * ($C$54)^0.482 ) / (639.95 * ($C$56*3.28084)^0.747 * (COS($C$57/180*PI()))^0.882 ) * 0.453592</f>
        <v>10.473739062731374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0.96004390716552734</v>
      </c>
      <c r="W24" s="2">
        <f t="shared" si="0"/>
        <v>5.3975249270088455E-8</v>
      </c>
      <c r="X24" s="2">
        <f t="shared" si="8"/>
        <v>0.96004486083984375</v>
      </c>
      <c r="Y24" s="2">
        <f t="shared" si="1"/>
        <v>-9.1748368458155483E-7</v>
      </c>
      <c r="Z24" s="2">
        <f t="shared" si="3"/>
        <v>0.96004438400268555</v>
      </c>
      <c r="AA24" s="2">
        <f t="shared" si="2"/>
        <v>-4.3175422204111413E-7</v>
      </c>
      <c r="AB24" s="2">
        <f t="shared" si="4"/>
        <v>-2.3304041758082254E-14</v>
      </c>
      <c r="AC24" s="2">
        <f t="shared" si="5"/>
        <v>3.9612745447192412E-13</v>
      </c>
      <c r="AD24" s="2">
        <f t="shared" si="6"/>
        <v>9.5367431640625E-7</v>
      </c>
      <c r="AF24" s="2">
        <v>20</v>
      </c>
      <c r="AG24" s="2">
        <f t="shared" si="13"/>
        <v>3074.2454528808594</v>
      </c>
      <c r="AH24" s="2">
        <v>-1.9922666810998635E-3</v>
      </c>
      <c r="AI24" s="2">
        <f t="shared" si="14"/>
        <v>3074.2635726928711</v>
      </c>
      <c r="AJ24" s="2">
        <v>2.4262779995751771E-2</v>
      </c>
      <c r="AK24" s="2">
        <f t="shared" si="9"/>
        <v>3074.2545127868652</v>
      </c>
      <c r="AL24" s="2">
        <v>2.0980162430078053E-2</v>
      </c>
      <c r="AM24" s="2">
        <f t="shared" si="10"/>
        <v>-4.1798078573507647E-5</v>
      </c>
      <c r="AN24" s="2">
        <f t="shared" si="11"/>
        <v>5.0903706531612062E-4</v>
      </c>
      <c r="AO24" s="2">
        <f t="shared" si="12"/>
        <v>1.811981201171875E-2</v>
      </c>
    </row>
    <row r="25" spans="2:41" x14ac:dyDescent="0.2">
      <c r="B25" s="6" t="s">
        <v>155</v>
      </c>
      <c r="C25" s="17">
        <v>50</v>
      </c>
      <c r="D25" s="6" t="s">
        <v>58</v>
      </c>
      <c r="F25" s="6" t="s">
        <v>90</v>
      </c>
      <c r="G25" s="6">
        <f xml:space="preserve"> $G$24/$G$23</f>
        <v>200</v>
      </c>
      <c r="H25" s="6" t="s">
        <v>13</v>
      </c>
      <c r="J25" s="14" t="s">
        <v>112</v>
      </c>
      <c r="K25" s="6">
        <f>$C$79*(0.14*$G$10*1000/745.7)*0.453592</f>
        <v>42.988274628516756</v>
      </c>
      <c r="L25" s="6" t="s">
        <v>7</v>
      </c>
      <c r="N25" s="6" t="s">
        <v>30</v>
      </c>
      <c r="O25" s="6">
        <f xml:space="preserve"> ($C$30 * $O$24 / 8) * (1 + 4.65 * O22^2) * ( PI() * $C$71 * O21^3 * $C$10^5)</f>
        <v>6282.346561066448</v>
      </c>
      <c r="P25" s="6" t="s">
        <v>18</v>
      </c>
      <c r="U25" s="2">
        <v>21</v>
      </c>
      <c r="V25" s="2">
        <f t="shared" si="7"/>
        <v>0.96004390716552734</v>
      </c>
      <c r="W25" s="2">
        <f t="shared" si="0"/>
        <v>5.3975249270088455E-8</v>
      </c>
      <c r="X25" s="2">
        <f t="shared" si="8"/>
        <v>0.96004438400268555</v>
      </c>
      <c r="Y25" s="2">
        <f t="shared" si="1"/>
        <v>-4.3175422204111413E-7</v>
      </c>
      <c r="Z25" s="2">
        <f t="shared" si="3"/>
        <v>0.96004414558410645</v>
      </c>
      <c r="AA25" s="2">
        <f t="shared" si="2"/>
        <v>-1.8888948749573586E-7</v>
      </c>
      <c r="AB25" s="2">
        <f t="shared" si="4"/>
        <v>-1.01953571720816E-14</v>
      </c>
      <c r="AC25" s="2">
        <f t="shared" si="5"/>
        <v>8.1553833725466189E-14</v>
      </c>
      <c r="AD25" s="2">
        <f t="shared" si="6"/>
        <v>4.76837158203125E-7</v>
      </c>
      <c r="AF25" s="2">
        <v>21</v>
      </c>
      <c r="AG25" s="2">
        <f t="shared" si="13"/>
        <v>3074.2454528808594</v>
      </c>
      <c r="AH25" s="2">
        <v>-1.9922666810998635E-3</v>
      </c>
      <c r="AI25" s="2">
        <f t="shared" si="14"/>
        <v>3074.2545127868652</v>
      </c>
      <c r="AJ25" s="2">
        <v>2.4262779995751771E-2</v>
      </c>
      <c r="AK25" s="2">
        <f t="shared" si="9"/>
        <v>3074.2499828338623</v>
      </c>
      <c r="AL25" s="2">
        <v>2.2621472099672246E-2</v>
      </c>
      <c r="AM25" s="2">
        <f t="shared" si="10"/>
        <v>-4.5068005141607188E-5</v>
      </c>
      <c r="AN25" s="2">
        <f t="shared" si="11"/>
        <v>5.4885980073438457E-4</v>
      </c>
      <c r="AO25" s="2">
        <f t="shared" si="12"/>
        <v>9.059906005859375E-3</v>
      </c>
    </row>
    <row r="26" spans="2:41" x14ac:dyDescent="0.2">
      <c r="F26" s="6" t="s">
        <v>19</v>
      </c>
      <c r="G26" s="6">
        <f xml:space="preserve"> $C$5 * $C$68 / $C$21</f>
        <v>3766.5030940115039</v>
      </c>
      <c r="H26" s="6" t="s">
        <v>20</v>
      </c>
      <c r="J26" s="15" t="s">
        <v>64</v>
      </c>
      <c r="K26" s="6">
        <f xml:space="preserve"> $C$80 * (0.0268 * $C$5)</f>
        <v>65.911461634094849</v>
      </c>
      <c r="L26" s="6" t="s">
        <v>7</v>
      </c>
      <c r="N26" s="6" t="s">
        <v>31</v>
      </c>
      <c r="O26" s="18">
        <f>Z34</f>
        <v>0.96004395978525281</v>
      </c>
      <c r="U26" s="2">
        <v>22</v>
      </c>
      <c r="V26" s="2">
        <f t="shared" si="7"/>
        <v>0.96004390716552734</v>
      </c>
      <c r="W26" s="2">
        <f t="shared" si="0"/>
        <v>5.3975249270088455E-8</v>
      </c>
      <c r="X26" s="2">
        <f t="shared" si="8"/>
        <v>0.96004414558410645</v>
      </c>
      <c r="Y26" s="2">
        <f t="shared" si="1"/>
        <v>-1.8888948749573586E-7</v>
      </c>
      <c r="Z26" s="2">
        <f t="shared" si="3"/>
        <v>0.96004402637481689</v>
      </c>
      <c r="AA26" s="2">
        <f t="shared" si="2"/>
        <v>-6.7457119445890612E-8</v>
      </c>
      <c r="AB26" s="2">
        <f t="shared" si="4"/>
        <v>-3.6410148371340773E-15</v>
      </c>
      <c r="AC26" s="2">
        <f t="shared" si="5"/>
        <v>1.2741940720072915E-14</v>
      </c>
      <c r="AD26" s="2">
        <f t="shared" si="6"/>
        <v>2.384185791015625E-7</v>
      </c>
      <c r="AF26" s="2">
        <v>22</v>
      </c>
      <c r="AG26" s="2">
        <f t="shared" si="13"/>
        <v>3074.2454528808594</v>
      </c>
      <c r="AH26" s="2">
        <v>-1.9922666810998635E-3</v>
      </c>
      <c r="AI26" s="2">
        <f t="shared" si="14"/>
        <v>3074.2499828338623</v>
      </c>
      <c r="AJ26" s="2">
        <v>2.4262779995751771E-2</v>
      </c>
      <c r="AK26" s="2">
        <f t="shared" si="9"/>
        <v>3074.2477178573608</v>
      </c>
      <c r="AL26" s="2">
        <v>2.3441618560354982E-2</v>
      </c>
      <c r="AM26" s="2">
        <f t="shared" si="10"/>
        <v>-4.6701955608847382E-5</v>
      </c>
      <c r="AN26" s="2">
        <f t="shared" si="11"/>
        <v>5.6875883387422427E-4</v>
      </c>
      <c r="AO26" s="2">
        <f t="shared" si="12"/>
        <v>4.5299530029296875E-3</v>
      </c>
    </row>
    <row r="27" spans="2:41" x14ac:dyDescent="0.2">
      <c r="B27" s="30" t="s">
        <v>184</v>
      </c>
      <c r="C27" s="30"/>
      <c r="D27" s="30"/>
      <c r="F27" t="s">
        <v>97</v>
      </c>
      <c r="G27" s="6">
        <f>G29/$C$21</f>
        <v>72.216212551394989</v>
      </c>
      <c r="H27" t="s">
        <v>101</v>
      </c>
      <c r="J27" s="15" t="s">
        <v>65</v>
      </c>
      <c r="K27" s="6">
        <f xml:space="preserve"> $C$80 * (11.5 * ($C$5*2.20462/1000)^0.4 * 0.453592)</f>
        <v>8.9718328827878544</v>
      </c>
      <c r="L27" s="6" t="s">
        <v>7</v>
      </c>
      <c r="N27" s="6" t="s">
        <v>32</v>
      </c>
      <c r="O27" s="6">
        <f xml:space="preserve"> O21 * $C$10 * O26 - $C$7 * SIN(O19/180*PI())</f>
        <v>1.6953583536697323</v>
      </c>
      <c r="P27" s="6" t="s">
        <v>10</v>
      </c>
      <c r="U27" s="2">
        <v>23</v>
      </c>
      <c r="V27" s="2">
        <f t="shared" si="7"/>
        <v>0.96004390716552734</v>
      </c>
      <c r="W27" s="2">
        <f t="shared" si="0"/>
        <v>5.3975249270088455E-8</v>
      </c>
      <c r="X27" s="2">
        <f t="shared" si="8"/>
        <v>0.96004402637481689</v>
      </c>
      <c r="Y27" s="2">
        <f t="shared" si="1"/>
        <v>-6.7457119445890612E-8</v>
      </c>
      <c r="Z27" s="2">
        <f t="shared" si="3"/>
        <v>0.96004396677017212</v>
      </c>
      <c r="AA27" s="2">
        <f t="shared" si="2"/>
        <v>-6.74093514341223E-9</v>
      </c>
      <c r="AB27" s="2">
        <f t="shared" si="4"/>
        <v>-3.6384365467917455E-16</v>
      </c>
      <c r="AC27" s="2">
        <f t="shared" si="5"/>
        <v>4.5472406714616056E-16</v>
      </c>
      <c r="AD27" s="2">
        <f t="shared" si="6"/>
        <v>1.1920928955078125E-7</v>
      </c>
      <c r="AF27" s="2">
        <v>23</v>
      </c>
      <c r="AG27" s="2">
        <f t="shared" si="13"/>
        <v>3074.2454528808594</v>
      </c>
      <c r="AH27" s="2">
        <v>-1.9922666810998635E-3</v>
      </c>
      <c r="AI27" s="2">
        <f t="shared" si="14"/>
        <v>3074.2477178573608</v>
      </c>
      <c r="AJ27" s="2">
        <v>2.4262779995751771E-2</v>
      </c>
      <c r="AK27" s="2">
        <f t="shared" si="9"/>
        <v>3074.2465853691101</v>
      </c>
      <c r="AL27" s="2">
        <v>2.385219933330518E-2</v>
      </c>
      <c r="AM27" s="2">
        <f t="shared" si="10"/>
        <v>-4.7519942002696289E-5</v>
      </c>
      <c r="AN27" s="2">
        <f t="shared" si="11"/>
        <v>5.7872066483880067E-4</v>
      </c>
      <c r="AO27" s="2">
        <f t="shared" si="12"/>
        <v>2.2649765014648438E-3</v>
      </c>
    </row>
    <row r="28" spans="2:41" x14ac:dyDescent="0.2">
      <c r="B28" s="6" t="s">
        <v>185</v>
      </c>
      <c r="C28" s="17">
        <v>1</v>
      </c>
      <c r="F28" t="s">
        <v>146</v>
      </c>
      <c r="G28" s="6">
        <f xml:space="preserve"> (G26/$C$68*1000) / (G27*1000)</f>
        <v>5.321223088938229</v>
      </c>
      <c r="H28" s="6" t="s">
        <v>147</v>
      </c>
      <c r="J28" s="15" t="s">
        <v>66</v>
      </c>
      <c r="K28" s="6">
        <f xml:space="preserve"> $C$80 * (8 * ($C$5/1000))</f>
        <v>19.675063174356673</v>
      </c>
      <c r="L28" s="6" t="s">
        <v>7</v>
      </c>
      <c r="N28" s="6" t="s">
        <v>33</v>
      </c>
      <c r="O28" s="6">
        <f xml:space="preserve"> 1/$C$31 - O25 * SQRT( (2*$C$71*PI()*$C$10^2) / O20^3 )</f>
        <v>1.1204363492793974</v>
      </c>
      <c r="U28" s="2">
        <v>24</v>
      </c>
      <c r="V28" s="2">
        <f t="shared" si="7"/>
        <v>0.96004390716552734</v>
      </c>
      <c r="W28" s="2">
        <f t="shared" si="0"/>
        <v>5.3975249270088455E-8</v>
      </c>
      <c r="X28" s="2">
        <f t="shared" si="8"/>
        <v>0.96004396677017212</v>
      </c>
      <c r="Y28" s="2">
        <f t="shared" si="1"/>
        <v>-6.74093514341223E-9</v>
      </c>
      <c r="Z28" s="2">
        <f t="shared" si="3"/>
        <v>0.96004393696784973</v>
      </c>
      <c r="AA28" s="2">
        <f t="shared" si="2"/>
        <v>2.3617157007826961E-8</v>
      </c>
      <c r="AB28" s="2">
        <f t="shared" si="4"/>
        <v>1.2747419365482765E-15</v>
      </c>
      <c r="AC28" s="2">
        <f t="shared" si="5"/>
        <v>-1.5920172366154519E-16</v>
      </c>
      <c r="AD28" s="2">
        <f t="shared" si="6"/>
        <v>5.9604644775390625E-8</v>
      </c>
      <c r="AF28" s="2">
        <v>24</v>
      </c>
      <c r="AG28" s="2">
        <f t="shared" si="13"/>
        <v>3074.2454528808594</v>
      </c>
      <c r="AH28" s="2">
        <v>-1.9922666810998635E-3</v>
      </c>
      <c r="AI28" s="2">
        <f t="shared" si="14"/>
        <v>3074.2465853691101</v>
      </c>
      <c r="AJ28" s="2">
        <v>2.4262779995751771E-2</v>
      </c>
      <c r="AK28" s="2">
        <f t="shared" si="9"/>
        <v>3074.2460191249847</v>
      </c>
      <c r="AL28" s="2">
        <v>2.4056981969806657E-2</v>
      </c>
      <c r="AM28" s="2">
        <f t="shared" si="10"/>
        <v>-4.7927923626265961E-5</v>
      </c>
      <c r="AN28" s="2">
        <f t="shared" si="11"/>
        <v>5.8368926089518596E-4</v>
      </c>
      <c r="AO28" s="2">
        <f t="shared" si="12"/>
        <v>1.1324882507324219E-3</v>
      </c>
    </row>
    <row r="29" spans="2:41" x14ac:dyDescent="0.2">
      <c r="B29" s="6" t="s">
        <v>186</v>
      </c>
      <c r="C29" s="17">
        <v>6</v>
      </c>
      <c r="F29" s="25" t="s">
        <v>83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577.72970041115991</v>
      </c>
      <c r="H29" s="25" t="s">
        <v>101</v>
      </c>
      <c r="J29" s="15" t="s">
        <v>67</v>
      </c>
      <c r="K29" s="6">
        <f xml:space="preserve"> $C$80 * (13 * ($C$5*2.20462/1000)^1.3 * 0.453592)</f>
        <v>56.76617103875364</v>
      </c>
      <c r="L29" s="6" t="s">
        <v>7</v>
      </c>
      <c r="N29" s="6" t="s">
        <v>34</v>
      </c>
      <c r="O29" s="17">
        <v>1.1499999999999999</v>
      </c>
      <c r="U29" s="2">
        <v>25</v>
      </c>
      <c r="V29" s="2">
        <f t="shared" si="7"/>
        <v>0.96004393696784973</v>
      </c>
      <c r="W29" s="2">
        <f t="shared" si="0"/>
        <v>2.3617157007826961E-8</v>
      </c>
      <c r="X29" s="2">
        <f t="shared" si="8"/>
        <v>0.96004396677017212</v>
      </c>
      <c r="Y29" s="2">
        <f t="shared" si="1"/>
        <v>-6.74093514341223E-9</v>
      </c>
      <c r="Z29" s="2">
        <f t="shared" si="3"/>
        <v>0.96004395186901093</v>
      </c>
      <c r="AA29" s="2">
        <f t="shared" si="2"/>
        <v>8.4381108766962143E-9</v>
      </c>
      <c r="AB29" s="2">
        <f t="shared" si="4"/>
        <v>1.992841894243869E-16</v>
      </c>
      <c r="AC29" s="2">
        <f t="shared" si="5"/>
        <v>-5.6880758152730493E-17</v>
      </c>
      <c r="AD29" s="2">
        <f t="shared" si="6"/>
        <v>2.9802322387695312E-8</v>
      </c>
      <c r="AF29" s="2">
        <v>25</v>
      </c>
      <c r="AG29" s="2">
        <f t="shared" si="13"/>
        <v>3074.2454528808594</v>
      </c>
      <c r="AH29" s="2">
        <v>-1.9922666810998635E-3</v>
      </c>
      <c r="AI29" s="2">
        <f t="shared" si="14"/>
        <v>3074.2460191249847</v>
      </c>
      <c r="AJ29" s="2">
        <v>2.4262779995751771E-2</v>
      </c>
      <c r="AK29" s="2">
        <f t="shared" si="9"/>
        <v>3074.2457360029221</v>
      </c>
      <c r="AL29" s="2">
        <v>2.4159373277143459E-2</v>
      </c>
      <c r="AM29" s="2">
        <f t="shared" si="10"/>
        <v>-4.8131914416307333E-5</v>
      </c>
      <c r="AN29" s="2">
        <f t="shared" si="11"/>
        <v>5.8617355865857627E-4</v>
      </c>
      <c r="AO29" s="2">
        <f t="shared" si="12"/>
        <v>5.6624412536621094E-4</v>
      </c>
    </row>
    <row r="30" spans="2:41" x14ac:dyDescent="0.2">
      <c r="B30" s="6" t="s">
        <v>187</v>
      </c>
      <c r="C30" s="6">
        <f>$C$29*$C$11/PI()</f>
        <v>0.84998288907657626</v>
      </c>
      <c r="J30" s="10" t="s">
        <v>54</v>
      </c>
      <c r="K30" s="10">
        <f>$C$5 - $C$16 - SUM(K15:K29)</f>
        <v>-8.0892453288470278E-3</v>
      </c>
      <c r="L30" s="10" t="s">
        <v>7</v>
      </c>
      <c r="N30" s="6" t="s">
        <v>35</v>
      </c>
      <c r="O30" s="6">
        <f xml:space="preserve"> 1/$C$77 * LN( EXP($C$77 * O28) + EXP($C$77 * O29) )</f>
        <v>1.1614985107901672</v>
      </c>
      <c r="U30" s="2">
        <v>26</v>
      </c>
      <c r="V30" s="2">
        <f>IF(AB29&gt;0, Z29, V29)</f>
        <v>0.96004395186901093</v>
      </c>
      <c r="W30" s="2">
        <f t="shared" si="0"/>
        <v>8.4381108766962143E-9</v>
      </c>
      <c r="X30" s="2">
        <f t="shared" si="8"/>
        <v>0.96004396677017212</v>
      </c>
      <c r="Y30" s="2">
        <f t="shared" si="1"/>
        <v>-6.74093514341223E-9</v>
      </c>
      <c r="Z30" s="2">
        <f t="shared" si="3"/>
        <v>0.96004395931959152</v>
      </c>
      <c r="AA30" s="2">
        <f t="shared" si="2"/>
        <v>8.4858786664199215E-10</v>
      </c>
      <c r="AB30" s="2">
        <f t="shared" si="4"/>
        <v>7.1604785073442306E-18</v>
      </c>
      <c r="AC30" s="2">
        <f t="shared" si="5"/>
        <v>-5.7202757725202157E-18</v>
      </c>
      <c r="AD30" s="2">
        <f t="shared" si="6"/>
        <v>1.4901161193847656E-8</v>
      </c>
      <c r="AF30" s="2">
        <v>26</v>
      </c>
      <c r="AG30" s="2">
        <f t="shared" si="13"/>
        <v>3074.2454528808594</v>
      </c>
      <c r="AH30" s="2">
        <v>-1.9922666810998635E-3</v>
      </c>
      <c r="AI30" s="2">
        <f t="shared" si="14"/>
        <v>3074.2457360029221</v>
      </c>
      <c r="AJ30" s="2">
        <v>2.4262779995751771E-2</v>
      </c>
      <c r="AK30" s="2">
        <f t="shared" si="9"/>
        <v>3074.2455944418907</v>
      </c>
      <c r="AL30" s="2">
        <v>2.4211076637584483E-2</v>
      </c>
      <c r="AM30" s="2">
        <f t="shared" si="10"/>
        <v>-4.8234921298614878E-5</v>
      </c>
      <c r="AN30" s="2">
        <f t="shared" si="11"/>
        <v>5.8742802591799786E-4</v>
      </c>
      <c r="AO30" s="2">
        <f t="shared" si="12"/>
        <v>2.8312206268310547E-4</v>
      </c>
    </row>
    <row r="31" spans="2:41" x14ac:dyDescent="0.2">
      <c r="B31" s="6" t="s">
        <v>188</v>
      </c>
      <c r="C31" s="17">
        <v>0.75</v>
      </c>
      <c r="F31" s="32" t="s">
        <v>156</v>
      </c>
      <c r="G31" s="34"/>
      <c r="H31" s="34"/>
      <c r="J31" s="6" t="s">
        <v>55</v>
      </c>
      <c r="K31" s="4" t="str">
        <f>IF(ABS(K30)&lt;1, "TRUE", "FALSE")</f>
        <v>TRUE</v>
      </c>
      <c r="U31" s="2">
        <v>27</v>
      </c>
      <c r="V31" s="2">
        <f t="shared" si="7"/>
        <v>0.96004395931959152</v>
      </c>
      <c r="W31" s="2">
        <f t="shared" si="0"/>
        <v>8.4858786664199215E-10</v>
      </c>
      <c r="X31" s="2">
        <f t="shared" si="8"/>
        <v>0.96004396677017212</v>
      </c>
      <c r="Y31" s="2">
        <f t="shared" si="1"/>
        <v>-6.74093514341223E-9</v>
      </c>
      <c r="Z31" s="2">
        <f t="shared" si="3"/>
        <v>0.96004396304488182</v>
      </c>
      <c r="AA31" s="2">
        <f t="shared" si="2"/>
        <v>-2.9461736383851189E-9</v>
      </c>
      <c r="AB31" s="2">
        <f t="shared" si="4"/>
        <v>-2.5000872025541041E-18</v>
      </c>
      <c r="AC31" s="2">
        <f t="shared" si="5"/>
        <v>1.9859965417584923E-17</v>
      </c>
      <c r="AD31" s="2">
        <f t="shared" si="6"/>
        <v>7.4505805969238281E-9</v>
      </c>
      <c r="AF31" s="2">
        <v>27</v>
      </c>
      <c r="AG31" s="2">
        <f t="shared" si="13"/>
        <v>3074.2454528808594</v>
      </c>
      <c r="AH31" s="2">
        <v>-1.9922666810998635E-3</v>
      </c>
      <c r="AI31" s="2">
        <f t="shared" si="14"/>
        <v>3074.2455944418907</v>
      </c>
      <c r="AJ31" s="2">
        <v>2.4262779995751771E-2</v>
      </c>
      <c r="AK31" s="2">
        <f t="shared" si="9"/>
        <v>3074.245523661375</v>
      </c>
      <c r="AL31" s="2">
        <v>2.4236928317804995E-2</v>
      </c>
      <c r="AM31" s="2">
        <f t="shared" si="10"/>
        <v>-4.8286424739768657E-5</v>
      </c>
      <c r="AN31" s="2">
        <f t="shared" si="11"/>
        <v>5.8805525954770872E-4</v>
      </c>
      <c r="AO31" s="2">
        <f t="shared" si="12"/>
        <v>1.4156103134155273E-4</v>
      </c>
    </row>
    <row r="32" spans="2:41" x14ac:dyDescent="0.2">
      <c r="B32" s="6" t="s">
        <v>155</v>
      </c>
      <c r="C32" s="17">
        <v>50</v>
      </c>
      <c r="D32" s="6" t="s">
        <v>58</v>
      </c>
      <c r="F32" s="9" t="s">
        <v>157</v>
      </c>
      <c r="G32" s="17">
        <f>20*60</f>
        <v>1200</v>
      </c>
      <c r="H32" s="6" t="s">
        <v>13</v>
      </c>
      <c r="U32" s="2">
        <v>28</v>
      </c>
      <c r="V32" s="2">
        <f t="shared" si="7"/>
        <v>0.96004395931959152</v>
      </c>
      <c r="W32" s="2">
        <f t="shared" si="0"/>
        <v>8.4858786664199215E-10</v>
      </c>
      <c r="X32" s="2">
        <f t="shared" si="8"/>
        <v>0.96004396304488182</v>
      </c>
      <c r="Y32" s="2">
        <f t="shared" si="1"/>
        <v>-2.9461736383851189E-9</v>
      </c>
      <c r="Z32" s="2">
        <f t="shared" si="3"/>
        <v>0.96004396118223667</v>
      </c>
      <c r="AA32" s="2">
        <f t="shared" si="2"/>
        <v>-1.0487928303604122E-9</v>
      </c>
      <c r="AB32" s="2">
        <f t="shared" si="4"/>
        <v>-8.8999287046495892E-19</v>
      </c>
      <c r="AC32" s="2">
        <f t="shared" si="5"/>
        <v>3.0899257889351623E-18</v>
      </c>
      <c r="AD32" s="2">
        <f t="shared" si="6"/>
        <v>3.7252902984619141E-9</v>
      </c>
      <c r="AF32" s="2">
        <v>28</v>
      </c>
      <c r="AG32" s="2">
        <f t="shared" si="13"/>
        <v>3074.2454528808594</v>
      </c>
      <c r="AH32" s="2">
        <v>-1.9922666810998635E-3</v>
      </c>
      <c r="AI32" s="2">
        <f t="shared" si="14"/>
        <v>3074.245523661375</v>
      </c>
      <c r="AJ32" s="2">
        <v>2.4262779995751771E-2</v>
      </c>
      <c r="AK32" s="2">
        <f t="shared" si="9"/>
        <v>3074.2454882711172</v>
      </c>
      <c r="AL32" s="2">
        <v>2.424985415655101E-2</v>
      </c>
      <c r="AM32" s="2">
        <f t="shared" si="10"/>
        <v>-4.8312176457627611E-5</v>
      </c>
      <c r="AN32" s="2">
        <f t="shared" si="11"/>
        <v>5.8836887632946378E-4</v>
      </c>
      <c r="AO32" s="2">
        <f t="shared" si="12"/>
        <v>7.0780515670776367E-5</v>
      </c>
    </row>
    <row r="33" spans="2:41" x14ac:dyDescent="0.2">
      <c r="F33" s="26" t="s">
        <v>132</v>
      </c>
      <c r="G33" s="25">
        <f xml:space="preserve"> G20</f>
        <v>221.83532336408808</v>
      </c>
      <c r="H33" s="25" t="s">
        <v>101</v>
      </c>
      <c r="J33" s="27" t="s">
        <v>56</v>
      </c>
      <c r="K33" s="27"/>
      <c r="L33" s="27"/>
      <c r="U33" s="2">
        <v>29</v>
      </c>
      <c r="V33" s="2">
        <f t="shared" si="7"/>
        <v>0.96004395931959152</v>
      </c>
      <c r="W33" s="2">
        <f t="shared" si="0"/>
        <v>8.4858786664199215E-10</v>
      </c>
      <c r="X33" s="2">
        <f t="shared" si="8"/>
        <v>0.96004396118223667</v>
      </c>
      <c r="Y33" s="2">
        <f t="shared" si="1"/>
        <v>-1.0487928303604122E-9</v>
      </c>
      <c r="Z33" s="2">
        <f t="shared" si="3"/>
        <v>0.9600439602509141</v>
      </c>
      <c r="AA33" s="2">
        <f t="shared" si="2"/>
        <v>-1.0010248185921E-10</v>
      </c>
      <c r="AB33" s="2">
        <f t="shared" si="4"/>
        <v>-8.4945751526475735E-20</v>
      </c>
      <c r="AC33" s="2">
        <f t="shared" si="5"/>
        <v>1.0498676527522267E-19</v>
      </c>
      <c r="AD33" s="2">
        <f t="shared" si="6"/>
        <v>1.862645149230957E-9</v>
      </c>
      <c r="AF33" s="2">
        <v>29</v>
      </c>
      <c r="AG33" s="2">
        <f t="shared" si="13"/>
        <v>3074.2454528808594</v>
      </c>
      <c r="AH33" s="2">
        <v>-1.9922666810998635E-3</v>
      </c>
      <c r="AI33" s="2">
        <f t="shared" si="14"/>
        <v>3074.2454882711172</v>
      </c>
      <c r="AJ33" s="2">
        <v>2.4262779995751771E-2</v>
      </c>
      <c r="AK33" s="2">
        <f t="shared" si="9"/>
        <v>3074.2454705759883</v>
      </c>
      <c r="AL33" s="2">
        <v>2.4256317075924017E-2</v>
      </c>
      <c r="AM33" s="2">
        <f t="shared" si="10"/>
        <v>-4.8325052316557088E-5</v>
      </c>
      <c r="AN33" s="2">
        <f t="shared" si="11"/>
        <v>5.8852568472034131E-4</v>
      </c>
      <c r="AO33" s="2">
        <f t="shared" si="12"/>
        <v>3.5390257835388184E-5</v>
      </c>
    </row>
    <row r="34" spans="2:41" x14ac:dyDescent="0.2">
      <c r="B34" s="30" t="s">
        <v>104</v>
      </c>
      <c r="C34" s="30"/>
      <c r="D34" s="30"/>
      <c r="J34" s="6" t="s">
        <v>57</v>
      </c>
      <c r="K34" s="6">
        <f>ROUND($C$16/$C$5 * 100, 2)</f>
        <v>19.52</v>
      </c>
      <c r="L34" s="6" t="s">
        <v>58</v>
      </c>
      <c r="U34" s="2">
        <v>30</v>
      </c>
      <c r="V34" s="2">
        <f t="shared" si="7"/>
        <v>0.96004395931959152</v>
      </c>
      <c r="W34" s="2">
        <f t="shared" si="0"/>
        <v>8.4858786664199215E-10</v>
      </c>
      <c r="X34" s="2">
        <f t="shared" si="8"/>
        <v>0.9600439602509141</v>
      </c>
      <c r="Y34" s="2">
        <f t="shared" si="1"/>
        <v>-1.0010248185921E-10</v>
      </c>
      <c r="Z34" s="2">
        <f t="shared" si="3"/>
        <v>0.96004395978525281</v>
      </c>
      <c r="AA34" s="2">
        <f t="shared" si="2"/>
        <v>3.7424263688023984E-10</v>
      </c>
      <c r="AB34" s="2">
        <f t="shared" si="4"/>
        <v>3.1757776083667646E-19</v>
      </c>
      <c r="AC34" s="2">
        <f t="shared" si="5"/>
        <v>-3.7462616769247125E-20</v>
      </c>
      <c r="AD34" s="2">
        <f t="shared" si="6"/>
        <v>9.3132257461547852E-10</v>
      </c>
      <c r="AF34" s="2">
        <v>30</v>
      </c>
      <c r="AG34" s="2">
        <f t="shared" si="13"/>
        <v>3074.2454528808594</v>
      </c>
      <c r="AH34" s="2">
        <v>-1.9922666810998635E-3</v>
      </c>
      <c r="AI34" s="2">
        <f t="shared" si="14"/>
        <v>3074.2454705759883</v>
      </c>
      <c r="AJ34" s="2">
        <v>2.4262779995751771E-2</v>
      </c>
      <c r="AK34" s="2">
        <f t="shared" si="9"/>
        <v>3074.2454617284238</v>
      </c>
      <c r="AL34" s="2">
        <v>2.4259548536520015E-2</v>
      </c>
      <c r="AM34" s="2">
        <f t="shared" si="10"/>
        <v>-4.8331490247833779E-5</v>
      </c>
      <c r="AN34" s="2">
        <f t="shared" si="11"/>
        <v>5.8860408893784695E-4</v>
      </c>
      <c r="AO34" s="2">
        <f t="shared" si="12"/>
        <v>1.7695128917694092E-5</v>
      </c>
    </row>
    <row r="35" spans="2:41" x14ac:dyDescent="0.2">
      <c r="B35" s="6" t="s">
        <v>105</v>
      </c>
      <c r="C35" s="17">
        <v>6</v>
      </c>
      <c r="J35" s="11" t="s">
        <v>52</v>
      </c>
      <c r="K35" s="6">
        <f>ROUND(K15/$C$5 * 100, 2)</f>
        <v>37.58</v>
      </c>
      <c r="L35" s="6" t="s">
        <v>58</v>
      </c>
      <c r="AF35" s="2">
        <v>31</v>
      </c>
      <c r="AG35" s="2">
        <f t="shared" si="13"/>
        <v>3074.2454528808594</v>
      </c>
      <c r="AH35" s="2">
        <v>-1.9922666810998635E-3</v>
      </c>
      <c r="AI35" s="2">
        <f t="shared" si="14"/>
        <v>3074.2454617284238</v>
      </c>
      <c r="AJ35" s="2">
        <v>2.4262779995751771E-2</v>
      </c>
      <c r="AK35" s="2">
        <f t="shared" si="9"/>
        <v>3074.2454573046416</v>
      </c>
      <c r="AL35" s="2">
        <v>2.4261164265681145E-2</v>
      </c>
      <c r="AM35" s="2">
        <f t="shared" si="10"/>
        <v>-4.8334709211207185E-5</v>
      </c>
      <c r="AN35" s="2">
        <f t="shared" si="11"/>
        <v>5.886432910190162E-4</v>
      </c>
      <c r="AO35" s="2">
        <f t="shared" si="12"/>
        <v>8.8475644588470459E-6</v>
      </c>
    </row>
    <row r="36" spans="2:41" x14ac:dyDescent="0.2">
      <c r="B36" s="6" t="s">
        <v>106</v>
      </c>
      <c r="C36" s="17">
        <v>9.1440000000000001</v>
      </c>
      <c r="D36" s="6" t="s">
        <v>8</v>
      </c>
      <c r="J36" s="19" t="s">
        <v>78</v>
      </c>
      <c r="K36" s="6">
        <f>ROUND(SUM(K16:K19)/$C$5 * 100, 2)</f>
        <v>18.53</v>
      </c>
      <c r="L36" s="6" t="s">
        <v>58</v>
      </c>
      <c r="AF36" s="2">
        <v>32</v>
      </c>
      <c r="AG36" s="2">
        <f t="shared" si="13"/>
        <v>3074.2454528808594</v>
      </c>
      <c r="AH36" s="2">
        <v>-1.9922666810998635E-3</v>
      </c>
      <c r="AI36" s="2">
        <f t="shared" si="14"/>
        <v>3074.2454573046416</v>
      </c>
      <c r="AJ36" s="2">
        <v>2.4262779995751771E-2</v>
      </c>
      <c r="AK36" s="2">
        <f t="shared" si="9"/>
        <v>3074.2454550927505</v>
      </c>
      <c r="AL36" s="2">
        <v>2.4261972131625953E-2</v>
      </c>
      <c r="AM36" s="2">
        <f t="shared" si="10"/>
        <v>-4.8336318695611818E-5</v>
      </c>
      <c r="AN36" s="2">
        <f t="shared" si="11"/>
        <v>5.8866289209270114E-4</v>
      </c>
      <c r="AO36" s="2">
        <f t="shared" si="12"/>
        <v>4.4237822294235229E-6</v>
      </c>
    </row>
    <row r="37" spans="2:41" x14ac:dyDescent="0.2">
      <c r="B37" s="6" t="s">
        <v>107</v>
      </c>
      <c r="C37" s="17">
        <v>1.8675309360000001</v>
      </c>
      <c r="D37" s="6" t="s">
        <v>8</v>
      </c>
      <c r="J37" s="20" t="s">
        <v>69</v>
      </c>
      <c r="K37" s="6">
        <f>ROUND(SUM(K20:K25)/$C$5 * 100, 2)</f>
        <v>19.45</v>
      </c>
      <c r="L37" s="6" t="s">
        <v>58</v>
      </c>
      <c r="AF37" s="2">
        <v>33</v>
      </c>
      <c r="AG37" s="2">
        <f t="shared" si="13"/>
        <v>3074.2454528808594</v>
      </c>
      <c r="AH37" s="2">
        <v>-1.9922666810998635E-3</v>
      </c>
      <c r="AI37" s="2">
        <f t="shared" si="14"/>
        <v>3074.2454550927505</v>
      </c>
      <c r="AJ37" s="2">
        <v>2.4262779995751771E-2</v>
      </c>
      <c r="AK37" s="2">
        <f t="shared" si="9"/>
        <v>3074.2454539868049</v>
      </c>
      <c r="AL37" s="2">
        <v>2.4262376063688862E-2</v>
      </c>
      <c r="AM37" s="2">
        <f t="shared" si="10"/>
        <v>-4.8337123436002178E-5</v>
      </c>
      <c r="AN37" s="2">
        <f t="shared" si="11"/>
        <v>5.8867269260747673E-4</v>
      </c>
      <c r="AO37" s="2">
        <f t="shared" si="12"/>
        <v>2.2118911147117615E-6</v>
      </c>
    </row>
    <row r="38" spans="2:41" x14ac:dyDescent="0.2">
      <c r="J38" s="15" t="s">
        <v>70</v>
      </c>
      <c r="K38" s="6">
        <f>ROUND(SUM(K26:K29)/$C$5*100, 2)</f>
        <v>4.92</v>
      </c>
      <c r="L38" s="6" t="s">
        <v>58</v>
      </c>
      <c r="AF38" s="2">
        <v>34</v>
      </c>
      <c r="AG38" s="2">
        <f t="shared" si="13"/>
        <v>3074.2454528808594</v>
      </c>
      <c r="AH38" s="2">
        <v>-1.9922666810998635E-3</v>
      </c>
      <c r="AI38" s="2">
        <f t="shared" si="14"/>
        <v>3074.2454539868049</v>
      </c>
      <c r="AJ38" s="2">
        <v>2.4262779995751771E-2</v>
      </c>
      <c r="AK38" s="2">
        <f t="shared" si="9"/>
        <v>3074.2454534338322</v>
      </c>
      <c r="AL38" s="2">
        <v>2.4262578030629811E-2</v>
      </c>
      <c r="AM38" s="2">
        <f t="shared" si="10"/>
        <v>-4.8337525808009317E-5</v>
      </c>
      <c r="AN38" s="2">
        <f t="shared" si="11"/>
        <v>5.8867759288693141E-4</v>
      </c>
      <c r="AO38" s="2">
        <f t="shared" si="12"/>
        <v>1.1059455573558807E-6</v>
      </c>
    </row>
    <row r="39" spans="2:41" x14ac:dyDescent="0.2">
      <c r="B39" s="30" t="s">
        <v>108</v>
      </c>
      <c r="C39" s="30"/>
      <c r="D39" s="30"/>
      <c r="J39" s="10" t="s">
        <v>59</v>
      </c>
      <c r="K39" s="10">
        <f>SUM(K34:K38)</f>
        <v>100</v>
      </c>
      <c r="L39" s="10" t="s">
        <v>58</v>
      </c>
      <c r="AF39" s="2">
        <v>35</v>
      </c>
      <c r="AG39" s="2">
        <f t="shared" si="13"/>
        <v>3074.2454528808594</v>
      </c>
      <c r="AH39" s="2">
        <v>-1.9922666810998635E-3</v>
      </c>
      <c r="AI39" s="2">
        <f t="shared" si="14"/>
        <v>3074.2454534338322</v>
      </c>
      <c r="AJ39" s="2">
        <v>2.4262779995751771E-2</v>
      </c>
      <c r="AK39" s="2">
        <f t="shared" si="9"/>
        <v>3074.2454531573458</v>
      </c>
      <c r="AL39" s="2">
        <v>2.4262679012736044E-2</v>
      </c>
      <c r="AM39" s="2">
        <f t="shared" si="10"/>
        <v>-4.8337726991294951E-5</v>
      </c>
      <c r="AN39" s="2">
        <f t="shared" si="11"/>
        <v>5.8868004299355843E-4</v>
      </c>
      <c r="AO39" s="2">
        <f t="shared" si="12"/>
        <v>5.5297277867794037E-7</v>
      </c>
    </row>
    <row r="40" spans="2:41" x14ac:dyDescent="0.2">
      <c r="B40" s="6" t="s">
        <v>116</v>
      </c>
      <c r="C40" s="22" t="s">
        <v>189</v>
      </c>
      <c r="AF40" s="2">
        <v>36</v>
      </c>
      <c r="AG40" s="2">
        <f t="shared" si="13"/>
        <v>3074.2454528808594</v>
      </c>
      <c r="AH40" s="2">
        <v>-1.9922666810998635E-3</v>
      </c>
      <c r="AI40" s="2">
        <f t="shared" si="14"/>
        <v>3074.2454531573458</v>
      </c>
      <c r="AJ40" s="2">
        <v>2.4262779995751771E-2</v>
      </c>
      <c r="AK40" s="2">
        <f t="shared" si="9"/>
        <v>3074.2454530191026</v>
      </c>
      <c r="AL40" s="2">
        <v>2.4262729505153402E-2</v>
      </c>
      <c r="AM40" s="2">
        <f t="shared" si="10"/>
        <v>-4.83378275856557E-5</v>
      </c>
      <c r="AN40" s="2">
        <f t="shared" si="11"/>
        <v>5.8868126807997225E-4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111</v>
      </c>
      <c r="K41" s="30"/>
      <c r="L41" s="30"/>
      <c r="AF41" s="2">
        <v>37</v>
      </c>
      <c r="AG41" s="2">
        <f t="shared" si="13"/>
        <v>3074.2454528808594</v>
      </c>
      <c r="AH41" s="2">
        <v>-1.9922666810998635E-3</v>
      </c>
      <c r="AI41" s="2">
        <f t="shared" si="14"/>
        <v>3074.2454530191026</v>
      </c>
      <c r="AJ41" s="2">
        <v>2.4262779995751771E-2</v>
      </c>
      <c r="AK41" s="2">
        <f t="shared" si="9"/>
        <v>3074.245452949981</v>
      </c>
      <c r="AL41" s="2">
        <v>2.4262754749997839E-2</v>
      </c>
      <c r="AM41" s="2">
        <f t="shared" si="10"/>
        <v>-4.8337877880118143E-5</v>
      </c>
      <c r="AN41" s="2">
        <f t="shared" si="11"/>
        <v>5.886818805900788E-4</v>
      </c>
      <c r="AO41" s="2">
        <f t="shared" si="12"/>
        <v>1.3824319466948509E-7</v>
      </c>
    </row>
    <row r="42" spans="2:41" x14ac:dyDescent="0.2">
      <c r="B42" s="6" t="s">
        <v>190</v>
      </c>
      <c r="C42" s="17">
        <v>0.30480000000000002</v>
      </c>
      <c r="D42" s="6" t="s">
        <v>8</v>
      </c>
      <c r="J42" s="6" t="s">
        <v>57</v>
      </c>
      <c r="K42" s="6">
        <f>ROUND(C16,2)</f>
        <v>600</v>
      </c>
      <c r="L42" s="6" t="s">
        <v>7</v>
      </c>
      <c r="AF42" s="2">
        <v>38</v>
      </c>
      <c r="AG42" s="2">
        <f t="shared" si="13"/>
        <v>3074.2454528808594</v>
      </c>
      <c r="AH42" s="2">
        <v>-1.9922666810998635E-3</v>
      </c>
      <c r="AI42" s="2">
        <f t="shared" si="14"/>
        <v>3074.245452949981</v>
      </c>
      <c r="AJ42" s="2">
        <v>2.4262779995751771E-2</v>
      </c>
      <c r="AK42" s="2">
        <f t="shared" si="9"/>
        <v>3074.2454529154202</v>
      </c>
      <c r="AL42" s="2">
        <v>2.4262767374239047E-2</v>
      </c>
      <c r="AM42" s="2">
        <f t="shared" si="10"/>
        <v>-4.8337903030973276E-5</v>
      </c>
      <c r="AN42" s="2">
        <f t="shared" si="11"/>
        <v>5.8868218688926588E-4</v>
      </c>
      <c r="AO42" s="2">
        <f t="shared" si="12"/>
        <v>6.9121597334742546E-8</v>
      </c>
    </row>
    <row r="43" spans="2:41" x14ac:dyDescent="0.2">
      <c r="B43" s="6" t="s">
        <v>191</v>
      </c>
      <c r="C43" s="17">
        <v>5.7</v>
      </c>
      <c r="J43" s="11" t="s">
        <v>52</v>
      </c>
      <c r="K43" s="6">
        <f>ROUND(K15, 2)</f>
        <v>1155.28</v>
      </c>
      <c r="L43" s="6" t="s">
        <v>7</v>
      </c>
      <c r="AF43" s="2">
        <v>39</v>
      </c>
      <c r="AG43" s="2">
        <f t="shared" si="13"/>
        <v>3074.2454528808594</v>
      </c>
      <c r="AH43" s="2">
        <v>-1.9922666810998635E-3</v>
      </c>
      <c r="AI43" s="2">
        <f t="shared" si="14"/>
        <v>3074.2454529154202</v>
      </c>
      <c r="AJ43" s="2">
        <v>2.4262779995751771E-2</v>
      </c>
      <c r="AK43" s="2">
        <f t="shared" si="9"/>
        <v>3074.2454528981398</v>
      </c>
      <c r="AL43" s="2">
        <v>2.4262773684768035E-2</v>
      </c>
      <c r="AM43" s="2">
        <f t="shared" si="10"/>
        <v>-4.833791560322992E-5</v>
      </c>
      <c r="AN43" s="2">
        <f t="shared" si="11"/>
        <v>5.8868234000024236E-4</v>
      </c>
      <c r="AO43" s="2">
        <f t="shared" si="12"/>
        <v>3.4560798667371273E-8</v>
      </c>
    </row>
    <row r="44" spans="2:41" x14ac:dyDescent="0.2">
      <c r="J44" s="19" t="s">
        <v>78</v>
      </c>
      <c r="K44" s="6">
        <f>ROUND(SUM(K16:K19), 2)</f>
        <v>569.62</v>
      </c>
      <c r="L44" s="6" t="s">
        <v>7</v>
      </c>
      <c r="AF44" s="2">
        <v>40</v>
      </c>
      <c r="AG44" s="2">
        <f t="shared" si="13"/>
        <v>3074.2454528808594</v>
      </c>
      <c r="AH44" s="2">
        <v>-1.9922666810998635E-3</v>
      </c>
      <c r="AI44" s="2">
        <f t="shared" si="14"/>
        <v>3074.2454528981398</v>
      </c>
      <c r="AJ44" s="2">
        <v>2.4262779995751771E-2</v>
      </c>
      <c r="AK44" s="5">
        <f t="shared" si="9"/>
        <v>3074.2454528894996</v>
      </c>
      <c r="AL44" s="2">
        <v>2.4262776840259903E-2</v>
      </c>
      <c r="AM44" s="2">
        <f t="shared" si="10"/>
        <v>-4.8337921889811229E-5</v>
      </c>
      <c r="AN44" s="2">
        <f t="shared" si="11"/>
        <v>5.8868241656124729E-4</v>
      </c>
      <c r="AO44" s="2">
        <f t="shared" si="12"/>
        <v>1.7280399333685637E-8</v>
      </c>
    </row>
    <row r="45" spans="2:41" x14ac:dyDescent="0.2">
      <c r="B45" s="30" t="s">
        <v>192</v>
      </c>
      <c r="C45" s="30"/>
      <c r="D45" s="30"/>
      <c r="J45" s="20" t="s">
        <v>69</v>
      </c>
      <c r="K45" s="6">
        <f>ROUND(SUM(K20:K25), 2)</f>
        <v>598.01</v>
      </c>
      <c r="L45" s="6" t="s">
        <v>7</v>
      </c>
    </row>
    <row r="46" spans="2:41" x14ac:dyDescent="0.2">
      <c r="B46" s="6" t="s">
        <v>191</v>
      </c>
      <c r="C46" s="17">
        <v>3</v>
      </c>
      <c r="J46" s="15" t="s">
        <v>70</v>
      </c>
      <c r="K46" s="6">
        <f>ROUND(SUM(K26:K29), 2)</f>
        <v>151.32</v>
      </c>
      <c r="L46" s="6" t="s">
        <v>7</v>
      </c>
    </row>
    <row r="47" spans="2:41" x14ac:dyDescent="0.2">
      <c r="J47" s="10" t="s">
        <v>59</v>
      </c>
      <c r="K47" s="10">
        <f>SUM(K42:K46)</f>
        <v>3074.23</v>
      </c>
      <c r="L47" s="6" t="s">
        <v>7</v>
      </c>
    </row>
    <row r="48" spans="2:41" x14ac:dyDescent="0.2">
      <c r="B48" s="30" t="s">
        <v>193</v>
      </c>
      <c r="C48" s="30"/>
      <c r="D48" s="30"/>
    </row>
    <row r="49" spans="2:4" x14ac:dyDescent="0.2">
      <c r="B49" s="6" t="s">
        <v>194</v>
      </c>
      <c r="C49" s="17">
        <v>4.3036300000000001</v>
      </c>
    </row>
    <row r="50" spans="2:4" x14ac:dyDescent="0.2">
      <c r="B50" s="6" t="s">
        <v>195</v>
      </c>
      <c r="C50" s="17">
        <f>39.5112*0.3048^2</f>
        <v>3.6707105940480003</v>
      </c>
      <c r="D50" s="6" t="s">
        <v>174</v>
      </c>
    </row>
    <row r="51" spans="2:4" x14ac:dyDescent="0.2">
      <c r="B51" s="6" t="s">
        <v>196</v>
      </c>
      <c r="C51" s="17">
        <f>0.15*3.7875*0.3048</f>
        <v>0.1731645</v>
      </c>
      <c r="D51" s="6" t="s">
        <v>8</v>
      </c>
    </row>
    <row r="53" spans="2:4" x14ac:dyDescent="0.2">
      <c r="B53" s="30" t="s">
        <v>197</v>
      </c>
      <c r="C53" s="30"/>
      <c r="D53" s="30"/>
    </row>
    <row r="54" spans="2:4" x14ac:dyDescent="0.2">
      <c r="B54" s="6" t="s">
        <v>198</v>
      </c>
      <c r="C54" s="17">
        <v>1.1798999999999999</v>
      </c>
    </row>
    <row r="55" spans="2:4" x14ac:dyDescent="0.2">
      <c r="B55" s="6" t="s">
        <v>199</v>
      </c>
      <c r="C55" s="17">
        <f>27.34325*0.3048^2</f>
        <v>2.5402710484800002</v>
      </c>
      <c r="D55" s="6" t="s">
        <v>174</v>
      </c>
    </row>
    <row r="56" spans="2:4" x14ac:dyDescent="0.2">
      <c r="B56" s="6" t="s">
        <v>200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201</v>
      </c>
      <c r="C57" s="17">
        <v>35</v>
      </c>
      <c r="D57" s="6" t="s">
        <v>40</v>
      </c>
    </row>
    <row r="59" spans="2:4" x14ac:dyDescent="0.2">
      <c r="B59" s="32" t="s">
        <v>2</v>
      </c>
      <c r="C59" s="34"/>
      <c r="D59" s="34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0" t="s">
        <v>144</v>
      </c>
      <c r="C64" s="31"/>
      <c r="D64" s="31"/>
    </row>
    <row r="65" spans="2:4" x14ac:dyDescent="0.2">
      <c r="B65" s="6" t="s">
        <v>14</v>
      </c>
      <c r="C65" s="17">
        <v>1.0397562309141399</v>
      </c>
      <c r="D65" s="6" t="s">
        <v>15</v>
      </c>
    </row>
    <row r="66" spans="2:4" x14ac:dyDescent="0.2">
      <c r="B66" s="6" t="s">
        <v>130</v>
      </c>
      <c r="C66" s="23">
        <v>1.7363179204150701E-5</v>
      </c>
      <c r="D66" s="6" t="s">
        <v>129</v>
      </c>
    </row>
    <row r="67" spans="2:4" x14ac:dyDescent="0.2">
      <c r="B67" s="6" t="s">
        <v>123</v>
      </c>
      <c r="C67" s="17">
        <v>333.91694458017901</v>
      </c>
      <c r="D67" s="6" t="s">
        <v>10</v>
      </c>
    </row>
    <row r="68" spans="2:4" x14ac:dyDescent="0.2">
      <c r="B68" s="6" t="s">
        <v>16</v>
      </c>
      <c r="C68" s="1">
        <v>9.80149119240094</v>
      </c>
      <c r="D68" s="6" t="s">
        <v>17</v>
      </c>
    </row>
    <row r="70" spans="2:4" x14ac:dyDescent="0.2">
      <c r="B70" s="30" t="s">
        <v>145</v>
      </c>
      <c r="C70" s="31"/>
      <c r="D70" s="31"/>
    </row>
    <row r="71" spans="2:4" x14ac:dyDescent="0.2">
      <c r="B71" s="6" t="s">
        <v>14</v>
      </c>
      <c r="C71" s="17">
        <v>1.00854450666398</v>
      </c>
      <c r="D71" s="6" t="s">
        <v>15</v>
      </c>
    </row>
    <row r="72" spans="2:4" x14ac:dyDescent="0.2">
      <c r="B72" s="6" t="s">
        <v>130</v>
      </c>
      <c r="C72" s="23">
        <v>1.7265641515845801E-5</v>
      </c>
      <c r="D72" s="6" t="s">
        <v>129</v>
      </c>
    </row>
    <row r="73" spans="2:4" x14ac:dyDescent="0.2">
      <c r="B73" s="6" t="s">
        <v>123</v>
      </c>
      <c r="C73" s="17">
        <v>332.721752148093</v>
      </c>
      <c r="D73" s="6" t="s">
        <v>10</v>
      </c>
    </row>
    <row r="74" spans="2:4" x14ac:dyDescent="0.2">
      <c r="B74" s="6" t="s">
        <v>16</v>
      </c>
      <c r="C74" s="1">
        <v>9.8005536647414697</v>
      </c>
      <c r="D74" s="6" t="s">
        <v>17</v>
      </c>
    </row>
    <row r="76" spans="2:4" x14ac:dyDescent="0.2">
      <c r="B76" s="30" t="s">
        <v>71</v>
      </c>
      <c r="C76" s="30"/>
      <c r="D76" s="30"/>
    </row>
    <row r="77" spans="2:4" x14ac:dyDescent="0.2">
      <c r="B77" s="6" t="s">
        <v>137</v>
      </c>
      <c r="C77" s="17">
        <v>30</v>
      </c>
    </row>
    <row r="78" spans="2:4" x14ac:dyDescent="0.2">
      <c r="B78" s="6" t="s">
        <v>139</v>
      </c>
      <c r="C78" s="17">
        <v>0.8</v>
      </c>
    </row>
    <row r="79" spans="2:4" x14ac:dyDescent="0.2">
      <c r="B79" s="6" t="s">
        <v>140</v>
      </c>
      <c r="C79" s="17">
        <v>0.8</v>
      </c>
    </row>
    <row r="80" spans="2:4" x14ac:dyDescent="0.2">
      <c r="B80" s="6" t="s">
        <v>141</v>
      </c>
      <c r="C80" s="17">
        <v>0.8</v>
      </c>
    </row>
    <row r="81" spans="2:4" x14ac:dyDescent="0.2">
      <c r="B81" s="6" t="s">
        <v>202</v>
      </c>
      <c r="C81" s="17">
        <v>5</v>
      </c>
      <c r="D81" s="6" t="s">
        <v>40</v>
      </c>
    </row>
  </sheetData>
  <mergeCells count="23"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J9:L9"/>
    <mergeCell ref="B53:D53"/>
    <mergeCell ref="B59:D59"/>
    <mergeCell ref="B64:D64"/>
    <mergeCell ref="B70:D70"/>
    <mergeCell ref="B76:D76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multirotor_opt_weight</vt:lpstr>
      <vt:lpstr>multirotor_opt_energy</vt:lpstr>
      <vt:lpstr>multirotor_opt_time</vt:lpstr>
      <vt:lpstr>liftcruise_opt_weight</vt:lpstr>
      <vt:lpstr>liftcruise_opt_energy</vt:lpstr>
      <vt:lpstr>liftcruise_opt_time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2025-06-30T14:18:11Z</dcterms:modified>
</cp:coreProperties>
</file>