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analyses_of_ref_vehicle/1_aerodynamic_analysis/"/>
    </mc:Choice>
  </mc:AlternateContent>
  <xr:revisionPtr revIDLastSave="0" documentId="13_ncr:1_{BF3A515D-8615-B143-824C-66EF624D9077}" xr6:coauthVersionLast="47" xr6:coauthVersionMax="47" xr10:uidLastSave="{00000000-0000-0000-0000-000000000000}"/>
  <bookViews>
    <workbookView xWindow="15320" yWindow="740" windowWidth="14920" windowHeight="18900" activeTab="1" xr2:uid="{5EC0E62E-FE45-5247-ADB4-6FC5840AA93C}"/>
  </bookViews>
  <sheets>
    <sheet name="multirotor" sheetId="3" r:id="rId1"/>
    <sheet name="liftcru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20" i="3"/>
  <c r="H19" i="3"/>
  <c r="H18" i="3"/>
  <c r="L7" i="2"/>
  <c r="M7" i="2" s="1"/>
  <c r="Q7" i="2" s="1"/>
  <c r="L6" i="2"/>
  <c r="L5" i="2"/>
  <c r="L4" i="2"/>
  <c r="L3" i="2"/>
  <c r="I7" i="2"/>
  <c r="K7" i="2" s="1"/>
  <c r="I3" i="2"/>
  <c r="K3" i="2" s="1"/>
  <c r="C12" i="2"/>
  <c r="C12" i="3"/>
  <c r="C11" i="2"/>
  <c r="C11" i="3"/>
  <c r="K10" i="3"/>
  <c r="L10" i="3" s="1"/>
  <c r="L3" i="3"/>
  <c r="I3" i="3"/>
  <c r="C2" i="3"/>
  <c r="P7" i="3"/>
  <c r="P6" i="3"/>
  <c r="P5" i="3"/>
  <c r="P4" i="3"/>
  <c r="O7" i="3"/>
  <c r="O6" i="3"/>
  <c r="O5" i="3"/>
  <c r="O4" i="3"/>
  <c r="K13" i="2"/>
  <c r="O9" i="2"/>
  <c r="O8" i="2"/>
  <c r="O10" i="2"/>
  <c r="O7" i="2"/>
  <c r="O6" i="2"/>
  <c r="O5" i="2"/>
  <c r="O4" i="2"/>
  <c r="P10" i="2"/>
  <c r="P9" i="2"/>
  <c r="P8" i="2"/>
  <c r="P7" i="2"/>
  <c r="P6" i="2"/>
  <c r="P5" i="2"/>
  <c r="P4" i="2"/>
  <c r="K6" i="2"/>
  <c r="K5" i="2"/>
  <c r="K4" i="2"/>
  <c r="L7" i="3"/>
  <c r="L6" i="3"/>
  <c r="L5" i="3"/>
  <c r="L4" i="3"/>
  <c r="C25" i="3"/>
  <c r="I6" i="3" s="1"/>
  <c r="K6" i="3" s="1"/>
  <c r="C20" i="3"/>
  <c r="I4" i="3" s="1"/>
  <c r="K4" i="3" s="1"/>
  <c r="L10" i="2"/>
  <c r="L9" i="2"/>
  <c r="L8" i="2"/>
  <c r="K16" i="2"/>
  <c r="R7" i="2" l="1"/>
  <c r="T7" i="2" s="1"/>
  <c r="M5" i="2"/>
  <c r="Q5" i="2" s="1"/>
  <c r="R5" i="2" s="1"/>
  <c r="T5" i="2" s="1"/>
  <c r="M6" i="2"/>
  <c r="Q6" i="2" s="1"/>
  <c r="R6" i="2" s="1"/>
  <c r="T6" i="2" s="1"/>
  <c r="M8" i="2"/>
  <c r="Q8" i="2" s="1"/>
  <c r="R8" i="2" s="1"/>
  <c r="M9" i="2"/>
  <c r="Q9" i="2" s="1"/>
  <c r="R9" i="2" s="1"/>
  <c r="M3" i="2"/>
  <c r="Q3" i="2" s="1"/>
  <c r="M10" i="2"/>
  <c r="Q10" i="2" s="1"/>
  <c r="R10" i="2" s="1"/>
  <c r="M4" i="2"/>
  <c r="Q4" i="2" s="1"/>
  <c r="R4" i="2" s="1"/>
  <c r="T4" i="2" s="1"/>
  <c r="I5" i="3"/>
  <c r="K5" i="3" s="1"/>
  <c r="I7" i="3"/>
  <c r="K7" i="3" s="1"/>
  <c r="K15" i="3"/>
  <c r="L15" i="3" s="1"/>
  <c r="K14" i="3"/>
  <c r="L14" i="3" s="1"/>
  <c r="K13" i="3"/>
  <c r="L13" i="3" s="1"/>
  <c r="K12" i="3"/>
  <c r="L12" i="3" s="1"/>
  <c r="K11" i="3"/>
  <c r="L11" i="3" s="1"/>
  <c r="P3" i="3"/>
  <c r="O3" i="3"/>
  <c r="K3" i="3"/>
  <c r="L13" i="2"/>
  <c r="M7" i="3" l="1"/>
  <c r="Q7" i="3" s="1"/>
  <c r="R7" i="3" s="1"/>
  <c r="T7" i="3" s="1"/>
  <c r="U7" i="3" s="1"/>
  <c r="M6" i="3"/>
  <c r="Q6" i="3" s="1"/>
  <c r="R6" i="3" s="1"/>
  <c r="T6" i="3" s="1"/>
  <c r="U6" i="3" s="1"/>
  <c r="M4" i="3"/>
  <c r="Q4" i="3" s="1"/>
  <c r="R4" i="3" s="1"/>
  <c r="T4" i="3" s="1"/>
  <c r="U4" i="3" s="1"/>
  <c r="M5" i="3"/>
  <c r="Q5" i="3" s="1"/>
  <c r="R5" i="3" s="1"/>
  <c r="M3" i="3"/>
  <c r="Q3" i="3" s="1"/>
  <c r="H30" i="3"/>
  <c r="I10" i="2"/>
  <c r="K10" i="2" s="1"/>
  <c r="T10" i="2" s="1"/>
  <c r="I9" i="2"/>
  <c r="K9" i="2" s="1"/>
  <c r="T9" i="2" s="1"/>
  <c r="I8" i="2"/>
  <c r="K8" i="2" s="1"/>
  <c r="T8" i="2" s="1"/>
  <c r="K18" i="2"/>
  <c r="L18" i="2" s="1"/>
  <c r="K17" i="2"/>
  <c r="L17" i="2" s="1"/>
  <c r="L16" i="2"/>
  <c r="K15" i="2"/>
  <c r="L15" i="2" s="1"/>
  <c r="K14" i="2"/>
  <c r="L14" i="2" s="1"/>
  <c r="P3" i="2"/>
  <c r="O3" i="2"/>
  <c r="R3" i="2" l="1"/>
  <c r="T3" i="2" s="1"/>
  <c r="T5" i="3"/>
  <c r="U5" i="3" s="1"/>
  <c r="H29" i="3" s="1"/>
  <c r="R3" i="3"/>
  <c r="H38" i="2"/>
  <c r="U4" i="2"/>
  <c r="U10" i="2"/>
  <c r="U5" i="2"/>
  <c r="H35" i="2" s="1"/>
  <c r="U7" i="2"/>
  <c r="U6" i="2"/>
  <c r="H36" i="2" s="1"/>
  <c r="U8" i="2"/>
  <c r="U9" i="2"/>
  <c r="U3" i="2" l="1"/>
  <c r="H26" i="2"/>
  <c r="T3" i="3"/>
  <c r="H21" i="3" s="1"/>
  <c r="H34" i="2"/>
  <c r="H27" i="2"/>
  <c r="H37" i="2"/>
  <c r="U3" i="3" l="1"/>
  <c r="H33" i="2"/>
  <c r="H39" i="2" s="1"/>
  <c r="H41" i="2" s="1"/>
  <c r="I38" i="2"/>
  <c r="H28" i="3" l="1"/>
  <c r="H22" i="3"/>
  <c r="M13" i="2"/>
  <c r="I37" i="2"/>
  <c r="M16" i="2"/>
  <c r="M14" i="2"/>
  <c r="V7" i="2"/>
  <c r="I33" i="2"/>
  <c r="I34" i="2"/>
  <c r="M18" i="2"/>
  <c r="M15" i="2"/>
  <c r="I35" i="2"/>
  <c r="V10" i="2"/>
  <c r="I36" i="2"/>
  <c r="V6" i="2"/>
  <c r="V3" i="2"/>
  <c r="V5" i="2"/>
  <c r="V8" i="2"/>
  <c r="M17" i="2"/>
  <c r="V4" i="2"/>
  <c r="V9" i="2"/>
  <c r="M12" i="3" l="1"/>
  <c r="M15" i="3"/>
  <c r="V3" i="3"/>
  <c r="V4" i="3"/>
  <c r="V5" i="3"/>
  <c r="M14" i="3"/>
  <c r="M11" i="3"/>
  <c r="M13" i="3"/>
  <c r="I30" i="3"/>
  <c r="I29" i="3"/>
  <c r="V6" i="3"/>
  <c r="M10" i="3"/>
  <c r="V7" i="3"/>
  <c r="H31" i="3"/>
  <c r="H33" i="3" s="1"/>
  <c r="I28" i="3"/>
  <c r="H28" i="2"/>
  <c r="I39" i="2"/>
  <c r="I31" i="3" l="1"/>
  <c r="H23" i="3"/>
</calcChain>
</file>

<file path=xl/sharedStrings.xml><?xml version="1.0" encoding="utf-8"?>
<sst xmlns="http://schemas.openxmlformats.org/spreadsheetml/2006/main" count="222" uniqueCount="91">
  <si>
    <t>Sref</t>
  </si>
  <si>
    <t>v_inf</t>
  </si>
  <si>
    <t>m/s</t>
  </si>
  <si>
    <t>m**2</t>
  </si>
  <si>
    <t>alt</t>
  </si>
  <si>
    <t>m</t>
  </si>
  <si>
    <t>dTemp</t>
  </si>
  <si>
    <t>Temp</t>
  </si>
  <si>
    <t>K</t>
  </si>
  <si>
    <t>Pres</t>
  </si>
  <si>
    <t>Pa</t>
  </si>
  <si>
    <t>Density</t>
  </si>
  <si>
    <t>kg/m**3</t>
  </si>
  <si>
    <t>Gamma</t>
  </si>
  <si>
    <t>Dyn Visc</t>
  </si>
  <si>
    <t>kg/m-s</t>
  </si>
  <si>
    <t>Re/L</t>
  </si>
  <si>
    <t>Mach</t>
  </si>
  <si>
    <t>1/m</t>
  </si>
  <si>
    <t>No</t>
  </si>
  <si>
    <t>Component</t>
  </si>
  <si>
    <t>S_wet (m**2)</t>
  </si>
  <si>
    <t>FF Eq</t>
  </si>
  <si>
    <t>FF</t>
  </si>
  <si>
    <t>f (m**2)</t>
  </si>
  <si>
    <t>%</t>
  </si>
  <si>
    <t>Fuselage</t>
  </si>
  <si>
    <t>Wing</t>
  </si>
  <si>
    <t>H Tail</t>
  </si>
  <si>
    <t>V Tail</t>
  </si>
  <si>
    <t>Hoerner Streamlined Body</t>
  </si>
  <si>
    <t>Hoerner</t>
  </si>
  <si>
    <t>C_D0</t>
  </si>
  <si>
    <t>length</t>
  </si>
  <si>
    <t>d_max</t>
  </si>
  <si>
    <t>t/c or l/d</t>
  </si>
  <si>
    <t>L_ref (m)</t>
  </si>
  <si>
    <t>%Lam</t>
  </si>
  <si>
    <t>C_f (1E-3)</t>
  </si>
  <si>
    <t>Q</t>
  </si>
  <si>
    <t>C_f_turb (1E-3)</t>
  </si>
  <si>
    <t>C_f_%lam (1E-3)</t>
  </si>
  <si>
    <t>C_f_%turb (1E-3)</t>
  </si>
  <si>
    <t>Boom 1</t>
  </si>
  <si>
    <t>Boom 4</t>
  </si>
  <si>
    <t>Boom 2</t>
  </si>
  <si>
    <t>Boom 3</t>
  </si>
  <si>
    <t>Main strut LG 1</t>
  </si>
  <si>
    <t>Main strut LG 2</t>
  </si>
  <si>
    <t>Nose strut LG</t>
  </si>
  <si>
    <t>Nose Wheel LG</t>
  </si>
  <si>
    <t>Main Wheel LG 1</t>
  </si>
  <si>
    <t>Main Wheel LG 2</t>
  </si>
  <si>
    <t>CD_pi</t>
  </si>
  <si>
    <t>S_front (m**2)</t>
  </si>
  <si>
    <t>D/q</t>
  </si>
  <si>
    <t>CD_0</t>
  </si>
  <si>
    <t>CD_0 total</t>
  </si>
  <si>
    <t>Boom</t>
  </si>
  <si>
    <t>%total</t>
  </si>
  <si>
    <t>Summary</t>
  </si>
  <si>
    <t>Booms</t>
  </si>
  <si>
    <t>Landing gears</t>
  </si>
  <si>
    <t>Total</t>
  </si>
  <si>
    <t>Re</t>
  </si>
  <si>
    <t>Boom 1&amp;2</t>
  </si>
  <si>
    <t>radius</t>
  </si>
  <si>
    <t>Lift rotor</t>
  </si>
  <si>
    <t>Boom 3&amp;4</t>
  </si>
  <si>
    <t>t/c</t>
  </si>
  <si>
    <t>area</t>
  </si>
  <si>
    <t>AR</t>
  </si>
  <si>
    <t>m2</t>
  </si>
  <si>
    <t>Total Drag</t>
  </si>
  <si>
    <t>N</t>
  </si>
  <si>
    <t>Skid front 1</t>
  </si>
  <si>
    <t>Skid front 2</t>
  </si>
  <si>
    <t>Skid side 1</t>
  </si>
  <si>
    <t>Skid side 2</t>
  </si>
  <si>
    <t>Skid rear 1</t>
  </si>
  <si>
    <t>Skid rear 2</t>
  </si>
  <si>
    <t>f_total</t>
  </si>
  <si>
    <t>aspect_ratio</t>
  </si>
  <si>
    <t>Htail</t>
  </si>
  <si>
    <t>Vtail</t>
  </si>
  <si>
    <t>f_fuselage</t>
  </si>
  <si>
    <t>f_booms</t>
  </si>
  <si>
    <t>f_landing_gears</t>
  </si>
  <si>
    <t>f_wing</t>
  </si>
  <si>
    <t>f_htail</t>
  </si>
  <si>
    <t>f_vtail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</si>
</sst>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FF00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Parasite Drag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5F-7047-9631-74609253A0D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5F-7047-9631-74609253A0D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5F-7047-9631-74609253A0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multirotor!$G$28:$G$30</c:f>
              <c:strCache>
                <c:ptCount val="3"/>
                <c:pt idx="0">
                  <c:v>Fuselage</c:v>
                </c:pt>
                <c:pt idx="1">
                  <c:v>Booms</c:v>
                </c:pt>
                <c:pt idx="2">
                  <c:v>Landing gears</c:v>
                </c:pt>
              </c:strCache>
            </c:strRef>
          </c:cat>
          <c:val>
            <c:numRef>
              <c:f>multirotor!$I$28:$I$30</c:f>
              <c:numCache>
                <c:formatCode>General</c:formatCode>
                <c:ptCount val="3"/>
                <c:pt idx="0">
                  <c:v>19.614773383869185</c:v>
                </c:pt>
                <c:pt idx="1">
                  <c:v>67.533395594494721</c:v>
                </c:pt>
                <c:pt idx="2">
                  <c:v>12.851831021636078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5F-7047-9631-74609253A0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Parasite Drag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2F-FE4A-9815-F284DD02571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2F-FE4A-9815-F284DD02571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2F-FE4A-9815-F284DD02571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2F-FE4A-9815-F284DD02571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2F-FE4A-9815-F284DD02571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1D5-9F4E-A50F-3BDDBDA71D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liftcruise!$G$33:$G$38</c:f>
              <c:strCache>
                <c:ptCount val="6"/>
                <c:pt idx="0">
                  <c:v>Fuselage</c:v>
                </c:pt>
                <c:pt idx="1">
                  <c:v>Wing</c:v>
                </c:pt>
                <c:pt idx="2">
                  <c:v>H Tail</c:v>
                </c:pt>
                <c:pt idx="3">
                  <c:v>V Tail</c:v>
                </c:pt>
                <c:pt idx="4">
                  <c:v>Booms</c:v>
                </c:pt>
                <c:pt idx="5">
                  <c:v>Landing gears</c:v>
                </c:pt>
              </c:strCache>
            </c:strRef>
          </c:cat>
          <c:val>
            <c:numRef>
              <c:f>liftcruise!$I$33:$I$38</c:f>
              <c:numCache>
                <c:formatCode>General</c:formatCode>
                <c:ptCount val="6"/>
                <c:pt idx="0">
                  <c:v>22.109546415349573</c:v>
                </c:pt>
                <c:pt idx="1">
                  <c:v>39.841222684437135</c:v>
                </c:pt>
                <c:pt idx="2">
                  <c:v>7.9540655279475612</c:v>
                </c:pt>
                <c:pt idx="3">
                  <c:v>5.1654459159578705</c:v>
                </c:pt>
                <c:pt idx="4">
                  <c:v>13.729766696729017</c:v>
                </c:pt>
                <c:pt idx="5">
                  <c:v>11.19995275957886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2F-FE4A-9815-F284DD02571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718820</xdr:colOff>
      <xdr:row>16</xdr:row>
      <xdr:rowOff>185420</xdr:rowOff>
    </xdr:from>
    <xdr:to>
      <xdr:col>12</xdr:col>
      <xdr:colOff>325120</xdr:colOff>
      <xdr:row>28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E7B74-7BDB-574B-A50E-3812332A2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932180</xdr:colOff>
      <xdr:row>20</xdr:row>
      <xdr:rowOff>43180</xdr:rowOff>
    </xdr:from>
    <xdr:to>
      <xdr:col>12</xdr:col>
      <xdr:colOff>538480</xdr:colOff>
      <xdr:row>32</xdr:row>
      <xdr:rowOff>17780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1FB85-B9FA-7A4C-8A39-F960F93A1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BCE7-ACBF-7C4C-98A2-383093A25355}">
  <dimension ref="B2:V40"/>
  <sheetViews>
    <sheetView topLeftCell="D1" zoomScale="125" workbookViewId="0">
      <selection activeCell="H24" sqref="H24"/>
    </sheetView>
  </sheetViews>
  <sheetFormatPr baseColWidth="10" defaultRowHeight="16" x14ac:dyDescent="0.2"/>
  <cols>
    <col min="1" max="2" width="10.83203125" style="3"/>
    <col min="3" max="3" width="12.5" style="3" bestFit="1" customWidth="1"/>
    <col min="4" max="5" width="10.83203125" style="3"/>
    <col min="6" max="6" width="5.33203125" style="3" customWidth="1"/>
    <col min="7" max="7" width="17.5" style="3" customWidth="1"/>
    <col min="8" max="9" width="12.83203125" style="3" customWidth="1"/>
    <col min="10" max="10" width="24" style="3" customWidth="1"/>
    <col min="11" max="14" width="10.83203125" style="3"/>
    <col min="15" max="15" width="14.33203125" style="3" customWidth="1"/>
    <col min="16" max="16" width="15" style="3" customWidth="1"/>
    <col min="17" max="18" width="13.5" style="3" customWidth="1"/>
    <col min="19" max="19" width="10.83203125" style="3"/>
    <col min="20" max="20" width="10" style="3" customWidth="1"/>
    <col min="21" max="21" width="10.83203125" style="3"/>
    <col min="22" max="22" width="10.5" style="3" customWidth="1"/>
    <col min="23" max="16384" width="10.83203125" style="3"/>
  </cols>
  <sheetData>
    <row r="2" spans="2:22" x14ac:dyDescent="0.2">
      <c r="B2" s="3" t="s">
        <v>0</v>
      </c>
      <c r="C2" s="3">
        <f>PI()*C30*C30</f>
        <v>55.582486455932631</v>
      </c>
      <c r="D2" s="3" t="s">
        <v>3</v>
      </c>
      <c r="F2" s="4" t="s">
        <v>19</v>
      </c>
      <c r="G2" s="4" t="s">
        <v>20</v>
      </c>
      <c r="H2" s="4" t="s">
        <v>21</v>
      </c>
      <c r="I2" s="4" t="s">
        <v>35</v>
      </c>
      <c r="J2" s="4" t="s">
        <v>22</v>
      </c>
      <c r="K2" s="4" t="s">
        <v>23</v>
      </c>
      <c r="L2" s="4" t="s">
        <v>36</v>
      </c>
      <c r="M2" s="4" t="s">
        <v>64</v>
      </c>
      <c r="N2" s="4" t="s">
        <v>37</v>
      </c>
      <c r="O2" s="4" t="s">
        <v>41</v>
      </c>
      <c r="P2" s="4" t="s">
        <v>42</v>
      </c>
      <c r="Q2" s="4" t="s">
        <v>40</v>
      </c>
      <c r="R2" s="4" t="s">
        <v>38</v>
      </c>
      <c r="S2" s="4" t="s">
        <v>39</v>
      </c>
      <c r="T2" s="4" t="s">
        <v>24</v>
      </c>
      <c r="U2" s="4" t="s">
        <v>32</v>
      </c>
      <c r="V2" s="4" t="s">
        <v>25</v>
      </c>
    </row>
    <row r="3" spans="2:22" x14ac:dyDescent="0.2">
      <c r="B3" s="3" t="s">
        <v>1</v>
      </c>
      <c r="C3" s="3">
        <v>50</v>
      </c>
      <c r="D3" s="3" t="s">
        <v>2</v>
      </c>
      <c r="F3" s="1">
        <v>1</v>
      </c>
      <c r="G3" s="1" t="s">
        <v>26</v>
      </c>
      <c r="H3" s="1">
        <v>31.480157120000001</v>
      </c>
      <c r="I3" s="1">
        <f>C16/C17</f>
        <v>3.11318656882366</v>
      </c>
      <c r="J3" s="1" t="s">
        <v>30</v>
      </c>
      <c r="K3" s="1">
        <f>1+1.5/(I3)^1.5+7/(I3)^3</f>
        <v>1.505073123734245</v>
      </c>
      <c r="L3" s="1">
        <f>C16</f>
        <v>6.4008000000000003</v>
      </c>
      <c r="M3" s="1">
        <f>$C$11*L3</f>
        <v>19403294.410453267</v>
      </c>
      <c r="N3" s="1">
        <v>0</v>
      </c>
      <c r="O3" s="1">
        <f>IF(N3=0,0,1.32824/SQRT((N3/100)*M3)*1000)</f>
        <v>0</v>
      </c>
      <c r="P3" s="1">
        <f>IF(N3=0,0,0.455/((LOG((N3/100)*M3))^2.58) * 1000)</f>
        <v>0</v>
      </c>
      <c r="Q3" s="1">
        <f t="shared" ref="Q3:Q7" si="0">0.455/((LOG(M3))^2.58) * 1000</f>
        <v>2.7070792059493725</v>
      </c>
      <c r="R3" s="1">
        <f>(Q3-N3/100*P3+N3/100*O3)/1000</f>
        <v>2.7070792059493724E-3</v>
      </c>
      <c r="S3" s="1">
        <v>1</v>
      </c>
      <c r="T3" s="1">
        <f>H3*S3*R3*K3</f>
        <v>0.12826124605494557</v>
      </c>
      <c r="U3" s="1">
        <f>T3/$C$2</f>
        <v>2.3075838134127865E-3</v>
      </c>
      <c r="V3" s="1">
        <f>ROUND(U3/$H$22 * 100,2)</f>
        <v>19.61</v>
      </c>
    </row>
    <row r="4" spans="2:22" x14ac:dyDescent="0.2">
      <c r="B4" s="3" t="s">
        <v>4</v>
      </c>
      <c r="C4" s="3">
        <v>1524</v>
      </c>
      <c r="D4" s="3" t="s">
        <v>5</v>
      </c>
      <c r="F4" s="1">
        <v>2</v>
      </c>
      <c r="G4" s="1" t="s">
        <v>43</v>
      </c>
      <c r="H4" s="1">
        <v>13.9413407</v>
      </c>
      <c r="I4" s="1">
        <f>C20</f>
        <v>0.25333333333333335</v>
      </c>
      <c r="J4" s="1" t="s">
        <v>31</v>
      </c>
      <c r="K4" s="1">
        <f>1+2*(I4)+60*(I4)^4</f>
        <v>1.7537938962962967</v>
      </c>
      <c r="L4" s="1">
        <f>SQRT($C$21/$C$22)</f>
        <v>1.3139050554054734</v>
      </c>
      <c r="M4" s="1">
        <f>$C$11*L4</f>
        <v>3982953.1648255396</v>
      </c>
      <c r="N4" s="1">
        <v>0</v>
      </c>
      <c r="O4" s="1">
        <f>IF(N4=0,0,1.32824/SQRT((N4/100)*M4)*1000)</f>
        <v>0</v>
      </c>
      <c r="P4" s="1">
        <f>IF(N4=0,0,0.455/((LOG((N4/100)*M4))^2.58) * 1000)</f>
        <v>0</v>
      </c>
      <c r="Q4" s="1">
        <f t="shared" si="0"/>
        <v>3.4958533581382869</v>
      </c>
      <c r="R4" s="1">
        <f>(Q4-N4/100*P4+N4/100*O4)/1000</f>
        <v>3.495853358138287E-3</v>
      </c>
      <c r="S4" s="1">
        <v>1.3</v>
      </c>
      <c r="T4" s="1">
        <f t="shared" ref="T4:T7" si="1">H4*S4*R4*K4</f>
        <v>0.11111678163184149</v>
      </c>
      <c r="U4" s="1">
        <f t="shared" ref="U4:U7" si="2">T4/$C$2</f>
        <v>1.9991329772542296E-3</v>
      </c>
      <c r="V4" s="1">
        <f>ROUND(U4/$H$22 * 100,2)</f>
        <v>16.989999999999998</v>
      </c>
    </row>
    <row r="5" spans="2:22" x14ac:dyDescent="0.2">
      <c r="B5" s="3" t="s">
        <v>7</v>
      </c>
      <c r="C5" s="3">
        <v>278.24399999999901</v>
      </c>
      <c r="D5" s="3" t="s">
        <v>8</v>
      </c>
      <c r="F5" s="1">
        <v>3</v>
      </c>
      <c r="G5" s="1" t="s">
        <v>45</v>
      </c>
      <c r="H5" s="1">
        <v>14.074949780000001</v>
      </c>
      <c r="I5" s="1">
        <f>C20</f>
        <v>0.25333333333333335</v>
      </c>
      <c r="J5" s="1" t="s">
        <v>31</v>
      </c>
      <c r="K5" s="1">
        <f>1+2*(I5)+60*(I5)^4</f>
        <v>1.7537938962962967</v>
      </c>
      <c r="L5" s="1">
        <f>SQRT($C$21/$C$22)</f>
        <v>1.3139050554054734</v>
      </c>
      <c r="M5" s="1">
        <f>$C$11*L5</f>
        <v>3982953.1648255396</v>
      </c>
      <c r="N5" s="1">
        <v>0</v>
      </c>
      <c r="O5" s="1">
        <f>IF(N5=0,0,1.32824/SQRT((N5/100)*M5)*1000)</f>
        <v>0</v>
      </c>
      <c r="P5" s="1">
        <f>IF(N5=0,0,0.455/((LOG((N5/100)*M5))^2.58) * 1000)</f>
        <v>0</v>
      </c>
      <c r="Q5" s="1">
        <f t="shared" si="0"/>
        <v>3.4958533581382869</v>
      </c>
      <c r="R5" s="1">
        <f>(Q5-N5/100*P5+N5/100*O5)/1000</f>
        <v>3.495853358138287E-3</v>
      </c>
      <c r="S5" s="1">
        <v>1.3</v>
      </c>
      <c r="T5" s="1">
        <f t="shared" si="1"/>
        <v>0.11218168717327133</v>
      </c>
      <c r="U5" s="1">
        <f t="shared" si="2"/>
        <v>2.0182919895498403E-3</v>
      </c>
      <c r="V5" s="1">
        <f>ROUND(U5/$H$22 * 100,2)</f>
        <v>17.16</v>
      </c>
    </row>
    <row r="6" spans="2:22" x14ac:dyDescent="0.2">
      <c r="B6" s="3" t="s">
        <v>6</v>
      </c>
      <c r="C6" s="3">
        <v>0</v>
      </c>
      <c r="D6" s="3" t="s">
        <v>8</v>
      </c>
      <c r="F6" s="1">
        <v>4</v>
      </c>
      <c r="G6" s="1" t="s">
        <v>46</v>
      </c>
      <c r="H6" s="1">
        <v>12.743977020000001</v>
      </c>
      <c r="I6" s="1">
        <f>C25</f>
        <v>0.26636500000000002</v>
      </c>
      <c r="J6" s="1" t="s">
        <v>31</v>
      </c>
      <c r="K6" s="1">
        <f>1+2*(I6)+60*(I6)^4</f>
        <v>1.8347668168035365</v>
      </c>
      <c r="L6" s="1">
        <f>SQRT($C$26/$C$27)</f>
        <v>1.1937783065588858</v>
      </c>
      <c r="M6" s="1">
        <f>$C$11*L6</f>
        <v>3618802.6407596548</v>
      </c>
      <c r="N6" s="1">
        <v>0</v>
      </c>
      <c r="O6" s="1">
        <f>IF(N6=0,0,1.32824/SQRT((N6/100)*M6)*1000)</f>
        <v>0</v>
      </c>
      <c r="P6" s="1">
        <f>IF(N6=0,0,0.455/((LOG((N6/100)*M6))^2.58) * 1000)</f>
        <v>0</v>
      </c>
      <c r="Q6" s="1">
        <f t="shared" si="0"/>
        <v>3.5534044358725225</v>
      </c>
      <c r="R6" s="1">
        <f>(Q6-N6/100*P6+N6/100*O6)/1000</f>
        <v>3.5534044358725226E-3</v>
      </c>
      <c r="S6" s="1">
        <v>1.3</v>
      </c>
      <c r="T6" s="1">
        <f t="shared" si="1"/>
        <v>0.10801245796044064</v>
      </c>
      <c r="U6" s="1">
        <f t="shared" si="2"/>
        <v>1.9432822251677418E-3</v>
      </c>
      <c r="V6" s="1">
        <f>ROUND(U6/$H$22 * 100,2)</f>
        <v>16.52</v>
      </c>
    </row>
    <row r="7" spans="2:22" x14ac:dyDescent="0.2">
      <c r="B7" s="3" t="s">
        <v>9</v>
      </c>
      <c r="C7" s="3">
        <v>84314.678467682505</v>
      </c>
      <c r="D7" s="3" t="s">
        <v>10</v>
      </c>
      <c r="F7" s="1">
        <v>5</v>
      </c>
      <c r="G7" s="1" t="s">
        <v>44</v>
      </c>
      <c r="H7" s="1">
        <v>13.012787919999999</v>
      </c>
      <c r="I7" s="1">
        <f>C25</f>
        <v>0.26636500000000002</v>
      </c>
      <c r="J7" s="1" t="s">
        <v>31</v>
      </c>
      <c r="K7" s="1">
        <f>1+2*(I7)+60*(I7)^4</f>
        <v>1.8347668168035365</v>
      </c>
      <c r="L7" s="1">
        <f>SQRT($C$26/$C$27)</f>
        <v>1.1937783065588858</v>
      </c>
      <c r="M7" s="1">
        <f>$C$11*L7</f>
        <v>3618802.6407596548</v>
      </c>
      <c r="N7" s="1">
        <v>0</v>
      </c>
      <c r="O7" s="1">
        <f>IF(N7=0,0,1.32824/SQRT((N7/100)*M7)*1000)</f>
        <v>0</v>
      </c>
      <c r="P7" s="1">
        <f>IF(N7=0,0,0.455/((LOG((N7/100)*M7))^2.58) * 1000)</f>
        <v>0</v>
      </c>
      <c r="Q7" s="1">
        <f t="shared" si="0"/>
        <v>3.5534044358725225</v>
      </c>
      <c r="R7" s="1">
        <f>(Q7-N7/100*P7+N7/100*O7)/1000</f>
        <v>3.5534044358725226E-3</v>
      </c>
      <c r="S7" s="1">
        <v>1.3</v>
      </c>
      <c r="T7" s="1">
        <f t="shared" si="1"/>
        <v>0.11029078332072587</v>
      </c>
      <c r="U7" s="1">
        <f t="shared" si="2"/>
        <v>1.9842722115025841E-3</v>
      </c>
      <c r="V7" s="1">
        <f>ROUND(U7/$H$22 * 100,2)</f>
        <v>16.87</v>
      </c>
    </row>
    <row r="8" spans="2:22" x14ac:dyDescent="0.2">
      <c r="B8" s="3" t="s">
        <v>11</v>
      </c>
      <c r="C8" s="3">
        <v>1.05563913070961</v>
      </c>
      <c r="D8" s="3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</row>
    <row r="9" spans="2:22" x14ac:dyDescent="0.2">
      <c r="B9" s="3" t="s">
        <v>13</v>
      </c>
      <c r="C9" s="3">
        <v>1.4</v>
      </c>
      <c r="F9" s="4" t="s">
        <v>19</v>
      </c>
      <c r="G9" s="4" t="s">
        <v>20</v>
      </c>
      <c r="H9" s="4" t="s">
        <v>21</v>
      </c>
      <c r="I9" s="4" t="s">
        <v>53</v>
      </c>
      <c r="J9" s="4" t="s">
        <v>54</v>
      </c>
      <c r="K9" s="4" t="s">
        <v>55</v>
      </c>
      <c r="L9" s="4" t="s">
        <v>56</v>
      </c>
      <c r="M9" s="4" t="s">
        <v>25</v>
      </c>
      <c r="N9" s="1"/>
      <c r="O9" s="1"/>
      <c r="Q9" s="1"/>
      <c r="R9" s="1"/>
      <c r="S9" s="1"/>
      <c r="T9" s="1"/>
      <c r="U9" s="1"/>
      <c r="V9" s="1"/>
    </row>
    <row r="10" spans="2:22" x14ac:dyDescent="0.2">
      <c r="B10" s="3" t="s">
        <v>14</v>
      </c>
      <c r="C10" s="3">
        <v>1.7411824005015001E-5</v>
      </c>
      <c r="D10" s="3" t="s">
        <v>15</v>
      </c>
      <c r="F10" s="1">
        <v>1</v>
      </c>
      <c r="G10" s="1" t="s">
        <v>75</v>
      </c>
      <c r="H10" s="1">
        <v>0.42</v>
      </c>
      <c r="I10" s="1">
        <v>1.01</v>
      </c>
      <c r="J10" s="1">
        <v>1.56419E-2</v>
      </c>
      <c r="K10" s="1">
        <f>I10*J10</f>
        <v>1.5798319000000002E-2</v>
      </c>
      <c r="L10" s="1">
        <f>K10/$C$2</f>
        <v>2.8423195879380739E-4</v>
      </c>
      <c r="M10" s="1">
        <f t="shared" ref="M10:M15" si="3">ROUND(L10/$H$22 * 100,2)</f>
        <v>2.42</v>
      </c>
      <c r="N10" s="1"/>
      <c r="O10" s="1"/>
      <c r="Q10" s="1"/>
      <c r="R10" s="1"/>
      <c r="S10" s="1"/>
      <c r="T10" s="1"/>
      <c r="U10" s="1"/>
      <c r="V10" s="1"/>
    </row>
    <row r="11" spans="2:22" x14ac:dyDescent="0.2">
      <c r="B11" s="3" t="s">
        <v>16</v>
      </c>
      <c r="C11" s="3">
        <f>C8*C3/C10</f>
        <v>3031385.8284047726</v>
      </c>
      <c r="D11" s="3" t="s">
        <v>18</v>
      </c>
      <c r="F11" s="1">
        <v>2</v>
      </c>
      <c r="G11" s="1" t="s">
        <v>76</v>
      </c>
      <c r="H11" s="1">
        <v>0.42</v>
      </c>
      <c r="I11" s="1">
        <v>1.01</v>
      </c>
      <c r="J11" s="1">
        <v>1.56419E-2</v>
      </c>
      <c r="K11" s="1">
        <f t="shared" ref="K11:K15" si="4">I11*J11</f>
        <v>1.5798319000000002E-2</v>
      </c>
      <c r="L11" s="1">
        <f t="shared" ref="L11:L15" si="5">K11/$C$2</f>
        <v>2.8423195879380739E-4</v>
      </c>
      <c r="M11" s="1">
        <f t="shared" si="3"/>
        <v>2.42</v>
      </c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">
      <c r="B12" s="3" t="s">
        <v>17</v>
      </c>
      <c r="C12" s="3">
        <f>C3/334.512939421475</f>
        <v>0.14947104912136655</v>
      </c>
      <c r="F12" s="1">
        <v>3</v>
      </c>
      <c r="G12" s="1" t="s">
        <v>77</v>
      </c>
      <c r="H12" s="1">
        <v>0.68</v>
      </c>
      <c r="I12" s="1">
        <v>1.01</v>
      </c>
      <c r="J12" s="1">
        <v>8.2390099999999997E-3</v>
      </c>
      <c r="K12" s="1">
        <f t="shared" si="4"/>
        <v>8.3214000999999992E-3</v>
      </c>
      <c r="L12" s="1">
        <f t="shared" si="5"/>
        <v>1.4971262767450033E-4</v>
      </c>
      <c r="M12" s="1">
        <f t="shared" si="3"/>
        <v>1.27</v>
      </c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">
      <c r="F13" s="1">
        <v>4</v>
      </c>
      <c r="G13" s="1" t="s">
        <v>78</v>
      </c>
      <c r="H13" s="1">
        <v>0.68</v>
      </c>
      <c r="I13" s="1">
        <v>1.01</v>
      </c>
      <c r="J13" s="1">
        <v>8.2390099999999997E-3</v>
      </c>
      <c r="K13" s="1">
        <f t="shared" si="4"/>
        <v>8.3214000999999992E-3</v>
      </c>
      <c r="L13" s="1">
        <f t="shared" si="5"/>
        <v>1.4971262767450033E-4</v>
      </c>
      <c r="M13" s="1">
        <f t="shared" si="3"/>
        <v>1.27</v>
      </c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">
      <c r="F14" s="1">
        <v>5</v>
      </c>
      <c r="G14" s="1" t="s">
        <v>79</v>
      </c>
      <c r="H14" s="1">
        <v>0.48</v>
      </c>
      <c r="I14" s="1">
        <v>1.01</v>
      </c>
      <c r="J14" s="1">
        <v>1.77222E-2</v>
      </c>
      <c r="K14" s="1">
        <f t="shared" si="4"/>
        <v>1.7899422000000002E-2</v>
      </c>
      <c r="L14" s="1">
        <f t="shared" si="5"/>
        <v>3.2203348826776883E-4</v>
      </c>
      <c r="M14" s="1">
        <f t="shared" si="3"/>
        <v>2.74</v>
      </c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">
      <c r="B15" s="5" t="s">
        <v>26</v>
      </c>
      <c r="F15" s="1">
        <v>6</v>
      </c>
      <c r="G15" s="1" t="s">
        <v>80</v>
      </c>
      <c r="H15" s="1">
        <v>0.48</v>
      </c>
      <c r="I15" s="1">
        <v>1.01</v>
      </c>
      <c r="J15" s="1">
        <v>1.77222E-2</v>
      </c>
      <c r="K15" s="1">
        <f t="shared" si="4"/>
        <v>1.7899422000000002E-2</v>
      </c>
      <c r="L15" s="1">
        <f t="shared" si="5"/>
        <v>3.2203348826776883E-4</v>
      </c>
      <c r="M15" s="1">
        <f t="shared" si="3"/>
        <v>2.74</v>
      </c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">
      <c r="B16" s="3" t="s">
        <v>33</v>
      </c>
      <c r="C16" s="3">
        <v>6.4008000000000003</v>
      </c>
      <c r="D16" s="3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">
      <c r="B17" s="3" t="s">
        <v>34</v>
      </c>
      <c r="C17" s="3">
        <v>2.0560284000000002</v>
      </c>
      <c r="D17" s="3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ht="16" customHeight="1" x14ac:dyDescent="0.2">
      <c r="F18" s="6" t="s">
        <v>85</v>
      </c>
      <c r="G18" s="6"/>
      <c r="H18" s="1">
        <f>T3</f>
        <v>0.12826124605494557</v>
      </c>
      <c r="I18" s="1" t="s">
        <v>72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">
      <c r="B19" s="5" t="s">
        <v>65</v>
      </c>
      <c r="F19" s="6" t="s">
        <v>86</v>
      </c>
      <c r="G19" s="6"/>
      <c r="H19" s="1">
        <f>SUM(T4:T7)</f>
        <v>0.44160171008627935</v>
      </c>
      <c r="I19" s="1" t="s">
        <v>72</v>
      </c>
      <c r="P19" s="1"/>
      <c r="Q19" s="1"/>
      <c r="R19" s="1"/>
      <c r="T19" s="1"/>
      <c r="U19" s="1"/>
      <c r="V19" s="1"/>
    </row>
    <row r="20" spans="2:22" ht="16" customHeight="1" x14ac:dyDescent="0.2">
      <c r="B20" s="3" t="s">
        <v>69</v>
      </c>
      <c r="C20" s="3">
        <f>(0.2+0.2+0.36)/3</f>
        <v>0.25333333333333335</v>
      </c>
      <c r="F20" s="6" t="s">
        <v>87</v>
      </c>
      <c r="G20" s="6"/>
      <c r="H20" s="1">
        <f>SUM(K10:K15)</f>
        <v>8.4038282200000008E-2</v>
      </c>
      <c r="I20" s="1" t="s">
        <v>72</v>
      </c>
      <c r="P20" s="1"/>
      <c r="Q20" s="1"/>
      <c r="R20" s="1"/>
    </row>
    <row r="21" spans="2:22" x14ac:dyDescent="0.2">
      <c r="B21" s="3" t="s">
        <v>70</v>
      </c>
      <c r="C21" s="3">
        <v>7.4333200000000001</v>
      </c>
      <c r="D21" s="3" t="s">
        <v>72</v>
      </c>
      <c r="F21" s="6" t="s">
        <v>81</v>
      </c>
      <c r="G21" s="6"/>
      <c r="H21" s="1">
        <f>SUM(T3:T7)+SUM(K10:K15)</f>
        <v>0.65390123834122482</v>
      </c>
      <c r="I21" s="1" t="s">
        <v>72</v>
      </c>
      <c r="P21" s="1"/>
      <c r="Q21" s="1"/>
      <c r="R21" s="1"/>
    </row>
    <row r="22" spans="2:22" x14ac:dyDescent="0.2">
      <c r="B22" s="3" t="s">
        <v>71</v>
      </c>
      <c r="C22" s="3">
        <v>4.3058100000000001</v>
      </c>
      <c r="F22" s="6" t="s">
        <v>57</v>
      </c>
      <c r="G22" s="6"/>
      <c r="H22" s="1">
        <f>SUM(U3:U7)+SUM(L10:L15)</f>
        <v>1.1764519366359335E-2</v>
      </c>
      <c r="I22" s="7"/>
      <c r="P22" s="1"/>
      <c r="Q22" s="1"/>
      <c r="R22" s="1"/>
      <c r="S22" s="1"/>
      <c r="T22" s="1"/>
      <c r="U22" s="1"/>
    </row>
    <row r="23" spans="2:22" x14ac:dyDescent="0.2">
      <c r="G23" s="3" t="s">
        <v>59</v>
      </c>
      <c r="H23" s="1">
        <f>SUM(V3:V7)+SUM(M10:M15)</f>
        <v>100.00999999999999</v>
      </c>
      <c r="P23" s="1"/>
      <c r="Q23" s="1"/>
      <c r="R23" s="1"/>
      <c r="S23" s="1"/>
      <c r="T23" s="1"/>
      <c r="U23" s="1"/>
    </row>
    <row r="24" spans="2:22" ht="16" customHeight="1" x14ac:dyDescent="0.2">
      <c r="B24" s="5" t="s">
        <v>68</v>
      </c>
      <c r="P24" s="1"/>
      <c r="Q24" s="1"/>
      <c r="R24" s="1"/>
      <c r="S24" s="1"/>
      <c r="T24" s="1"/>
      <c r="U24" s="1"/>
    </row>
    <row r="25" spans="2:22" x14ac:dyDescent="0.2">
      <c r="B25" s="3" t="s">
        <v>69</v>
      </c>
      <c r="C25" s="3">
        <f>(0.27273+0.27273+0.2+0.32)/4</f>
        <v>0.26636500000000002</v>
      </c>
      <c r="P25" s="1"/>
      <c r="Q25" s="1"/>
      <c r="R25" s="1"/>
      <c r="S25" s="1"/>
      <c r="T25" s="1"/>
      <c r="U25" s="1"/>
      <c r="V25" s="1"/>
    </row>
    <row r="26" spans="2:22" x14ac:dyDescent="0.2">
      <c r="B26" s="3" t="s">
        <v>70</v>
      </c>
      <c r="C26" s="3">
        <v>6.5445599999999997</v>
      </c>
      <c r="D26" s="3" t="s">
        <v>72</v>
      </c>
      <c r="F26" s="9" t="s">
        <v>60</v>
      </c>
      <c r="G26" s="9"/>
      <c r="H26" s="9"/>
      <c r="I26" s="9"/>
      <c r="P26" s="1"/>
      <c r="Q26" s="1"/>
      <c r="R26" s="1"/>
      <c r="S26" s="1"/>
      <c r="T26" s="1"/>
      <c r="U26" s="1"/>
      <c r="V26" s="1"/>
    </row>
    <row r="27" spans="2:22" x14ac:dyDescent="0.2">
      <c r="B27" s="3" t="s">
        <v>71</v>
      </c>
      <c r="C27" s="3">
        <v>4.5923299999999996</v>
      </c>
      <c r="F27" s="4" t="s">
        <v>19</v>
      </c>
      <c r="G27" s="4" t="s">
        <v>20</v>
      </c>
      <c r="H27" s="4" t="s">
        <v>56</v>
      </c>
      <c r="I27" s="4" t="s">
        <v>25</v>
      </c>
      <c r="P27" s="1"/>
      <c r="Q27" s="1"/>
      <c r="R27" s="1"/>
      <c r="S27" s="1"/>
      <c r="T27" s="1"/>
      <c r="U27" s="1"/>
      <c r="V27" s="1"/>
    </row>
    <row r="28" spans="2:22" x14ac:dyDescent="0.2">
      <c r="F28" s="1">
        <v>1</v>
      </c>
      <c r="G28" s="1" t="s">
        <v>26</v>
      </c>
      <c r="H28" s="1">
        <f>U3</f>
        <v>2.3075838134127865E-3</v>
      </c>
      <c r="I28" s="1">
        <f>H28/$H$22*100</f>
        <v>19.614773383869185</v>
      </c>
      <c r="P28" s="1"/>
      <c r="Q28" s="1"/>
      <c r="R28" s="1"/>
    </row>
    <row r="29" spans="2:22" x14ac:dyDescent="0.2">
      <c r="B29" s="5" t="s">
        <v>67</v>
      </c>
      <c r="F29" s="1">
        <v>2</v>
      </c>
      <c r="G29" s="1" t="s">
        <v>61</v>
      </c>
      <c r="H29" s="1">
        <f>U4+U5+U6+U7</f>
        <v>7.9449794034743941E-3</v>
      </c>
      <c r="I29" s="1">
        <f>H29/$H$22*100</f>
        <v>67.533395594494721</v>
      </c>
      <c r="P29" s="1"/>
      <c r="Q29" s="1"/>
      <c r="R29" s="1"/>
    </row>
    <row r="30" spans="2:22" x14ac:dyDescent="0.2">
      <c r="B30" s="3" t="s">
        <v>66</v>
      </c>
      <c r="C30" s="3">
        <v>4.2062400000000002</v>
      </c>
      <c r="D30" s="3" t="s">
        <v>5</v>
      </c>
      <c r="F30" s="1">
        <v>3</v>
      </c>
      <c r="G30" s="1" t="s">
        <v>62</v>
      </c>
      <c r="H30" s="1">
        <f>SUM(L10:L15)</f>
        <v>1.5119561494721533E-3</v>
      </c>
      <c r="I30" s="1">
        <f t="shared" ref="I30" si="6">H30/$H$22*100</f>
        <v>12.851831021636078</v>
      </c>
      <c r="P30" s="1"/>
      <c r="Q30" s="1"/>
      <c r="R30" s="1"/>
    </row>
    <row r="31" spans="2:22" x14ac:dyDescent="0.2">
      <c r="F31" s="1"/>
      <c r="G31" s="10" t="s">
        <v>63</v>
      </c>
      <c r="H31" s="1">
        <f>SUM(H28:H30)</f>
        <v>1.1764519366359335E-2</v>
      </c>
      <c r="I31" s="1">
        <f>SUM(I28:I30)</f>
        <v>99.999999999999986</v>
      </c>
    </row>
    <row r="33" spans="2:9" x14ac:dyDescent="0.2">
      <c r="B33" s="5"/>
      <c r="G33" s="4" t="s">
        <v>73</v>
      </c>
      <c r="H33" s="11">
        <f>H31*C2*0.5*C8*C3^2</f>
        <v>862.8546685155851</v>
      </c>
      <c r="I33" s="3" t="s">
        <v>74</v>
      </c>
    </row>
    <row r="34" spans="2:9" ht="16" customHeight="1" x14ac:dyDescent="0.2"/>
    <row r="40" spans="2:9" ht="16" customHeight="1" x14ac:dyDescent="0.2"/>
  </sheetData>
  <mergeCells count="6">
    <mergeCell ref="F22:G22"/>
    <mergeCell ref="F26:I26"/>
    <mergeCell ref="F21:G21"/>
    <mergeCell ref="F18:G18"/>
    <mergeCell ref="F19:G19"/>
    <mergeCell ref="F20:G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355C-190F-DE43-B836-7F66296BD012}">
  <dimension ref="B2:V41"/>
  <sheetViews>
    <sheetView tabSelected="1" topLeftCell="E8" zoomScale="125" workbookViewId="0">
      <selection activeCell="J32" sqref="J32"/>
    </sheetView>
  </sheetViews>
  <sheetFormatPr baseColWidth="10" defaultRowHeight="16" x14ac:dyDescent="0.2"/>
  <cols>
    <col min="1" max="1" width="3.5" style="3" customWidth="1"/>
    <col min="2" max="2" width="10.83203125" style="3"/>
    <col min="3" max="3" width="11.6640625" style="3" bestFit="1" customWidth="1"/>
    <col min="4" max="5" width="10.83203125" style="3"/>
    <col min="6" max="6" width="5.33203125" style="3" customWidth="1"/>
    <col min="7" max="7" width="17.5" style="3" customWidth="1"/>
    <col min="8" max="9" width="12.83203125" style="3" customWidth="1"/>
    <col min="10" max="10" width="24" style="3" customWidth="1"/>
    <col min="11" max="14" width="10.83203125" style="3"/>
    <col min="15" max="15" width="14.33203125" style="3" customWidth="1"/>
    <col min="16" max="16" width="15" style="3" customWidth="1"/>
    <col min="17" max="18" width="13.5" style="3" customWidth="1"/>
    <col min="19" max="19" width="10.83203125" style="3"/>
    <col min="20" max="20" width="10" style="3" customWidth="1"/>
    <col min="21" max="21" width="10.83203125" style="3"/>
    <col min="22" max="22" width="10.5" style="3" customWidth="1"/>
    <col min="23" max="16384" width="10.83203125" style="3"/>
  </cols>
  <sheetData>
    <row r="2" spans="2:22" x14ac:dyDescent="0.2">
      <c r="B2" s="3" t="s">
        <v>0</v>
      </c>
      <c r="C2" s="3">
        <v>19.535478449999999</v>
      </c>
      <c r="D2" s="3" t="s">
        <v>3</v>
      </c>
      <c r="F2" s="4" t="s">
        <v>19</v>
      </c>
      <c r="G2" s="4" t="s">
        <v>20</v>
      </c>
      <c r="H2" s="4" t="s">
        <v>21</v>
      </c>
      <c r="I2" s="4" t="s">
        <v>35</v>
      </c>
      <c r="J2" s="4" t="s">
        <v>22</v>
      </c>
      <c r="K2" s="4" t="s">
        <v>23</v>
      </c>
      <c r="L2" s="4" t="s">
        <v>36</v>
      </c>
      <c r="M2" s="4" t="s">
        <v>64</v>
      </c>
      <c r="N2" s="4" t="s">
        <v>37</v>
      </c>
      <c r="O2" s="4" t="s">
        <v>41</v>
      </c>
      <c r="P2" s="4" t="s">
        <v>42</v>
      </c>
      <c r="Q2" s="4" t="s">
        <v>40</v>
      </c>
      <c r="R2" s="4" t="s">
        <v>38</v>
      </c>
      <c r="S2" s="4" t="s">
        <v>39</v>
      </c>
      <c r="T2" s="4" t="s">
        <v>24</v>
      </c>
      <c r="U2" s="4" t="s">
        <v>32</v>
      </c>
      <c r="V2" s="4" t="s">
        <v>25</v>
      </c>
    </row>
    <row r="3" spans="2:22" x14ac:dyDescent="0.2">
      <c r="B3" s="3" t="s">
        <v>1</v>
      </c>
      <c r="C3" s="3">
        <v>50</v>
      </c>
      <c r="D3" s="3" t="s">
        <v>2</v>
      </c>
      <c r="F3" s="1">
        <v>1</v>
      </c>
      <c r="G3" s="1" t="s">
        <v>26</v>
      </c>
      <c r="H3" s="1">
        <v>33.729779950000001</v>
      </c>
      <c r="I3" s="1">
        <f>C16/C17</f>
        <v>4.8963044326244027</v>
      </c>
      <c r="J3" s="1" t="s">
        <v>30</v>
      </c>
      <c r="K3" s="1">
        <f>1+1.5/(I3)^1.5+7/(I3)^3</f>
        <v>1.1980824664150473</v>
      </c>
      <c r="L3" s="1">
        <f>C16</f>
        <v>9.1440000000000001</v>
      </c>
      <c r="M3" s="1">
        <f>$C$11*L3</f>
        <v>27718992.01493324</v>
      </c>
      <c r="N3" s="1">
        <v>0</v>
      </c>
      <c r="O3" s="1">
        <f t="shared" ref="O3:O10" si="0">IF(N3=0,0,1.32824/SQRT((N3/100)*M3)*1000)</f>
        <v>0</v>
      </c>
      <c r="P3" s="1">
        <f t="shared" ref="P3:P10" si="1">IF(N3=0,0,0.455/((LOG((N3/100)*M3))^2.58) * 1000)</f>
        <v>0</v>
      </c>
      <c r="Q3" s="1">
        <f>0.455/((LOG(M3))^2.58) * 1000</f>
        <v>2.5641003245904499</v>
      </c>
      <c r="R3" s="1">
        <f>(Q3-N3/100*P3+N3/100*O3)/1000</f>
        <v>2.5641003245904497E-3</v>
      </c>
      <c r="S3" s="1">
        <v>1</v>
      </c>
      <c r="T3" s="2">
        <f>H3*S3*R3*K3</f>
        <v>0.10361800681723543</v>
      </c>
      <c r="U3" s="1">
        <f>T3/$C$2</f>
        <v>5.3040936305931855E-3</v>
      </c>
      <c r="V3" s="1">
        <f t="shared" ref="V3:V10" si="2">ROUND(U3/$H$27 * 100,2)</f>
        <v>22.11</v>
      </c>
    </row>
    <row r="4" spans="2:22" x14ac:dyDescent="0.2">
      <c r="B4" s="3" t="s">
        <v>4</v>
      </c>
      <c r="C4" s="3">
        <v>1524</v>
      </c>
      <c r="D4" s="3" t="s">
        <v>5</v>
      </c>
      <c r="F4" s="1">
        <v>2</v>
      </c>
      <c r="G4" s="1" t="s">
        <v>27</v>
      </c>
      <c r="H4" s="1">
        <v>38.19870495</v>
      </c>
      <c r="I4" s="1">
        <v>0.16997999999999999</v>
      </c>
      <c r="J4" s="1" t="s">
        <v>31</v>
      </c>
      <c r="K4" s="1">
        <f>1+2*(I4)+60*(I4)^4</f>
        <v>1.3900490217612735</v>
      </c>
      <c r="L4" s="1">
        <f>SQRT(C24/C25)</f>
        <v>1.2691834924479115</v>
      </c>
      <c r="M4" s="1">
        <f t="shared" ref="M4:M10" si="3">$C$11*L4</f>
        <v>3847384.8526518745</v>
      </c>
      <c r="N4" s="1">
        <v>0</v>
      </c>
      <c r="O4" s="1">
        <f t="shared" si="0"/>
        <v>0</v>
      </c>
      <c r="P4" s="1">
        <f t="shared" si="1"/>
        <v>0</v>
      </c>
      <c r="Q4" s="1">
        <f>0.455/((LOG(M4))^2.58) * 1000</f>
        <v>3.5164893243424564</v>
      </c>
      <c r="R4" s="1">
        <f>(Q4-N4/100*P4+N4/100*O4)/1000</f>
        <v>3.5164893243424564E-3</v>
      </c>
      <c r="S4" s="1">
        <v>1</v>
      </c>
      <c r="T4" s="2">
        <f t="shared" ref="T4:T10" si="4">H4*S4*R4*K4</f>
        <v>0.18671880490759174</v>
      </c>
      <c r="U4" s="1">
        <f t="shared" ref="U4:U10" si="5">T4/$C$2</f>
        <v>9.5579335507696133E-3</v>
      </c>
      <c r="V4" s="1">
        <f t="shared" si="2"/>
        <v>39.840000000000003</v>
      </c>
    </row>
    <row r="5" spans="2:22" x14ac:dyDescent="0.2">
      <c r="B5" s="3" t="s">
        <v>7</v>
      </c>
      <c r="C5" s="3">
        <v>278.24399999999901</v>
      </c>
      <c r="D5" s="3" t="s">
        <v>8</v>
      </c>
      <c r="F5" s="1">
        <v>3</v>
      </c>
      <c r="G5" s="1" t="s">
        <v>28</v>
      </c>
      <c r="H5" s="1">
        <v>6.9854647099999996</v>
      </c>
      <c r="I5" s="1">
        <v>0.15</v>
      </c>
      <c r="J5" s="1" t="s">
        <v>31</v>
      </c>
      <c r="K5" s="1">
        <f>1+2*(I5)+60*(I5)^4</f>
        <v>1.3303750000000001</v>
      </c>
      <c r="L5" s="1">
        <f>SQRT(C28/C29)</f>
        <v>0.92354403895316195</v>
      </c>
      <c r="M5" s="1">
        <f t="shared" si="3"/>
        <v>2799618.3115903204</v>
      </c>
      <c r="N5" s="1">
        <v>0</v>
      </c>
      <c r="O5" s="1">
        <f t="shared" si="0"/>
        <v>0</v>
      </c>
      <c r="P5" s="1">
        <f t="shared" si="1"/>
        <v>0</v>
      </c>
      <c r="Q5" s="1">
        <f t="shared" ref="Q5:Q10" si="6">0.455/((LOG(M5))^2.58) * 1000</f>
        <v>3.7140815210304221</v>
      </c>
      <c r="R5" s="1">
        <f t="shared" ref="R5:R10" si="7">(Q5-N5/100*P5+N5/100*O5)/1000</f>
        <v>3.7140815210304221E-3</v>
      </c>
      <c r="S5" s="1">
        <v>1.08</v>
      </c>
      <c r="T5" s="2">
        <f t="shared" si="4"/>
        <v>3.7277310018780707E-2</v>
      </c>
      <c r="U5" s="1">
        <f t="shared" si="5"/>
        <v>1.9081851572865219E-3</v>
      </c>
      <c r="V5" s="1">
        <f t="shared" si="2"/>
        <v>7.95</v>
      </c>
    </row>
    <row r="6" spans="2:22" x14ac:dyDescent="0.2">
      <c r="B6" s="3" t="s">
        <v>6</v>
      </c>
      <c r="C6" s="3">
        <v>0</v>
      </c>
      <c r="D6" s="3" t="s">
        <v>8</v>
      </c>
      <c r="F6" s="1">
        <v>4</v>
      </c>
      <c r="G6" s="1" t="s">
        <v>29</v>
      </c>
      <c r="H6" s="1">
        <v>5.3209498799999997</v>
      </c>
      <c r="I6" s="1">
        <v>0.13400000000000001</v>
      </c>
      <c r="J6" s="1" t="s">
        <v>31</v>
      </c>
      <c r="K6" s="1">
        <f>1+2*(I6)+60*(I6)^4</f>
        <v>1.28734507616</v>
      </c>
      <c r="L6" s="1">
        <f>SQRT(C32/C33)</f>
        <v>1.4672949699214111</v>
      </c>
      <c r="M6" s="1">
        <f t="shared" si="3"/>
        <v>4447937.1779093724</v>
      </c>
      <c r="N6" s="1">
        <v>0</v>
      </c>
      <c r="O6" s="1">
        <f t="shared" si="0"/>
        <v>0</v>
      </c>
      <c r="P6" s="1">
        <f t="shared" si="1"/>
        <v>0</v>
      </c>
      <c r="Q6" s="1">
        <f t="shared" si="6"/>
        <v>3.4311669545795143</v>
      </c>
      <c r="R6" s="1">
        <f t="shared" si="7"/>
        <v>3.4311669545795142E-3</v>
      </c>
      <c r="S6" s="1">
        <v>1.03</v>
      </c>
      <c r="T6" s="2">
        <f t="shared" si="4"/>
        <v>2.420824019086151E-2</v>
      </c>
      <c r="U6" s="1">
        <f t="shared" si="5"/>
        <v>1.2391936165178238E-3</v>
      </c>
      <c r="V6" s="1">
        <f t="shared" si="2"/>
        <v>5.17</v>
      </c>
    </row>
    <row r="7" spans="2:22" x14ac:dyDescent="0.2">
      <c r="B7" s="3" t="s">
        <v>9</v>
      </c>
      <c r="C7" s="3">
        <v>84314.678467682505</v>
      </c>
      <c r="D7" s="3" t="s">
        <v>10</v>
      </c>
      <c r="F7" s="1">
        <v>5</v>
      </c>
      <c r="G7" s="1" t="s">
        <v>43</v>
      </c>
      <c r="H7" s="1">
        <v>4.2243285000000004</v>
      </c>
      <c r="I7" s="1">
        <f>$C$20/$C$21</f>
        <v>16</v>
      </c>
      <c r="J7" s="1" t="s">
        <v>30</v>
      </c>
      <c r="K7" s="1">
        <f>1+1.5/(I7)^1.5+7/(I7)^3</f>
        <v>1.025146484375</v>
      </c>
      <c r="L7" s="1">
        <f>$C$20</f>
        <v>4.8768000000000002</v>
      </c>
      <c r="M7" s="1">
        <f t="shared" si="3"/>
        <v>14783462.407964395</v>
      </c>
      <c r="N7" s="1">
        <v>0</v>
      </c>
      <c r="O7" s="1">
        <f t="shared" si="0"/>
        <v>0</v>
      </c>
      <c r="P7" s="1">
        <f t="shared" si="1"/>
        <v>0</v>
      </c>
      <c r="Q7" s="1">
        <f t="shared" si="6"/>
        <v>2.8236245915231093</v>
      </c>
      <c r="R7" s="1">
        <f t="shared" si="7"/>
        <v>2.8236245915231094E-3</v>
      </c>
      <c r="S7" s="1">
        <v>1.3</v>
      </c>
      <c r="T7" s="2">
        <f t="shared" si="4"/>
        <v>1.5896221945165746E-2</v>
      </c>
      <c r="U7" s="1">
        <f t="shared" si="5"/>
        <v>8.1371039802538071E-4</v>
      </c>
      <c r="V7" s="1">
        <f t="shared" si="2"/>
        <v>3.39</v>
      </c>
    </row>
    <row r="8" spans="2:22" x14ac:dyDescent="0.2">
      <c r="B8" s="3" t="s">
        <v>11</v>
      </c>
      <c r="C8" s="3">
        <v>1.05563913070961</v>
      </c>
      <c r="D8" s="3" t="s">
        <v>12</v>
      </c>
      <c r="F8" s="1">
        <v>6</v>
      </c>
      <c r="G8" s="1" t="s">
        <v>45</v>
      </c>
      <c r="H8" s="1">
        <v>4.2243285000000004</v>
      </c>
      <c r="I8" s="1">
        <f>$C$20/$C$21</f>
        <v>16</v>
      </c>
      <c r="J8" s="1" t="s">
        <v>30</v>
      </c>
      <c r="K8" s="1">
        <f>1+1.5/(I8)^1.5+7/(I8)^3</f>
        <v>1.025146484375</v>
      </c>
      <c r="L8" s="1">
        <f>$C$20</f>
        <v>4.8768000000000002</v>
      </c>
      <c r="M8" s="1">
        <f t="shared" si="3"/>
        <v>14783462.407964395</v>
      </c>
      <c r="N8" s="1">
        <v>0</v>
      </c>
      <c r="O8" s="1">
        <f t="shared" si="0"/>
        <v>0</v>
      </c>
      <c r="P8" s="1">
        <f t="shared" si="1"/>
        <v>0</v>
      </c>
      <c r="Q8" s="1">
        <f t="shared" si="6"/>
        <v>2.8236245915231093</v>
      </c>
      <c r="R8" s="1">
        <f t="shared" si="7"/>
        <v>2.8236245915231094E-3</v>
      </c>
      <c r="S8" s="1">
        <v>1.3</v>
      </c>
      <c r="T8" s="2">
        <f t="shared" si="4"/>
        <v>1.5896221945165746E-2</v>
      </c>
      <c r="U8" s="1">
        <f t="shared" si="5"/>
        <v>8.1371039802538071E-4</v>
      </c>
      <c r="V8" s="1">
        <f t="shared" si="2"/>
        <v>3.39</v>
      </c>
    </row>
    <row r="9" spans="2:22" x14ac:dyDescent="0.2">
      <c r="B9" s="3" t="s">
        <v>13</v>
      </c>
      <c r="C9" s="3">
        <v>1.4</v>
      </c>
      <c r="F9" s="1">
        <v>7</v>
      </c>
      <c r="G9" s="1" t="s">
        <v>46</v>
      </c>
      <c r="H9" s="1">
        <v>4.3254000899999996</v>
      </c>
      <c r="I9" s="1">
        <f>$C$20/$C$21</f>
        <v>16</v>
      </c>
      <c r="J9" s="1" t="s">
        <v>30</v>
      </c>
      <c r="K9" s="1">
        <f>1+1.5/(I9)^1.5+7/(I9)^3</f>
        <v>1.025146484375</v>
      </c>
      <c r="L9" s="1">
        <f>$C$20</f>
        <v>4.8768000000000002</v>
      </c>
      <c r="M9" s="1">
        <f t="shared" si="3"/>
        <v>14783462.407964395</v>
      </c>
      <c r="N9" s="1">
        <v>0</v>
      </c>
      <c r="O9" s="1">
        <f t="shared" si="0"/>
        <v>0</v>
      </c>
      <c r="P9" s="1">
        <f t="shared" si="1"/>
        <v>0</v>
      </c>
      <c r="Q9" s="1">
        <f t="shared" si="6"/>
        <v>2.8236245915231093</v>
      </c>
      <c r="R9" s="1">
        <f t="shared" si="7"/>
        <v>2.8236245915231094E-3</v>
      </c>
      <c r="S9" s="1">
        <v>1.3</v>
      </c>
      <c r="T9" s="2">
        <f t="shared" si="4"/>
        <v>1.6276556104071895E-2</v>
      </c>
      <c r="U9" s="1">
        <f t="shared" si="5"/>
        <v>8.3317929201124307E-4</v>
      </c>
      <c r="V9" s="1">
        <f t="shared" si="2"/>
        <v>3.47</v>
      </c>
    </row>
    <row r="10" spans="2:22" x14ac:dyDescent="0.2">
      <c r="B10" s="3" t="s">
        <v>14</v>
      </c>
      <c r="C10" s="3">
        <v>1.7411824005015001E-5</v>
      </c>
      <c r="D10" s="3" t="s">
        <v>15</v>
      </c>
      <c r="F10" s="1">
        <v>8</v>
      </c>
      <c r="G10" s="1" t="s">
        <v>44</v>
      </c>
      <c r="H10" s="1">
        <v>4.3254000899999996</v>
      </c>
      <c r="I10" s="1">
        <f>$C$20/$C$21</f>
        <v>16</v>
      </c>
      <c r="J10" s="1" t="s">
        <v>30</v>
      </c>
      <c r="K10" s="1">
        <f>1+1.5/(I10)^1.5+7/(I10)^3</f>
        <v>1.025146484375</v>
      </c>
      <c r="L10" s="1">
        <f>$C$20</f>
        <v>4.8768000000000002</v>
      </c>
      <c r="M10" s="1">
        <f t="shared" si="3"/>
        <v>14783462.407964395</v>
      </c>
      <c r="N10" s="1">
        <v>0</v>
      </c>
      <c r="O10" s="1">
        <f t="shared" si="0"/>
        <v>0</v>
      </c>
      <c r="P10" s="1">
        <f t="shared" si="1"/>
        <v>0</v>
      </c>
      <c r="Q10" s="1">
        <f t="shared" si="6"/>
        <v>2.8236245915231093</v>
      </c>
      <c r="R10" s="1">
        <f t="shared" si="7"/>
        <v>2.8236245915231094E-3</v>
      </c>
      <c r="S10" s="1">
        <v>1.3</v>
      </c>
      <c r="T10" s="2">
        <f t="shared" si="4"/>
        <v>1.6276556104071895E-2</v>
      </c>
      <c r="U10" s="1">
        <f t="shared" si="5"/>
        <v>8.3317929201124307E-4</v>
      </c>
      <c r="V10" s="1">
        <f t="shared" si="2"/>
        <v>3.47</v>
      </c>
    </row>
    <row r="11" spans="2:22" x14ac:dyDescent="0.2">
      <c r="B11" s="3" t="s">
        <v>16</v>
      </c>
      <c r="C11" s="3">
        <f>C8*C3/C10</f>
        <v>3031385.8284047726</v>
      </c>
      <c r="D11" s="3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</row>
    <row r="12" spans="2:22" x14ac:dyDescent="0.2">
      <c r="B12" s="3" t="s">
        <v>17</v>
      </c>
      <c r="C12" s="3">
        <f>C3/334.512939421475</f>
        <v>0.14947104912136655</v>
      </c>
      <c r="F12" s="4" t="s">
        <v>19</v>
      </c>
      <c r="G12" s="4" t="s">
        <v>20</v>
      </c>
      <c r="H12" s="4" t="s">
        <v>21</v>
      </c>
      <c r="I12" s="4" t="s">
        <v>53</v>
      </c>
      <c r="J12" s="4" t="s">
        <v>54</v>
      </c>
      <c r="K12" s="4" t="s">
        <v>55</v>
      </c>
      <c r="L12" s="4" t="s">
        <v>56</v>
      </c>
      <c r="M12" s="4" t="s">
        <v>25</v>
      </c>
      <c r="N12" s="1"/>
      <c r="O12" s="1"/>
      <c r="Q12" s="1"/>
      <c r="R12" s="1"/>
      <c r="S12" s="1"/>
      <c r="T12" s="1"/>
      <c r="U12" s="1"/>
      <c r="V12" s="1"/>
    </row>
    <row r="13" spans="2:22" x14ac:dyDescent="0.2">
      <c r="F13" s="1">
        <v>1</v>
      </c>
      <c r="G13" s="1" t="s">
        <v>49</v>
      </c>
      <c r="H13" s="1">
        <v>0.14000000000000001</v>
      </c>
      <c r="I13" s="1">
        <v>0.13</v>
      </c>
      <c r="J13" s="1">
        <v>3.3375200000000001E-2</v>
      </c>
      <c r="K13" s="1">
        <f>I13*J13</f>
        <v>4.3387759999999999E-3</v>
      </c>
      <c r="L13" s="1">
        <f>K13/$C$2</f>
        <v>2.2209724789207813E-4</v>
      </c>
      <c r="M13" s="1">
        <f t="shared" ref="M13:M18" si="8">ROUND(L13/$H$27 * 100,2)</f>
        <v>0.93</v>
      </c>
      <c r="N13" s="1"/>
      <c r="O13" s="1"/>
      <c r="Q13" s="1"/>
      <c r="R13" s="1"/>
      <c r="S13" s="1"/>
      <c r="T13" s="1"/>
      <c r="U13" s="1"/>
      <c r="V13" s="1"/>
    </row>
    <row r="14" spans="2:22" x14ac:dyDescent="0.2">
      <c r="F14" s="1">
        <v>2</v>
      </c>
      <c r="G14" s="1" t="s">
        <v>47</v>
      </c>
      <c r="H14" s="1">
        <v>0.14000000000000001</v>
      </c>
      <c r="I14" s="1">
        <v>0.13</v>
      </c>
      <c r="J14" s="1">
        <v>3.3375200000000001E-2</v>
      </c>
      <c r="K14" s="1">
        <f t="shared" ref="K14:K18" si="9">I14*J14</f>
        <v>4.3387759999999999E-3</v>
      </c>
      <c r="L14" s="1">
        <f t="shared" ref="L14:L18" si="10">K14/$C$2</f>
        <v>2.2209724789207813E-4</v>
      </c>
      <c r="M14" s="1">
        <f t="shared" si="8"/>
        <v>0.93</v>
      </c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">
      <c r="B15" s="5" t="s">
        <v>26</v>
      </c>
      <c r="F15" s="1">
        <v>3</v>
      </c>
      <c r="G15" s="1" t="s">
        <v>48</v>
      </c>
      <c r="H15" s="1">
        <v>0.14000000000000001</v>
      </c>
      <c r="I15" s="1">
        <v>0.13</v>
      </c>
      <c r="J15" s="1">
        <v>3.3375200000000001E-2</v>
      </c>
      <c r="K15" s="1">
        <f t="shared" si="9"/>
        <v>4.3387759999999999E-3</v>
      </c>
      <c r="L15" s="1">
        <f>K15/$C$2</f>
        <v>2.2209724789207813E-4</v>
      </c>
      <c r="M15" s="1">
        <f t="shared" si="8"/>
        <v>0.93</v>
      </c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">
      <c r="B16" s="3" t="s">
        <v>33</v>
      </c>
      <c r="C16" s="3">
        <v>9.1440000000000001</v>
      </c>
      <c r="D16" s="3" t="s">
        <v>5</v>
      </c>
      <c r="F16" s="1">
        <v>4</v>
      </c>
      <c r="G16" s="1" t="s">
        <v>50</v>
      </c>
      <c r="H16" s="1">
        <v>0.61</v>
      </c>
      <c r="I16" s="1">
        <v>0.13</v>
      </c>
      <c r="J16" s="1">
        <v>0.101213</v>
      </c>
      <c r="K16" s="1">
        <f>I16*J16</f>
        <v>1.315769E-2</v>
      </c>
      <c r="L16" s="1">
        <f t="shared" si="10"/>
        <v>6.7352791147022052E-4</v>
      </c>
      <c r="M16" s="1">
        <f t="shared" si="8"/>
        <v>2.81</v>
      </c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">
      <c r="B17" s="3" t="s">
        <v>34</v>
      </c>
      <c r="C17" s="3">
        <v>1.8675309360000001</v>
      </c>
      <c r="D17" s="3" t="s">
        <v>5</v>
      </c>
      <c r="F17" s="1">
        <v>5</v>
      </c>
      <c r="G17" s="1" t="s">
        <v>51</v>
      </c>
      <c r="H17" s="1">
        <v>0.61</v>
      </c>
      <c r="I17" s="1">
        <v>0.13</v>
      </c>
      <c r="J17" s="1">
        <v>0.101213</v>
      </c>
      <c r="K17" s="1">
        <f t="shared" si="9"/>
        <v>1.315769E-2</v>
      </c>
      <c r="L17" s="1">
        <f t="shared" si="10"/>
        <v>6.7352791147022052E-4</v>
      </c>
      <c r="M17" s="1">
        <f t="shared" si="8"/>
        <v>2.81</v>
      </c>
      <c r="N17" s="1"/>
      <c r="O17" s="1"/>
      <c r="P17" s="1"/>
      <c r="Q17" s="1"/>
      <c r="R17" s="1"/>
      <c r="S17" s="1"/>
      <c r="T17" s="1"/>
      <c r="U17" s="1"/>
      <c r="V17" s="1"/>
    </row>
    <row r="18" spans="2:22" ht="16" customHeight="1" x14ac:dyDescent="0.2">
      <c r="F18" s="1">
        <v>6</v>
      </c>
      <c r="G18" s="1" t="s">
        <v>52</v>
      </c>
      <c r="H18" s="1">
        <v>0.61</v>
      </c>
      <c r="I18" s="1">
        <v>0.13</v>
      </c>
      <c r="J18" s="1">
        <v>0.101213</v>
      </c>
      <c r="K18" s="1">
        <f t="shared" si="9"/>
        <v>1.315769E-2</v>
      </c>
      <c r="L18" s="1">
        <f t="shared" si="10"/>
        <v>6.7352791147022052E-4</v>
      </c>
      <c r="M18" s="1">
        <f t="shared" si="8"/>
        <v>2.81</v>
      </c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">
      <c r="B19" s="5" t="s">
        <v>58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ht="16" customHeight="1" x14ac:dyDescent="0.2">
      <c r="B20" s="3" t="s">
        <v>33</v>
      </c>
      <c r="C20" s="3">
        <v>4.8768000000000002</v>
      </c>
      <c r="D20" s="3" t="s">
        <v>5</v>
      </c>
      <c r="F20" s="6" t="s">
        <v>85</v>
      </c>
      <c r="G20" s="6"/>
      <c r="H20" s="1">
        <f>T3</f>
        <v>0.10361800681723543</v>
      </c>
      <c r="I20" s="1" t="s">
        <v>72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">
      <c r="B21" s="3" t="s">
        <v>34</v>
      </c>
      <c r="C21" s="3">
        <v>0.30480000000000002</v>
      </c>
      <c r="D21" s="3" t="s">
        <v>5</v>
      </c>
      <c r="F21" s="6" t="s">
        <v>88</v>
      </c>
      <c r="G21" s="6"/>
      <c r="H21" s="1">
        <f>T4</f>
        <v>0.18671880490759174</v>
      </c>
      <c r="I21" s="1" t="s">
        <v>72</v>
      </c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2">
      <c r="F22" s="6" t="s">
        <v>89</v>
      </c>
      <c r="G22" s="6"/>
      <c r="H22" s="1">
        <f>T5</f>
        <v>3.7277310018780707E-2</v>
      </c>
      <c r="I22" s="1" t="s">
        <v>72</v>
      </c>
      <c r="P22" s="1"/>
      <c r="Q22" s="1"/>
      <c r="R22" s="1"/>
      <c r="T22" s="1"/>
      <c r="U22" s="1"/>
      <c r="V22" s="1"/>
    </row>
    <row r="23" spans="2:22" x14ac:dyDescent="0.2">
      <c r="B23" s="5" t="s">
        <v>27</v>
      </c>
      <c r="F23" s="6" t="s">
        <v>90</v>
      </c>
      <c r="G23" s="6"/>
      <c r="H23" s="1">
        <f>T6</f>
        <v>2.420824019086151E-2</v>
      </c>
      <c r="I23" s="1" t="s">
        <v>72</v>
      </c>
      <c r="P23" s="1"/>
      <c r="Q23" s="1"/>
      <c r="R23" s="1"/>
    </row>
    <row r="24" spans="2:22" ht="16" customHeight="1" x14ac:dyDescent="0.2">
      <c r="B24" s="3" t="s">
        <v>70</v>
      </c>
      <c r="C24" s="3">
        <v>19.535478449999999</v>
      </c>
      <c r="D24" s="3" t="s">
        <v>72</v>
      </c>
      <c r="F24" s="6" t="s">
        <v>86</v>
      </c>
      <c r="G24" s="6"/>
      <c r="H24" s="1">
        <f>SUM(T7:T10)</f>
        <v>6.4345556098475282E-2</v>
      </c>
      <c r="I24" s="1" t="s">
        <v>72</v>
      </c>
      <c r="P24" s="1"/>
      <c r="Q24" s="1"/>
      <c r="R24" s="1"/>
    </row>
    <row r="25" spans="2:22" x14ac:dyDescent="0.2">
      <c r="B25" s="3" t="s">
        <v>82</v>
      </c>
      <c r="C25" s="3">
        <v>12.127610000000001</v>
      </c>
      <c r="D25" s="3" t="s">
        <v>5</v>
      </c>
      <c r="F25" s="6" t="s">
        <v>87</v>
      </c>
      <c r="G25" s="6"/>
      <c r="H25" s="1">
        <f>SUM(K13:K18)</f>
        <v>5.2489398E-2</v>
      </c>
      <c r="I25" s="1" t="s">
        <v>72</v>
      </c>
      <c r="P25" s="1"/>
      <c r="Q25" s="1"/>
      <c r="R25" s="1"/>
      <c r="S25" s="1"/>
      <c r="T25" s="1"/>
      <c r="U25" s="1"/>
    </row>
    <row r="26" spans="2:22" x14ac:dyDescent="0.2">
      <c r="F26" s="6" t="s">
        <v>81</v>
      </c>
      <c r="G26" s="6"/>
      <c r="H26" s="1">
        <f>SUM(T3:T10) + SUM(K13:K18)</f>
        <v>0.46865731603294475</v>
      </c>
      <c r="I26" s="1" t="s">
        <v>72</v>
      </c>
      <c r="P26" s="1"/>
      <c r="Q26" s="1"/>
      <c r="R26" s="1"/>
      <c r="S26" s="1"/>
      <c r="T26" s="1"/>
      <c r="U26" s="1"/>
    </row>
    <row r="27" spans="2:22" x14ac:dyDescent="0.2">
      <c r="B27" s="5" t="s">
        <v>83</v>
      </c>
      <c r="F27" s="6" t="s">
        <v>57</v>
      </c>
      <c r="G27" s="6"/>
      <c r="H27" s="1">
        <f>SUM(U3:U10)+SUM(L13:L18)</f>
        <v>2.3990060813327285E-2</v>
      </c>
      <c r="I27" s="7"/>
      <c r="P27" s="1"/>
      <c r="Q27" s="1"/>
      <c r="R27" s="1"/>
      <c r="S27" s="1"/>
      <c r="T27" s="1"/>
      <c r="U27" s="1"/>
    </row>
    <row r="28" spans="2:22" x14ac:dyDescent="0.2">
      <c r="B28" s="3" t="s">
        <v>70</v>
      </c>
      <c r="C28" s="3">
        <v>3.6707105940479998</v>
      </c>
      <c r="D28" s="3" t="s">
        <v>72</v>
      </c>
      <c r="G28" s="3" t="s">
        <v>59</v>
      </c>
      <c r="H28" s="1">
        <f>SUM(V3:V10)+SUM(M13:M18)</f>
        <v>100.01</v>
      </c>
      <c r="P28" s="1"/>
      <c r="Q28" s="1"/>
      <c r="R28" s="1"/>
      <c r="S28" s="1"/>
      <c r="T28" s="1"/>
      <c r="U28" s="1"/>
      <c r="V28" s="1"/>
    </row>
    <row r="29" spans="2:22" x14ac:dyDescent="0.2">
      <c r="B29" s="3" t="s">
        <v>82</v>
      </c>
      <c r="C29" s="3">
        <v>4.3036300000000001</v>
      </c>
      <c r="D29" s="3" t="s">
        <v>5</v>
      </c>
      <c r="P29" s="1"/>
      <c r="Q29" s="1"/>
      <c r="R29" s="1"/>
      <c r="S29" s="1"/>
      <c r="T29" s="1"/>
      <c r="U29" s="1"/>
      <c r="V29" s="1"/>
    </row>
    <row r="30" spans="2:22" x14ac:dyDescent="0.2">
      <c r="P30" s="1"/>
      <c r="Q30" s="1"/>
      <c r="R30" s="1"/>
      <c r="S30" s="1"/>
      <c r="T30" s="1"/>
      <c r="U30" s="1"/>
      <c r="V30" s="1"/>
    </row>
    <row r="31" spans="2:22" x14ac:dyDescent="0.2">
      <c r="B31" s="5" t="s">
        <v>84</v>
      </c>
      <c r="F31" s="9" t="s">
        <v>60</v>
      </c>
      <c r="G31" s="9"/>
      <c r="H31" s="9"/>
      <c r="I31" s="9"/>
      <c r="P31" s="1"/>
      <c r="Q31" s="1"/>
      <c r="R31" s="1"/>
    </row>
    <row r="32" spans="2:22" x14ac:dyDescent="0.2">
      <c r="B32" s="3" t="s">
        <v>70</v>
      </c>
      <c r="C32" s="3">
        <v>2.5402710484800002</v>
      </c>
      <c r="D32" s="3" t="s">
        <v>72</v>
      </c>
      <c r="F32" s="4" t="s">
        <v>19</v>
      </c>
      <c r="G32" s="4" t="s">
        <v>20</v>
      </c>
      <c r="H32" s="4" t="s">
        <v>56</v>
      </c>
      <c r="I32" s="4" t="s">
        <v>25</v>
      </c>
      <c r="P32" s="1"/>
      <c r="Q32" s="1"/>
      <c r="R32" s="1"/>
    </row>
    <row r="33" spans="2:18" x14ac:dyDescent="0.2">
      <c r="B33" s="3" t="s">
        <v>82</v>
      </c>
      <c r="C33" s="3">
        <v>1.1798999999999999</v>
      </c>
      <c r="D33" s="3" t="s">
        <v>5</v>
      </c>
      <c r="F33" s="1">
        <v>1</v>
      </c>
      <c r="G33" s="1" t="s">
        <v>26</v>
      </c>
      <c r="H33" s="1">
        <f>U3</f>
        <v>5.3040936305931855E-3</v>
      </c>
      <c r="I33" s="1">
        <f>H33/$H$27*100</f>
        <v>22.109546415349573</v>
      </c>
      <c r="P33" s="1"/>
      <c r="Q33" s="1"/>
      <c r="R33" s="1"/>
    </row>
    <row r="34" spans="2:18" ht="16" customHeight="1" x14ac:dyDescent="0.2">
      <c r="F34" s="1">
        <v>2</v>
      </c>
      <c r="G34" s="1" t="s">
        <v>27</v>
      </c>
      <c r="H34" s="1">
        <f>U4</f>
        <v>9.5579335507696133E-3</v>
      </c>
      <c r="I34" s="1">
        <f t="shared" ref="I34:I38" si="11">H34/$H$27*100</f>
        <v>39.841222684437135</v>
      </c>
    </row>
    <row r="35" spans="2:18" x14ac:dyDescent="0.2">
      <c r="F35" s="1">
        <v>3</v>
      </c>
      <c r="G35" s="1" t="s">
        <v>28</v>
      </c>
      <c r="H35" s="1">
        <f>U5</f>
        <v>1.9081851572865219E-3</v>
      </c>
      <c r="I35" s="1">
        <f t="shared" si="11"/>
        <v>7.9540655279475612</v>
      </c>
    </row>
    <row r="36" spans="2:18" x14ac:dyDescent="0.2">
      <c r="F36" s="1">
        <v>4</v>
      </c>
      <c r="G36" s="1" t="s">
        <v>29</v>
      </c>
      <c r="H36" s="1">
        <f>U6</f>
        <v>1.2391936165178238E-3</v>
      </c>
      <c r="I36" s="1">
        <f t="shared" si="11"/>
        <v>5.1654459159578705</v>
      </c>
    </row>
    <row r="37" spans="2:18" x14ac:dyDescent="0.2">
      <c r="F37" s="1">
        <v>5</v>
      </c>
      <c r="G37" s="1" t="s">
        <v>61</v>
      </c>
      <c r="H37" s="1">
        <f>SUM(U7:U10)</f>
        <v>3.2937793800732478E-3</v>
      </c>
      <c r="I37" s="1">
        <f t="shared" si="11"/>
        <v>13.729766696729017</v>
      </c>
    </row>
    <row r="38" spans="2:18" x14ac:dyDescent="0.2">
      <c r="F38" s="1">
        <v>6</v>
      </c>
      <c r="G38" s="1" t="s">
        <v>62</v>
      </c>
      <c r="H38" s="1">
        <f>SUM(L13:L18)</f>
        <v>2.6868754780868961E-3</v>
      </c>
      <c r="I38" s="1">
        <f t="shared" si="11"/>
        <v>11.19995275957886</v>
      </c>
    </row>
    <row r="39" spans="2:18" x14ac:dyDescent="0.2">
      <c r="F39" s="1"/>
      <c r="G39" s="10" t="s">
        <v>63</v>
      </c>
      <c r="H39" s="1">
        <f>SUM(H33:H38)</f>
        <v>2.3990060813327285E-2</v>
      </c>
      <c r="I39" s="1">
        <f>SUM(I33:I38)</f>
        <v>100.00000000000003</v>
      </c>
    </row>
    <row r="40" spans="2:18" ht="16" customHeight="1" x14ac:dyDescent="0.2"/>
    <row r="41" spans="2:18" x14ac:dyDescent="0.2">
      <c r="G41" s="4" t="s">
        <v>73</v>
      </c>
      <c r="H41" s="11">
        <f>H39*C2*0.5*C8*C3^2</f>
        <v>618.41625212214581</v>
      </c>
      <c r="I41" s="3" t="s">
        <v>74</v>
      </c>
    </row>
  </sheetData>
  <mergeCells count="9">
    <mergeCell ref="F31:I31"/>
    <mergeCell ref="F27:G27"/>
    <mergeCell ref="F26:G26"/>
    <mergeCell ref="F20:G20"/>
    <mergeCell ref="F21:G21"/>
    <mergeCell ref="F22:G22"/>
    <mergeCell ref="F23:G23"/>
    <mergeCell ref="F24:G24"/>
    <mergeCell ref="F25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2024-09-04T08:24:04Z</dcterms:created>
  <dcterms:modified xsi:type="dcterms:W3CDTF">2025-03-24T08:05:07Z</dcterms:modified>
</cp:coreProperties>
</file>