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fiyandyhr/Github_Repos/MCEVS/sheets/"/>
    </mc:Choice>
  </mc:AlternateContent>
  <xr:revisionPtr revIDLastSave="0" documentId="13_ncr:1_{0F775BF2-38C0-7D43-A11A-5AFD4CFC3ED1}" xr6:coauthVersionLast="47" xr6:coauthVersionMax="47" xr10:uidLastSave="{00000000-0000-0000-0000-000000000000}"/>
  <bookViews>
    <workbookView xWindow="15320" yWindow="740" windowWidth="14920" windowHeight="18900" activeTab="1" xr2:uid="{843CD013-835A-1741-B375-CD508AE79BD2}"/>
  </bookViews>
  <sheets>
    <sheet name="multirotor_aerofidelity1" sheetId="6" r:id="rId1"/>
    <sheet name="lift+cruise_aerofidelity1" sheetId="7" r:id="rId2"/>
    <sheet name="multirotor_aerofidelity0" sheetId="4" r:id="rId3"/>
    <sheet name="lift+cruise_aerofidelity0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7" l="1"/>
  <c r="C58" i="7"/>
  <c r="AK74" i="7" l="1"/>
  <c r="AG74" i="7"/>
  <c r="G42" i="7"/>
  <c r="AK39" i="7"/>
  <c r="AG39" i="7"/>
  <c r="G35" i="7"/>
  <c r="G27" i="7"/>
  <c r="G19" i="7"/>
  <c r="S17" i="7"/>
  <c r="W15" i="7"/>
  <c r="S15" i="7"/>
  <c r="O15" i="7"/>
  <c r="G11" i="7"/>
  <c r="O17" i="7" s="1"/>
  <c r="W8" i="7"/>
  <c r="S8" i="7"/>
  <c r="O8" i="7"/>
  <c r="G8" i="7"/>
  <c r="S5" i="7"/>
  <c r="S7" i="7" s="1"/>
  <c r="AK4" i="7"/>
  <c r="AG4" i="7"/>
  <c r="AK74" i="6"/>
  <c r="AG74" i="6"/>
  <c r="G42" i="6"/>
  <c r="AK39" i="6"/>
  <c r="AG39" i="6"/>
  <c r="G35" i="6"/>
  <c r="G27" i="6"/>
  <c r="G30" i="6" s="1"/>
  <c r="G19" i="6"/>
  <c r="G11" i="6"/>
  <c r="G14" i="6" s="1"/>
  <c r="G8" i="6"/>
  <c r="S6" i="6"/>
  <c r="S7" i="6" s="1"/>
  <c r="AK4" i="6"/>
  <c r="AG4" i="6"/>
  <c r="S4" i="6"/>
  <c r="AK74" i="5"/>
  <c r="AG74" i="5"/>
  <c r="G42" i="5"/>
  <c r="AK39" i="5"/>
  <c r="AG39" i="5"/>
  <c r="G35" i="5"/>
  <c r="G27" i="5"/>
  <c r="W18" i="5" s="1"/>
  <c r="G19" i="5"/>
  <c r="S18" i="5"/>
  <c r="W16" i="5"/>
  <c r="S16" i="5"/>
  <c r="O16" i="5"/>
  <c r="G11" i="5"/>
  <c r="O5" i="5" s="1"/>
  <c r="W9" i="5"/>
  <c r="S9" i="5"/>
  <c r="O9" i="5"/>
  <c r="G8" i="5"/>
  <c r="S5" i="5"/>
  <c r="AK4" i="5"/>
  <c r="AG4" i="5"/>
  <c r="AK74" i="4"/>
  <c r="AG74" i="4"/>
  <c r="G42" i="4"/>
  <c r="AK39" i="4"/>
  <c r="AG39" i="4"/>
  <c r="G35" i="4"/>
  <c r="G27" i="4"/>
  <c r="G30" i="4" s="1"/>
  <c r="G19" i="4"/>
  <c r="G11" i="4"/>
  <c r="O4" i="4" s="1"/>
  <c r="G8" i="4"/>
  <c r="AK4" i="4"/>
  <c r="AG4" i="4"/>
  <c r="S4" i="4"/>
  <c r="O18" i="7" l="1"/>
  <c r="W5" i="7"/>
  <c r="W17" i="7"/>
  <c r="G30" i="7"/>
  <c r="W18" i="7"/>
  <c r="S18" i="7"/>
  <c r="O5" i="7"/>
  <c r="G14" i="7"/>
  <c r="G32" i="6"/>
  <c r="G31" i="6"/>
  <c r="G16" i="6"/>
  <c r="G15" i="6"/>
  <c r="G24" i="6" s="1"/>
  <c r="K10" i="6" s="1"/>
  <c r="O4" i="6"/>
  <c r="O6" i="6" s="1"/>
  <c r="O7" i="6" s="1"/>
  <c r="W4" i="6"/>
  <c r="W6" i="6" s="1"/>
  <c r="W7" i="6" s="1"/>
  <c r="G14" i="5"/>
  <c r="G16" i="5" s="1"/>
  <c r="O18" i="5"/>
  <c r="G15" i="5"/>
  <c r="O19" i="5"/>
  <c r="W19" i="5"/>
  <c r="G30" i="5"/>
  <c r="W5" i="5"/>
  <c r="S19" i="5"/>
  <c r="O22" i="5"/>
  <c r="W4" i="4"/>
  <c r="G32" i="4"/>
  <c r="G31" i="4"/>
  <c r="G14" i="4"/>
  <c r="O21" i="7" l="1"/>
  <c r="S21" i="7"/>
  <c r="O7" i="7"/>
  <c r="G16" i="7"/>
  <c r="G15" i="7"/>
  <c r="W21" i="7"/>
  <c r="G31" i="7"/>
  <c r="G32" i="7"/>
  <c r="W7" i="7"/>
  <c r="G32" i="5"/>
  <c r="G31" i="5"/>
  <c r="G24" i="5" s="1"/>
  <c r="K12" i="5" s="1"/>
  <c r="S22" i="5"/>
  <c r="W22" i="5"/>
  <c r="G16" i="4"/>
  <c r="G15" i="4"/>
  <c r="G24" i="4" s="1"/>
  <c r="K10" i="4" s="1"/>
  <c r="G24" i="7" l="1"/>
  <c r="K12" i="7" s="1"/>
  <c r="G7" i="5"/>
  <c r="W4" i="5"/>
  <c r="G41" i="5"/>
  <c r="G40" i="5"/>
  <c r="S4" i="5"/>
  <c r="S10" i="5" s="1"/>
  <c r="O4" i="5"/>
  <c r="W6" i="5"/>
  <c r="W7" i="5" s="1"/>
  <c r="G6" i="5"/>
  <c r="S6" i="5"/>
  <c r="S7" i="5" s="1"/>
  <c r="O6" i="5"/>
  <c r="O7" i="5" s="1"/>
  <c r="S11" i="5" l="1"/>
  <c r="S12" i="5" s="1"/>
  <c r="S17" i="5" s="1"/>
  <c r="S8" i="5"/>
  <c r="O8" i="5"/>
  <c r="K4" i="5"/>
  <c r="W10" i="5"/>
  <c r="W11" i="5" s="1"/>
  <c r="W12" i="5" s="1"/>
  <c r="W8" i="5"/>
  <c r="O10" i="5"/>
  <c r="O11" i="5" s="1"/>
  <c r="O12" i="5" s="1"/>
  <c r="S13" i="5" l="1"/>
  <c r="O17" i="5"/>
  <c r="O13" i="5"/>
  <c r="W17" i="5"/>
  <c r="W13" i="5"/>
  <c r="K5" i="5"/>
  <c r="S20" i="5"/>
  <c r="S25" i="5"/>
  <c r="S27" i="5" s="1"/>
  <c r="G40" i="4"/>
  <c r="G41" i="4"/>
  <c r="S5" i="4"/>
  <c r="G6" i="4"/>
  <c r="W5" i="4"/>
  <c r="O5" i="4"/>
  <c r="G7" i="4"/>
  <c r="W20" i="5" l="1"/>
  <c r="W25" i="5"/>
  <c r="W27" i="5" s="1"/>
  <c r="AD4" i="5"/>
  <c r="AF4" i="5"/>
  <c r="AH4" i="5"/>
  <c r="O20" i="5"/>
  <c r="O25" i="5"/>
  <c r="O27" i="5" s="1"/>
  <c r="S6" i="4"/>
  <c r="S7" i="4"/>
  <c r="S8" i="4" s="1"/>
  <c r="S12" i="4" s="1"/>
  <c r="W6" i="4"/>
  <c r="W7" i="4"/>
  <c r="W8" i="4" s="1"/>
  <c r="O6" i="4"/>
  <c r="O7" i="4"/>
  <c r="O8" i="4" s="1"/>
  <c r="AI4" i="5" l="1"/>
  <c r="AC5" i="5" s="1"/>
  <c r="AF74" i="5"/>
  <c r="AD74" i="5"/>
  <c r="AH74" i="5"/>
  <c r="AH39" i="5"/>
  <c r="AD39" i="5"/>
  <c r="AF39" i="5"/>
  <c r="AJ4" i="5"/>
  <c r="AE5" i="5" s="1"/>
  <c r="O12" i="4"/>
  <c r="O18" i="4" s="1"/>
  <c r="S18" i="4"/>
  <c r="S13" i="4"/>
  <c r="S17" i="4" s="1"/>
  <c r="W12" i="4"/>
  <c r="W18" i="4" s="1"/>
  <c r="AI39" i="5" l="1"/>
  <c r="AC40" i="5" s="1"/>
  <c r="AJ39" i="5"/>
  <c r="AE40" i="5" s="1"/>
  <c r="AI74" i="5"/>
  <c r="AC75" i="5" s="1"/>
  <c r="AD75" i="5" s="1"/>
  <c r="AJ74" i="5"/>
  <c r="AE75" i="5" s="1"/>
  <c r="AK5" i="5"/>
  <c r="AF5" i="5"/>
  <c r="AF75" i="5"/>
  <c r="AD40" i="5"/>
  <c r="AF40" i="5"/>
  <c r="AG5" i="5"/>
  <c r="AH5" i="5" s="1"/>
  <c r="AD5" i="5"/>
  <c r="S19" i="4"/>
  <c r="W13" i="4"/>
  <c r="W17" i="4" s="1"/>
  <c r="O13" i="4"/>
  <c r="O17" i="4" s="1"/>
  <c r="AK75" i="5" l="1"/>
  <c r="AG40" i="5"/>
  <c r="AH40" i="5" s="1"/>
  <c r="AJ40" i="5" s="1"/>
  <c r="AE41" i="5" s="1"/>
  <c r="AF41" i="5" s="1"/>
  <c r="AK40" i="5"/>
  <c r="AG75" i="5"/>
  <c r="AH75" i="5" s="1"/>
  <c r="AI75" i="5" s="1"/>
  <c r="AC76" i="5" s="1"/>
  <c r="AD76" i="5" s="1"/>
  <c r="AI5" i="5"/>
  <c r="AC6" i="5" s="1"/>
  <c r="AJ5" i="5"/>
  <c r="AE6" i="5" s="1"/>
  <c r="W19" i="4"/>
  <c r="O19" i="4"/>
  <c r="S22" i="4"/>
  <c r="S20" i="4"/>
  <c r="AI40" i="5" l="1"/>
  <c r="AC41" i="5" s="1"/>
  <c r="AD41" i="5" s="1"/>
  <c r="AG41" i="5"/>
  <c r="AH41" i="5" s="1"/>
  <c r="AJ41" i="5" s="1"/>
  <c r="AE42" i="5" s="1"/>
  <c r="AK41" i="5"/>
  <c r="AJ75" i="5"/>
  <c r="AE76" i="5" s="1"/>
  <c r="AG76" i="5" s="1"/>
  <c r="AH76" i="5" s="1"/>
  <c r="AI76" i="5" s="1"/>
  <c r="AC77" i="5" s="1"/>
  <c r="AK6" i="5"/>
  <c r="AF6" i="5"/>
  <c r="AG6" i="5"/>
  <c r="AH6" i="5" s="1"/>
  <c r="AD6" i="5"/>
  <c r="AK76" i="5"/>
  <c r="AF76" i="5"/>
  <c r="S25" i="4"/>
  <c r="S27" i="4" s="1"/>
  <c r="O22" i="4"/>
  <c r="O20" i="4"/>
  <c r="AF4" i="4"/>
  <c r="AH4" i="4"/>
  <c r="AD4" i="4"/>
  <c r="W22" i="4"/>
  <c r="W20" i="4"/>
  <c r="AG42" i="5" l="1"/>
  <c r="AH42" i="5" s="1"/>
  <c r="AI41" i="5"/>
  <c r="AC42" i="5" s="1"/>
  <c r="AD42" i="5" s="1"/>
  <c r="AI6" i="5"/>
  <c r="AC7" i="5" s="1"/>
  <c r="AJ6" i="5"/>
  <c r="AE7" i="5" s="1"/>
  <c r="AD77" i="5"/>
  <c r="AJ76" i="5"/>
  <c r="AE77" i="5" s="1"/>
  <c r="AD7" i="5"/>
  <c r="AK42" i="5"/>
  <c r="AF42" i="5"/>
  <c r="AJ42" i="5" s="1"/>
  <c r="AE43" i="5" s="1"/>
  <c r="AI42" i="5"/>
  <c r="AC43" i="5" s="1"/>
  <c r="AI4" i="4"/>
  <c r="AC5" i="4" s="1"/>
  <c r="AJ4" i="4"/>
  <c r="AE5" i="4" s="1"/>
  <c r="AG5" i="4" s="1"/>
  <c r="AH5" i="4" s="1"/>
  <c r="AH39" i="4"/>
  <c r="AD39" i="4"/>
  <c r="AF39" i="4"/>
  <c r="AJ39" i="4" s="1"/>
  <c r="AE40" i="4" s="1"/>
  <c r="W25" i="4"/>
  <c r="W27" i="4" s="1"/>
  <c r="AD5" i="4"/>
  <c r="AK5" i="4"/>
  <c r="AF74" i="4"/>
  <c r="AH74" i="4"/>
  <c r="AD74" i="4"/>
  <c r="O25" i="4"/>
  <c r="O27" i="4" s="1"/>
  <c r="AG7" i="5" l="1"/>
  <c r="AH7" i="5" s="1"/>
  <c r="AI7" i="5" s="1"/>
  <c r="AC8" i="5" s="1"/>
  <c r="AF7" i="5"/>
  <c r="AK7" i="5"/>
  <c r="AG43" i="5"/>
  <c r="AH43" i="5" s="1"/>
  <c r="AD43" i="5"/>
  <c r="AK43" i="5"/>
  <c r="AF43" i="5"/>
  <c r="AJ43" i="5" s="1"/>
  <c r="AE44" i="5" s="1"/>
  <c r="AK77" i="5"/>
  <c r="AF77" i="5"/>
  <c r="AG77" i="5"/>
  <c r="AH77" i="5" s="1"/>
  <c r="AI77" i="5" s="1"/>
  <c r="AC78" i="5" s="1"/>
  <c r="AI39" i="4"/>
  <c r="AC40" i="4" s="1"/>
  <c r="AI74" i="4"/>
  <c r="AC75" i="4" s="1"/>
  <c r="AD75" i="4" s="1"/>
  <c r="AK40" i="4"/>
  <c r="AF5" i="4"/>
  <c r="AI5" i="4"/>
  <c r="AC6" i="4" s="1"/>
  <c r="AD6" i="4" s="1"/>
  <c r="AF40" i="4"/>
  <c r="AJ5" i="4"/>
  <c r="AE6" i="4" s="1"/>
  <c r="AF6" i="4" s="1"/>
  <c r="AJ74" i="4"/>
  <c r="AE75" i="4" s="1"/>
  <c r="AG75" i="4" s="1"/>
  <c r="AH75" i="4" s="1"/>
  <c r="AI75" i="4" s="1"/>
  <c r="AC76" i="4" s="1"/>
  <c r="AG40" i="4"/>
  <c r="AH40" i="4" s="1"/>
  <c r="AJ40" i="4" s="1"/>
  <c r="AE41" i="4" s="1"/>
  <c r="AD40" i="4"/>
  <c r="AK6" i="4"/>
  <c r="AD8" i="5" l="1"/>
  <c r="AJ7" i="5"/>
  <c r="AE8" i="5" s="1"/>
  <c r="AF8" i="5" s="1"/>
  <c r="AI43" i="5"/>
  <c r="AC44" i="5" s="1"/>
  <c r="AD44" i="5" s="1"/>
  <c r="AD78" i="5"/>
  <c r="AK44" i="5"/>
  <c r="AF44" i="5"/>
  <c r="AJ77" i="5"/>
  <c r="AE78" i="5" s="1"/>
  <c r="AG6" i="4"/>
  <c r="AH6" i="4" s="1"/>
  <c r="AJ6" i="4" s="1"/>
  <c r="AE7" i="4" s="1"/>
  <c r="AI40" i="4"/>
  <c r="AC41" i="4" s="1"/>
  <c r="AD41" i="4" s="1"/>
  <c r="AD76" i="4"/>
  <c r="AK41" i="4"/>
  <c r="AF41" i="4"/>
  <c r="AG41" i="4"/>
  <c r="AH41" i="4" s="1"/>
  <c r="AK75" i="4"/>
  <c r="AF75" i="4"/>
  <c r="AJ75" i="4" s="1"/>
  <c r="AE76" i="4" s="1"/>
  <c r="AG44" i="5" l="1"/>
  <c r="AH44" i="5" s="1"/>
  <c r="AJ44" i="5" s="1"/>
  <c r="AE45" i="5" s="1"/>
  <c r="AF45" i="5" s="1"/>
  <c r="AG8" i="5"/>
  <c r="AH8" i="5" s="1"/>
  <c r="AI8" i="5" s="1"/>
  <c r="AC9" i="5" s="1"/>
  <c r="AD9" i="5" s="1"/>
  <c r="AK8" i="5"/>
  <c r="AK78" i="5"/>
  <c r="AF78" i="5"/>
  <c r="AI44" i="5"/>
  <c r="AC45" i="5" s="1"/>
  <c r="AG78" i="5"/>
  <c r="AH78" i="5" s="1"/>
  <c r="AI78" i="5" s="1"/>
  <c r="AC79" i="5" s="1"/>
  <c r="AI6" i="4"/>
  <c r="AC7" i="4" s="1"/>
  <c r="AD7" i="4" s="1"/>
  <c r="AK7" i="4"/>
  <c r="AG7" i="4"/>
  <c r="AH7" i="4" s="1"/>
  <c r="AF7" i="4"/>
  <c r="AJ7" i="4" s="1"/>
  <c r="AE8" i="4" s="1"/>
  <c r="AI7" i="4"/>
  <c r="AC8" i="4" s="1"/>
  <c r="AD8" i="4" s="1"/>
  <c r="AI41" i="4"/>
  <c r="AC42" i="4" s="1"/>
  <c r="AJ41" i="4"/>
  <c r="AE42" i="4" s="1"/>
  <c r="AK76" i="4"/>
  <c r="AF76" i="4"/>
  <c r="AG76" i="4"/>
  <c r="AH76" i="4" s="1"/>
  <c r="AI76" i="4" s="1"/>
  <c r="AC77" i="4" s="1"/>
  <c r="AJ8" i="5" l="1"/>
  <c r="AE9" i="5" s="1"/>
  <c r="AD79" i="5"/>
  <c r="AG45" i="5"/>
  <c r="AH45" i="5" s="1"/>
  <c r="AJ45" i="5" s="1"/>
  <c r="AE46" i="5" s="1"/>
  <c r="AD45" i="5"/>
  <c r="AJ78" i="5"/>
  <c r="AE79" i="5" s="1"/>
  <c r="AK45" i="5"/>
  <c r="AF8" i="4"/>
  <c r="AG8" i="4"/>
  <c r="AH8" i="4" s="1"/>
  <c r="AI8" i="4" s="1"/>
  <c r="AC9" i="4" s="1"/>
  <c r="AD9" i="4" s="1"/>
  <c r="AK8" i="4"/>
  <c r="AD77" i="4"/>
  <c r="AJ76" i="4"/>
  <c r="AE77" i="4" s="1"/>
  <c r="AK42" i="4"/>
  <c r="AF42" i="4"/>
  <c r="AJ8" i="4"/>
  <c r="AE9" i="4" s="1"/>
  <c r="AG42" i="4"/>
  <c r="AH42" i="4" s="1"/>
  <c r="AD42" i="4"/>
  <c r="AI45" i="5" l="1"/>
  <c r="AC46" i="5" s="1"/>
  <c r="AK9" i="5"/>
  <c r="AG9" i="5"/>
  <c r="AH9" i="5" s="1"/>
  <c r="AI9" i="5" s="1"/>
  <c r="AC10" i="5" s="1"/>
  <c r="AD10" i="5" s="1"/>
  <c r="AF9" i="5"/>
  <c r="AK46" i="5"/>
  <c r="AF46" i="5"/>
  <c r="AG46" i="5"/>
  <c r="AH46" i="5" s="1"/>
  <c r="AD46" i="5"/>
  <c r="AK79" i="5"/>
  <c r="AF79" i="5"/>
  <c r="AG79" i="5"/>
  <c r="AH79" i="5" s="1"/>
  <c r="AI79" i="5" s="1"/>
  <c r="AC80" i="5" s="1"/>
  <c r="AK9" i="4"/>
  <c r="AF9" i="4"/>
  <c r="AI42" i="4"/>
  <c r="AC43" i="4" s="1"/>
  <c r="AK77" i="4"/>
  <c r="AF77" i="4"/>
  <c r="AJ42" i="4"/>
  <c r="AE43" i="4" s="1"/>
  <c r="AG9" i="4"/>
  <c r="AH9" i="4" s="1"/>
  <c r="AI9" i="4" s="1"/>
  <c r="AC10" i="4" s="1"/>
  <c r="AG77" i="4"/>
  <c r="AH77" i="4" s="1"/>
  <c r="AI77" i="4" s="1"/>
  <c r="AC78" i="4" s="1"/>
  <c r="AJ9" i="5" l="1"/>
  <c r="AE10" i="5" s="1"/>
  <c r="AG10" i="5" s="1"/>
  <c r="AH10" i="5" s="1"/>
  <c r="AI10" i="5" s="1"/>
  <c r="AC11" i="5" s="1"/>
  <c r="AI46" i="5"/>
  <c r="AC47" i="5" s="1"/>
  <c r="AD80" i="5"/>
  <c r="AD47" i="5"/>
  <c r="AJ46" i="5"/>
  <c r="AE47" i="5" s="1"/>
  <c r="AJ79" i="5"/>
  <c r="AE80" i="5" s="1"/>
  <c r="AD78" i="4"/>
  <c r="AD10" i="4"/>
  <c r="AK43" i="4"/>
  <c r="AF43" i="4"/>
  <c r="AJ77" i="4"/>
  <c r="AE78" i="4" s="1"/>
  <c r="AG43" i="4"/>
  <c r="AH43" i="4" s="1"/>
  <c r="AD43" i="4"/>
  <c r="AJ9" i="4"/>
  <c r="AE10" i="4" s="1"/>
  <c r="AK10" i="5" l="1"/>
  <c r="AF10" i="5"/>
  <c r="AJ10" i="5" s="1"/>
  <c r="AE11" i="5" s="1"/>
  <c r="AG11" i="5" s="1"/>
  <c r="AH11" i="5" s="1"/>
  <c r="AI11" i="5" s="1"/>
  <c r="AC12" i="5" s="1"/>
  <c r="AD12" i="5" s="1"/>
  <c r="AD11" i="5"/>
  <c r="AK80" i="5"/>
  <c r="AF80" i="5"/>
  <c r="AK47" i="5"/>
  <c r="AF47" i="5"/>
  <c r="AG47" i="5"/>
  <c r="AH47" i="5" s="1"/>
  <c r="AI47" i="5" s="1"/>
  <c r="AC48" i="5" s="1"/>
  <c r="AG80" i="5"/>
  <c r="AH80" i="5" s="1"/>
  <c r="AI80" i="5" s="1"/>
  <c r="AC81" i="5" s="1"/>
  <c r="AI43" i="4"/>
  <c r="AC44" i="4" s="1"/>
  <c r="AD44" i="4"/>
  <c r="AK78" i="4"/>
  <c r="AF78" i="4"/>
  <c r="AK10" i="4"/>
  <c r="AF10" i="4"/>
  <c r="AJ43" i="4"/>
  <c r="AE44" i="4" s="1"/>
  <c r="AG10" i="4"/>
  <c r="AH10" i="4" s="1"/>
  <c r="AI10" i="4" s="1"/>
  <c r="AC11" i="4" s="1"/>
  <c r="AG78" i="4"/>
  <c r="AH78" i="4" s="1"/>
  <c r="AI78" i="4" s="1"/>
  <c r="AC79" i="4" s="1"/>
  <c r="AK11" i="5" l="1"/>
  <c r="AF11" i="5"/>
  <c r="AJ11" i="5" s="1"/>
  <c r="AE12" i="5" s="1"/>
  <c r="AD81" i="5"/>
  <c r="AD48" i="5"/>
  <c r="AJ47" i="5"/>
  <c r="AE48" i="5" s="1"/>
  <c r="AK12" i="5"/>
  <c r="AF12" i="5"/>
  <c r="AG12" i="5"/>
  <c r="AH12" i="5" s="1"/>
  <c r="AI12" i="5" s="1"/>
  <c r="AC13" i="5" s="1"/>
  <c r="AJ80" i="5"/>
  <c r="AE81" i="5" s="1"/>
  <c r="AD79" i="4"/>
  <c r="AD11" i="4"/>
  <c r="AK44" i="4"/>
  <c r="AF44" i="4"/>
  <c r="AJ10" i="4"/>
  <c r="AE11" i="4" s="1"/>
  <c r="AJ78" i="4"/>
  <c r="AE79" i="4" s="1"/>
  <c r="AG44" i="4"/>
  <c r="AH44" i="4" s="1"/>
  <c r="AI44" i="4" s="1"/>
  <c r="AC45" i="4" s="1"/>
  <c r="AD13" i="5" l="1"/>
  <c r="AK81" i="5"/>
  <c r="AF81" i="5"/>
  <c r="AJ12" i="5"/>
  <c r="AE13" i="5" s="1"/>
  <c r="AK48" i="5"/>
  <c r="AF48" i="5"/>
  <c r="AG48" i="5"/>
  <c r="AH48" i="5" s="1"/>
  <c r="AI48" i="5" s="1"/>
  <c r="AC49" i="5" s="1"/>
  <c r="AG81" i="5"/>
  <c r="AH81" i="5" s="1"/>
  <c r="AI81" i="5" s="1"/>
  <c r="AC82" i="5" s="1"/>
  <c r="AD45" i="4"/>
  <c r="AK79" i="4"/>
  <c r="AF79" i="4"/>
  <c r="AK11" i="4"/>
  <c r="AF11" i="4"/>
  <c r="AJ44" i="4"/>
  <c r="AE45" i="4" s="1"/>
  <c r="AG11" i="4"/>
  <c r="AH11" i="4" s="1"/>
  <c r="AI11" i="4" s="1"/>
  <c r="AC12" i="4" s="1"/>
  <c r="AG79" i="4"/>
  <c r="AH79" i="4" s="1"/>
  <c r="AI79" i="4" s="1"/>
  <c r="AC80" i="4" s="1"/>
  <c r="AD82" i="5" l="1"/>
  <c r="AD49" i="5"/>
  <c r="AK13" i="5"/>
  <c r="AF13" i="5"/>
  <c r="AJ48" i="5"/>
  <c r="AE49" i="5" s="1"/>
  <c r="AJ81" i="5"/>
  <c r="AE82" i="5" s="1"/>
  <c r="AG13" i="5"/>
  <c r="AH13" i="5" s="1"/>
  <c r="AI13" i="5" s="1"/>
  <c r="AC14" i="5" s="1"/>
  <c r="AD80" i="4"/>
  <c r="AD12" i="4"/>
  <c r="AK45" i="4"/>
  <c r="AF45" i="4"/>
  <c r="AJ11" i="4"/>
  <c r="AE12" i="4" s="1"/>
  <c r="AJ79" i="4"/>
  <c r="AE80" i="4" s="1"/>
  <c r="AG45" i="4"/>
  <c r="AH45" i="4" s="1"/>
  <c r="AI45" i="4" s="1"/>
  <c r="AC46" i="4" s="1"/>
  <c r="AD14" i="5" l="1"/>
  <c r="AK82" i="5"/>
  <c r="AF82" i="5"/>
  <c r="AK49" i="5"/>
  <c r="AF49" i="5"/>
  <c r="AG49" i="5"/>
  <c r="AH49" i="5" s="1"/>
  <c r="AI49" i="5" s="1"/>
  <c r="AC50" i="5" s="1"/>
  <c r="AJ13" i="5"/>
  <c r="AE14" i="5" s="1"/>
  <c r="AG82" i="5"/>
  <c r="AH82" i="5" s="1"/>
  <c r="AI82" i="5" s="1"/>
  <c r="AC83" i="5" s="1"/>
  <c r="AD46" i="4"/>
  <c r="AJ45" i="4"/>
  <c r="AE46" i="4" s="1"/>
  <c r="AK12" i="4"/>
  <c r="AF12" i="4"/>
  <c r="AK80" i="4"/>
  <c r="AF80" i="4"/>
  <c r="AG12" i="4"/>
  <c r="AH12" i="4" s="1"/>
  <c r="AI12" i="4" s="1"/>
  <c r="AC13" i="4" s="1"/>
  <c r="AG80" i="4"/>
  <c r="AH80" i="4" s="1"/>
  <c r="AI80" i="4" s="1"/>
  <c r="AC81" i="4" s="1"/>
  <c r="AD83" i="5" l="1"/>
  <c r="AD50" i="5"/>
  <c r="AJ49" i="5"/>
  <c r="AE50" i="5" s="1"/>
  <c r="AK14" i="5"/>
  <c r="AF14" i="5"/>
  <c r="AJ82" i="5"/>
  <c r="AE83" i="5" s="1"/>
  <c r="AG14" i="5"/>
  <c r="AH14" i="5" s="1"/>
  <c r="AI14" i="5" s="1"/>
  <c r="AC15" i="5" s="1"/>
  <c r="AD81" i="4"/>
  <c r="AD13" i="4"/>
  <c r="AJ80" i="4"/>
  <c r="AE81" i="4" s="1"/>
  <c r="AJ12" i="4"/>
  <c r="AE13" i="4" s="1"/>
  <c r="AK46" i="4"/>
  <c r="AF46" i="4"/>
  <c r="AG46" i="4"/>
  <c r="AH46" i="4" s="1"/>
  <c r="AI46" i="4" s="1"/>
  <c r="AC47" i="4" s="1"/>
  <c r="AD15" i="5" l="1"/>
  <c r="AJ14" i="5"/>
  <c r="AE15" i="5" s="1"/>
  <c r="AK50" i="5"/>
  <c r="AF50" i="5"/>
  <c r="AK83" i="5"/>
  <c r="AF83" i="5"/>
  <c r="AG50" i="5"/>
  <c r="AH50" i="5" s="1"/>
  <c r="AI50" i="5" s="1"/>
  <c r="AC51" i="5" s="1"/>
  <c r="AG83" i="5"/>
  <c r="AH83" i="5" s="1"/>
  <c r="AI83" i="5" s="1"/>
  <c r="AC84" i="5" s="1"/>
  <c r="AD47" i="4"/>
  <c r="AJ46" i="4"/>
  <c r="AE47" i="4" s="1"/>
  <c r="AK13" i="4"/>
  <c r="AF13" i="4"/>
  <c r="AK81" i="4"/>
  <c r="AF81" i="4"/>
  <c r="AG13" i="4"/>
  <c r="AH13" i="4" s="1"/>
  <c r="AI13" i="4" s="1"/>
  <c r="AC14" i="4" s="1"/>
  <c r="AG81" i="4"/>
  <c r="AH81" i="4" s="1"/>
  <c r="AI81" i="4" s="1"/>
  <c r="AC82" i="4" s="1"/>
  <c r="AD84" i="5" l="1"/>
  <c r="AD51" i="5"/>
  <c r="AJ83" i="5"/>
  <c r="AE84" i="5" s="1"/>
  <c r="AJ50" i="5"/>
  <c r="AE51" i="5" s="1"/>
  <c r="AK15" i="5"/>
  <c r="AF15" i="5"/>
  <c r="AG15" i="5"/>
  <c r="AH15" i="5" s="1"/>
  <c r="AI15" i="5" s="1"/>
  <c r="AC16" i="5" s="1"/>
  <c r="AD82" i="4"/>
  <c r="AD14" i="4"/>
  <c r="AJ81" i="4"/>
  <c r="AE82" i="4" s="1"/>
  <c r="AJ13" i="4"/>
  <c r="AE14" i="4" s="1"/>
  <c r="AK47" i="4"/>
  <c r="AF47" i="4"/>
  <c r="AG47" i="4"/>
  <c r="AH47" i="4" s="1"/>
  <c r="AI47" i="4" s="1"/>
  <c r="AC48" i="4" s="1"/>
  <c r="AD16" i="5" l="1"/>
  <c r="AJ15" i="5"/>
  <c r="AE16" i="5" s="1"/>
  <c r="AK51" i="5"/>
  <c r="AF51" i="5"/>
  <c r="AK84" i="5"/>
  <c r="AF84" i="5"/>
  <c r="AG51" i="5"/>
  <c r="AH51" i="5" s="1"/>
  <c r="AI51" i="5" s="1"/>
  <c r="AC52" i="5" s="1"/>
  <c r="AG84" i="5"/>
  <c r="AH84" i="5" s="1"/>
  <c r="AI84" i="5" s="1"/>
  <c r="AC85" i="5" s="1"/>
  <c r="AD48" i="4"/>
  <c r="AJ47" i="4"/>
  <c r="AE48" i="4" s="1"/>
  <c r="AK82" i="4"/>
  <c r="AF82" i="4"/>
  <c r="AK14" i="4"/>
  <c r="AF14" i="4"/>
  <c r="AG14" i="4"/>
  <c r="AH14" i="4" s="1"/>
  <c r="AI14" i="4" s="1"/>
  <c r="AC15" i="4" s="1"/>
  <c r="AG82" i="4"/>
  <c r="AH82" i="4" s="1"/>
  <c r="AI82" i="4" s="1"/>
  <c r="AC83" i="4" s="1"/>
  <c r="AD85" i="5" l="1"/>
  <c r="AD52" i="5"/>
  <c r="AJ84" i="5"/>
  <c r="AE85" i="5" s="1"/>
  <c r="AK16" i="5"/>
  <c r="AF16" i="5"/>
  <c r="AJ51" i="5"/>
  <c r="AE52" i="5" s="1"/>
  <c r="AG16" i="5"/>
  <c r="AH16" i="5" s="1"/>
  <c r="AI16" i="5" s="1"/>
  <c r="AC17" i="5" s="1"/>
  <c r="AD83" i="4"/>
  <c r="AD15" i="4"/>
  <c r="AJ14" i="4"/>
  <c r="AE15" i="4" s="1"/>
  <c r="AJ82" i="4"/>
  <c r="AE83" i="4" s="1"/>
  <c r="AK48" i="4"/>
  <c r="AF48" i="4"/>
  <c r="AG48" i="4"/>
  <c r="AH48" i="4" s="1"/>
  <c r="AI48" i="4" s="1"/>
  <c r="AC49" i="4" s="1"/>
  <c r="AD17" i="5" l="1"/>
  <c r="AK52" i="5"/>
  <c r="AF52" i="5"/>
  <c r="AK85" i="5"/>
  <c r="AF85" i="5"/>
  <c r="AJ16" i="5"/>
  <c r="AE17" i="5" s="1"/>
  <c r="AG52" i="5"/>
  <c r="AH52" i="5" s="1"/>
  <c r="AI52" i="5" s="1"/>
  <c r="AC53" i="5" s="1"/>
  <c r="AG85" i="5"/>
  <c r="AH85" i="5" s="1"/>
  <c r="AI85" i="5" s="1"/>
  <c r="AC86" i="5" s="1"/>
  <c r="AD49" i="4"/>
  <c r="AK83" i="4"/>
  <c r="AF83" i="4"/>
  <c r="AK15" i="4"/>
  <c r="AF15" i="4"/>
  <c r="AG15" i="4"/>
  <c r="AH15" i="4" s="1"/>
  <c r="AI15" i="4" s="1"/>
  <c r="AC16" i="4" s="1"/>
  <c r="AJ48" i="4"/>
  <c r="AE49" i="4" s="1"/>
  <c r="AG83" i="4"/>
  <c r="AH83" i="4" s="1"/>
  <c r="AI83" i="4" s="1"/>
  <c r="AC84" i="4" s="1"/>
  <c r="AD86" i="5" l="1"/>
  <c r="AD53" i="5"/>
  <c r="AJ85" i="5"/>
  <c r="AE86" i="5" s="1"/>
  <c r="AK17" i="5"/>
  <c r="AF17" i="5"/>
  <c r="AJ52" i="5"/>
  <c r="AE53" i="5" s="1"/>
  <c r="AG17" i="5"/>
  <c r="AH17" i="5" s="1"/>
  <c r="AI17" i="5" s="1"/>
  <c r="AC18" i="5" s="1"/>
  <c r="AD84" i="4"/>
  <c r="AD16" i="4"/>
  <c r="AJ15" i="4"/>
  <c r="AE16" i="4" s="1"/>
  <c r="AK49" i="4"/>
  <c r="AF49" i="4"/>
  <c r="AJ83" i="4"/>
  <c r="AE84" i="4" s="1"/>
  <c r="AG49" i="4"/>
  <c r="AH49" i="4" s="1"/>
  <c r="AI49" i="4" s="1"/>
  <c r="AC50" i="4" s="1"/>
  <c r="AD18" i="5" l="1"/>
  <c r="AK53" i="5"/>
  <c r="AF53" i="5"/>
  <c r="AK86" i="5"/>
  <c r="AF86" i="5"/>
  <c r="AG53" i="5"/>
  <c r="AH53" i="5" s="1"/>
  <c r="AI53" i="5" s="1"/>
  <c r="AC54" i="5" s="1"/>
  <c r="AJ17" i="5"/>
  <c r="AE18" i="5" s="1"/>
  <c r="AG86" i="5"/>
  <c r="AH86" i="5" s="1"/>
  <c r="AI86" i="5" s="1"/>
  <c r="AC87" i="5" s="1"/>
  <c r="AD50" i="4"/>
  <c r="AJ49" i="4"/>
  <c r="AE50" i="4" s="1"/>
  <c r="AK16" i="4"/>
  <c r="AF16" i="4"/>
  <c r="AK84" i="4"/>
  <c r="AF84" i="4"/>
  <c r="AG16" i="4"/>
  <c r="AH16" i="4" s="1"/>
  <c r="AI16" i="4" s="1"/>
  <c r="AC17" i="4" s="1"/>
  <c r="AG84" i="4"/>
  <c r="AH84" i="4" s="1"/>
  <c r="AI84" i="4" s="1"/>
  <c r="AC85" i="4" s="1"/>
  <c r="AD87" i="5" l="1"/>
  <c r="AD54" i="5"/>
  <c r="AJ53" i="5"/>
  <c r="AE54" i="5" s="1"/>
  <c r="AK18" i="5"/>
  <c r="AF18" i="5"/>
  <c r="AJ86" i="5"/>
  <c r="AE87" i="5" s="1"/>
  <c r="AG18" i="5"/>
  <c r="AH18" i="5" s="1"/>
  <c r="AI18" i="5" s="1"/>
  <c r="AC19" i="5" s="1"/>
  <c r="AD85" i="4"/>
  <c r="AD17" i="4"/>
  <c r="AJ84" i="4"/>
  <c r="AE85" i="4" s="1"/>
  <c r="AJ16" i="4"/>
  <c r="AE17" i="4" s="1"/>
  <c r="AK50" i="4"/>
  <c r="AF50" i="4"/>
  <c r="AG50" i="4"/>
  <c r="AH50" i="4" s="1"/>
  <c r="AI50" i="4" s="1"/>
  <c r="AC51" i="4" s="1"/>
  <c r="AD19" i="5" l="1"/>
  <c r="AK87" i="5"/>
  <c r="AF87" i="5"/>
  <c r="AJ18" i="5"/>
  <c r="AE19" i="5" s="1"/>
  <c r="AK54" i="5"/>
  <c r="AF54" i="5"/>
  <c r="AG54" i="5"/>
  <c r="AH54" i="5" s="1"/>
  <c r="AI54" i="5" s="1"/>
  <c r="AC55" i="5" s="1"/>
  <c r="AG87" i="5"/>
  <c r="AH87" i="5" s="1"/>
  <c r="AI87" i="5" s="1"/>
  <c r="AC88" i="5" s="1"/>
  <c r="AD51" i="4"/>
  <c r="AK85" i="4"/>
  <c r="AF85" i="4"/>
  <c r="AJ50" i="4"/>
  <c r="AE51" i="4" s="1"/>
  <c r="AK17" i="4"/>
  <c r="AF17" i="4"/>
  <c r="AG17" i="4"/>
  <c r="AH17" i="4" s="1"/>
  <c r="AI17" i="4" s="1"/>
  <c r="AC18" i="4" s="1"/>
  <c r="AG85" i="4"/>
  <c r="AH85" i="4" s="1"/>
  <c r="AI85" i="4" s="1"/>
  <c r="AC86" i="4" s="1"/>
  <c r="AD88" i="5" l="1"/>
  <c r="AD55" i="5"/>
  <c r="AJ54" i="5"/>
  <c r="AE55" i="5" s="1"/>
  <c r="AK19" i="5"/>
  <c r="AF19" i="5"/>
  <c r="AJ87" i="5"/>
  <c r="AE88" i="5" s="1"/>
  <c r="AG19" i="5"/>
  <c r="AH19" i="5" s="1"/>
  <c r="AI19" i="5" s="1"/>
  <c r="AC20" i="5" s="1"/>
  <c r="AD86" i="4"/>
  <c r="AD18" i="4"/>
  <c r="AJ85" i="4"/>
  <c r="AE86" i="4" s="1"/>
  <c r="AJ17" i="4"/>
  <c r="AE18" i="4" s="1"/>
  <c r="AK51" i="4"/>
  <c r="AF51" i="4"/>
  <c r="AG51" i="4"/>
  <c r="AH51" i="4" s="1"/>
  <c r="AI51" i="4" s="1"/>
  <c r="AC52" i="4" s="1"/>
  <c r="AD20" i="5" l="1"/>
  <c r="AK88" i="5"/>
  <c r="AF88" i="5"/>
  <c r="AK55" i="5"/>
  <c r="AF55" i="5"/>
  <c r="AG55" i="5"/>
  <c r="AH55" i="5" s="1"/>
  <c r="AI55" i="5" s="1"/>
  <c r="AC56" i="5" s="1"/>
  <c r="AJ19" i="5"/>
  <c r="AE20" i="5" s="1"/>
  <c r="AG88" i="5"/>
  <c r="AH88" i="5" s="1"/>
  <c r="AI88" i="5" s="1"/>
  <c r="AC89" i="5" s="1"/>
  <c r="AD52" i="4"/>
  <c r="AK18" i="4"/>
  <c r="AF18" i="4"/>
  <c r="AJ51" i="4"/>
  <c r="AE52" i="4" s="1"/>
  <c r="AK86" i="4"/>
  <c r="AF86" i="4"/>
  <c r="AG18" i="4"/>
  <c r="AH18" i="4" s="1"/>
  <c r="AI18" i="4" s="1"/>
  <c r="AC19" i="4" s="1"/>
  <c r="AG86" i="4"/>
  <c r="AH86" i="4" s="1"/>
  <c r="AI86" i="4" s="1"/>
  <c r="AC87" i="4" s="1"/>
  <c r="AD89" i="5" l="1"/>
  <c r="AD56" i="5"/>
  <c r="AK20" i="5"/>
  <c r="AF20" i="5"/>
  <c r="AJ88" i="5"/>
  <c r="AE89" i="5" s="1"/>
  <c r="AJ55" i="5"/>
  <c r="AE56" i="5" s="1"/>
  <c r="AG20" i="5"/>
  <c r="AH20" i="5" s="1"/>
  <c r="AI20" i="5" s="1"/>
  <c r="AC21" i="5" s="1"/>
  <c r="AD87" i="4"/>
  <c r="AD19" i="4"/>
  <c r="AJ86" i="4"/>
  <c r="AE87" i="4" s="1"/>
  <c r="AK52" i="4"/>
  <c r="AF52" i="4"/>
  <c r="AJ18" i="4"/>
  <c r="AE19" i="4" s="1"/>
  <c r="AG52" i="4"/>
  <c r="AH52" i="4" s="1"/>
  <c r="AI52" i="4" s="1"/>
  <c r="AC53" i="4" s="1"/>
  <c r="G41" i="7" l="1"/>
  <c r="G7" i="7"/>
  <c r="G40" i="7"/>
  <c r="W4" i="7"/>
  <c r="S4" i="7"/>
  <c r="S9" i="7" s="1"/>
  <c r="O4" i="7"/>
  <c r="G6" i="7"/>
  <c r="AD21" i="5"/>
  <c r="AK56" i="5"/>
  <c r="AF56" i="5"/>
  <c r="AK89" i="5"/>
  <c r="AF89" i="5"/>
  <c r="AJ20" i="5"/>
  <c r="AE21" i="5" s="1"/>
  <c r="AG56" i="5"/>
  <c r="AH56" i="5" s="1"/>
  <c r="AI56" i="5" s="1"/>
  <c r="AC57" i="5" s="1"/>
  <c r="AG89" i="5"/>
  <c r="AH89" i="5" s="1"/>
  <c r="AI89" i="5" s="1"/>
  <c r="AC90" i="5" s="1"/>
  <c r="AD53" i="4"/>
  <c r="AK19" i="4"/>
  <c r="AF19" i="4"/>
  <c r="AK87" i="4"/>
  <c r="AF87" i="4"/>
  <c r="AJ52" i="4"/>
  <c r="AE53" i="4" s="1"/>
  <c r="AG19" i="4"/>
  <c r="AH19" i="4" s="1"/>
  <c r="AI19" i="4" s="1"/>
  <c r="AC20" i="4" s="1"/>
  <c r="AG87" i="4"/>
  <c r="AH87" i="4" s="1"/>
  <c r="AI87" i="4" s="1"/>
  <c r="AC88" i="4" s="1"/>
  <c r="S10" i="7" l="1"/>
  <c r="S11" i="7" s="1"/>
  <c r="S16" i="7" s="1"/>
  <c r="W9" i="7"/>
  <c r="W10" i="7" s="1"/>
  <c r="W11" i="7" s="1"/>
  <c r="W16" i="7" s="1"/>
  <c r="K4" i="7"/>
  <c r="O9" i="7"/>
  <c r="O10" i="7" s="1"/>
  <c r="O11" i="7" s="1"/>
  <c r="O16" i="7" s="1"/>
  <c r="AD90" i="5"/>
  <c r="AD57" i="5"/>
  <c r="AK21" i="5"/>
  <c r="AF21" i="5"/>
  <c r="AJ89" i="5"/>
  <c r="AE90" i="5" s="1"/>
  <c r="AJ56" i="5"/>
  <c r="AE57" i="5" s="1"/>
  <c r="AG21" i="5"/>
  <c r="AH21" i="5" s="1"/>
  <c r="AI21" i="5" s="1"/>
  <c r="AC22" i="5" s="1"/>
  <c r="AD88" i="4"/>
  <c r="AD20" i="4"/>
  <c r="AK53" i="4"/>
  <c r="AF53" i="4"/>
  <c r="AJ87" i="4"/>
  <c r="AE88" i="4" s="1"/>
  <c r="AJ19" i="4"/>
  <c r="AE20" i="4" s="1"/>
  <c r="AG20" i="4" s="1"/>
  <c r="AH20" i="4" s="1"/>
  <c r="AG53" i="4"/>
  <c r="AH53" i="4" s="1"/>
  <c r="AI53" i="4" s="1"/>
  <c r="AC54" i="4" s="1"/>
  <c r="O19" i="7" l="1"/>
  <c r="O24" i="7"/>
  <c r="O26" i="7" s="1"/>
  <c r="W19" i="7"/>
  <c r="W24" i="7"/>
  <c r="W26" i="7" s="1"/>
  <c r="O12" i="7"/>
  <c r="W12" i="7"/>
  <c r="S12" i="7"/>
  <c r="K5" i="7"/>
  <c r="S19" i="7"/>
  <c r="S24" i="7"/>
  <c r="S26" i="7" s="1"/>
  <c r="AD22" i="5"/>
  <c r="AK57" i="5"/>
  <c r="AF57" i="5"/>
  <c r="AK90" i="5"/>
  <c r="AF90" i="5"/>
  <c r="AG57" i="5"/>
  <c r="AH57" i="5" s="1"/>
  <c r="AI57" i="5" s="1"/>
  <c r="AC58" i="5" s="1"/>
  <c r="AJ21" i="5"/>
  <c r="AE22" i="5" s="1"/>
  <c r="AG90" i="5"/>
  <c r="AH90" i="5" s="1"/>
  <c r="AI90" i="5" s="1"/>
  <c r="AC91" i="5" s="1"/>
  <c r="AD54" i="4"/>
  <c r="AJ53" i="4"/>
  <c r="AE54" i="4" s="1"/>
  <c r="AK88" i="4"/>
  <c r="AF88" i="4"/>
  <c r="AK20" i="4"/>
  <c r="AF20" i="4"/>
  <c r="AJ20" i="4" s="1"/>
  <c r="AE21" i="4" s="1"/>
  <c r="AI20" i="4"/>
  <c r="AC21" i="4" s="1"/>
  <c r="AG88" i="4"/>
  <c r="AH88" i="4" s="1"/>
  <c r="AI88" i="4" s="1"/>
  <c r="AC89" i="4" s="1"/>
  <c r="AD4" i="7" l="1"/>
  <c r="AF4" i="7"/>
  <c r="AH4" i="7"/>
  <c r="AD74" i="7"/>
  <c r="AF74" i="7"/>
  <c r="AH74" i="7"/>
  <c r="AH39" i="7"/>
  <c r="AD39" i="7"/>
  <c r="AF39" i="7"/>
  <c r="G40" i="6"/>
  <c r="G41" i="6"/>
  <c r="G7" i="6"/>
  <c r="S11" i="6"/>
  <c r="S17" i="6" s="1"/>
  <c r="G6" i="6"/>
  <c r="O11" i="6"/>
  <c r="W11" i="6"/>
  <c r="AD91" i="5"/>
  <c r="AD58" i="5"/>
  <c r="AK22" i="5"/>
  <c r="AF22" i="5"/>
  <c r="AJ90" i="5"/>
  <c r="AE91" i="5" s="1"/>
  <c r="AJ57" i="5"/>
  <c r="AE58" i="5" s="1"/>
  <c r="AG22" i="5"/>
  <c r="AH22" i="5" s="1"/>
  <c r="AI22" i="5" s="1"/>
  <c r="AC23" i="5" s="1"/>
  <c r="AD89" i="4"/>
  <c r="AG21" i="4"/>
  <c r="AH21" i="4" s="1"/>
  <c r="AD21" i="4"/>
  <c r="AK21" i="4"/>
  <c r="AF21" i="4"/>
  <c r="AJ21" i="4" s="1"/>
  <c r="AE22" i="4" s="1"/>
  <c r="AK54" i="4"/>
  <c r="AF54" i="4"/>
  <c r="AJ88" i="4"/>
  <c r="AE89" i="4" s="1"/>
  <c r="AG54" i="4"/>
  <c r="AH54" i="4" s="1"/>
  <c r="AI54" i="4" s="1"/>
  <c r="AC55" i="4" s="1"/>
  <c r="AI39" i="7" l="1"/>
  <c r="AC40" i="7" s="1"/>
  <c r="AJ39" i="7"/>
  <c r="AE40" i="7" s="1"/>
  <c r="AF40" i="7" s="1"/>
  <c r="AJ74" i="7"/>
  <c r="AE75" i="7" s="1"/>
  <c r="AF75" i="7" s="1"/>
  <c r="AJ4" i="7"/>
  <c r="AE5" i="7" s="1"/>
  <c r="AI4" i="7"/>
  <c r="AC5" i="7" s="1"/>
  <c r="AF5" i="7"/>
  <c r="AD40" i="7"/>
  <c r="AK40" i="7"/>
  <c r="AI74" i="7"/>
  <c r="AC75" i="7" s="1"/>
  <c r="W17" i="6"/>
  <c r="W12" i="6"/>
  <c r="W16" i="6" s="1"/>
  <c r="O17" i="6"/>
  <c r="O12" i="6"/>
  <c r="O16" i="6" s="1"/>
  <c r="S12" i="6"/>
  <c r="S16" i="6" s="1"/>
  <c r="AD23" i="5"/>
  <c r="AK58" i="5"/>
  <c r="AF58" i="5"/>
  <c r="AK91" i="5"/>
  <c r="AF91" i="5"/>
  <c r="AJ22" i="5"/>
  <c r="AE23" i="5" s="1"/>
  <c r="AG58" i="5"/>
  <c r="AH58" i="5" s="1"/>
  <c r="AI58" i="5" s="1"/>
  <c r="AC59" i="5" s="1"/>
  <c r="AG91" i="5"/>
  <c r="AH91" i="5" s="1"/>
  <c r="AI91" i="5" s="1"/>
  <c r="AC92" i="5" s="1"/>
  <c r="AI21" i="4"/>
  <c r="AC22" i="4" s="1"/>
  <c r="AK22" i="4" s="1"/>
  <c r="AD55" i="4"/>
  <c r="AK89" i="4"/>
  <c r="AF89" i="4"/>
  <c r="AJ54" i="4"/>
  <c r="AE55" i="4" s="1"/>
  <c r="AF22" i="4"/>
  <c r="AG89" i="4"/>
  <c r="AH89" i="4" s="1"/>
  <c r="AI89" i="4" s="1"/>
  <c r="AC90" i="4" s="1"/>
  <c r="AG5" i="7" l="1"/>
  <c r="AH5" i="7" s="1"/>
  <c r="AG40" i="7"/>
  <c r="AH40" i="7" s="1"/>
  <c r="AJ40" i="7" s="1"/>
  <c r="AE41" i="7" s="1"/>
  <c r="AF41" i="7" s="1"/>
  <c r="AD5" i="7"/>
  <c r="AK5" i="7"/>
  <c r="AJ5" i="7"/>
  <c r="AE6" i="7" s="1"/>
  <c r="AF6" i="7" s="1"/>
  <c r="AG75" i="7"/>
  <c r="AH75" i="7" s="1"/>
  <c r="AJ75" i="7" s="1"/>
  <c r="AE76" i="7" s="1"/>
  <c r="AD75" i="7"/>
  <c r="AK75" i="7"/>
  <c r="S18" i="6"/>
  <c r="W18" i="6"/>
  <c r="W19" i="6" s="1"/>
  <c r="O18" i="6"/>
  <c r="O19" i="6" s="1"/>
  <c r="AF39" i="6" s="1"/>
  <c r="AD92" i="5"/>
  <c r="AD59" i="5"/>
  <c r="AK23" i="5"/>
  <c r="AF23" i="5"/>
  <c r="AJ58" i="5"/>
  <c r="AE59" i="5" s="1"/>
  <c r="AG59" i="5" s="1"/>
  <c r="AH59" i="5" s="1"/>
  <c r="AJ91" i="5"/>
  <c r="AE92" i="5" s="1"/>
  <c r="AG23" i="5"/>
  <c r="AH23" i="5" s="1"/>
  <c r="AI23" i="5" s="1"/>
  <c r="AC24" i="5" s="1"/>
  <c r="AD22" i="4"/>
  <c r="AG22" i="4"/>
  <c r="AH22" i="4" s="1"/>
  <c r="AI22" i="4" s="1"/>
  <c r="AC23" i="4" s="1"/>
  <c r="AD90" i="4"/>
  <c r="AK55" i="4"/>
  <c r="AF55" i="4"/>
  <c r="AJ22" i="4"/>
  <c r="AE23" i="4" s="1"/>
  <c r="AJ89" i="4"/>
  <c r="AE90" i="4" s="1"/>
  <c r="AG55" i="4"/>
  <c r="AH55" i="4" s="1"/>
  <c r="AI55" i="4" s="1"/>
  <c r="AC56" i="4" s="1"/>
  <c r="AI5" i="7" l="1"/>
  <c r="AC6" i="7" s="1"/>
  <c r="AD6" i="7" s="1"/>
  <c r="AI40" i="7"/>
  <c r="AC41" i="7" s="1"/>
  <c r="AK41" i="7" s="1"/>
  <c r="AI75" i="7"/>
  <c r="AC76" i="7" s="1"/>
  <c r="AG76" i="7" s="1"/>
  <c r="AH76" i="7" s="1"/>
  <c r="AF76" i="7"/>
  <c r="AD39" i="6"/>
  <c r="AH74" i="6"/>
  <c r="AD74" i="6"/>
  <c r="AF74" i="6"/>
  <c r="AH39" i="6"/>
  <c r="O21" i="6"/>
  <c r="W21" i="6"/>
  <c r="S21" i="6"/>
  <c r="S19" i="6"/>
  <c r="AD24" i="5"/>
  <c r="AK92" i="5"/>
  <c r="AF92" i="5"/>
  <c r="AJ23" i="5"/>
  <c r="AE24" i="5" s="1"/>
  <c r="AK59" i="5"/>
  <c r="AF59" i="5"/>
  <c r="AJ59" i="5" s="1"/>
  <c r="AE60" i="5" s="1"/>
  <c r="AI59" i="5"/>
  <c r="AC60" i="5" s="1"/>
  <c r="AG92" i="5"/>
  <c r="AH92" i="5" s="1"/>
  <c r="AI92" i="5" s="1"/>
  <c r="AC93" i="5" s="1"/>
  <c r="AD56" i="4"/>
  <c r="AK90" i="4"/>
  <c r="AF90" i="4"/>
  <c r="AK23" i="4"/>
  <c r="AF23" i="4"/>
  <c r="AJ55" i="4"/>
  <c r="AE56" i="4" s="1"/>
  <c r="AG23" i="4"/>
  <c r="AH23" i="4" s="1"/>
  <c r="AD23" i="4"/>
  <c r="AG90" i="4"/>
  <c r="AH90" i="4" s="1"/>
  <c r="AI90" i="4" s="1"/>
  <c r="AC91" i="4" s="1"/>
  <c r="AK6" i="7" l="1"/>
  <c r="AG6" i="7"/>
  <c r="AH6" i="7" s="1"/>
  <c r="AJ6" i="7" s="1"/>
  <c r="AE7" i="7" s="1"/>
  <c r="AF7" i="7" s="1"/>
  <c r="AD41" i="7"/>
  <c r="AG41" i="7"/>
  <c r="AH41" i="7" s="1"/>
  <c r="AI6" i="7"/>
  <c r="AC7" i="7" s="1"/>
  <c r="AD7" i="7" s="1"/>
  <c r="AI39" i="6"/>
  <c r="AC40" i="6" s="1"/>
  <c r="AD40" i="6" s="1"/>
  <c r="AI41" i="7"/>
  <c r="AC42" i="7" s="1"/>
  <c r="AD42" i="7"/>
  <c r="AJ41" i="7"/>
  <c r="AE42" i="7" s="1"/>
  <c r="AK7" i="7"/>
  <c r="AG7" i="7"/>
  <c r="AH7" i="7" s="1"/>
  <c r="AJ7" i="7" s="1"/>
  <c r="AE8" i="7" s="1"/>
  <c r="AK76" i="7"/>
  <c r="AD76" i="7"/>
  <c r="AI76" i="7" s="1"/>
  <c r="AC77" i="7" s="1"/>
  <c r="AD77" i="7" s="1"/>
  <c r="AJ74" i="6"/>
  <c r="AE75" i="6" s="1"/>
  <c r="AF75" i="6" s="1"/>
  <c r="AJ76" i="7"/>
  <c r="AE77" i="7" s="1"/>
  <c r="AF77" i="7" s="1"/>
  <c r="AI74" i="6"/>
  <c r="AC75" i="6" s="1"/>
  <c r="AD75" i="6" s="1"/>
  <c r="O24" i="6"/>
  <c r="O26" i="6" s="1"/>
  <c r="AJ39" i="6"/>
  <c r="AE40" i="6" s="1"/>
  <c r="AF4" i="6"/>
  <c r="AH4" i="6"/>
  <c r="AD4" i="6"/>
  <c r="W24" i="6"/>
  <c r="W26" i="6" s="1"/>
  <c r="S24" i="6"/>
  <c r="S26" i="6" s="1"/>
  <c r="AD93" i="5"/>
  <c r="AG60" i="5"/>
  <c r="AH60" i="5" s="1"/>
  <c r="AD60" i="5"/>
  <c r="AK24" i="5"/>
  <c r="AF24" i="5"/>
  <c r="AK60" i="5"/>
  <c r="AF60" i="5"/>
  <c r="AJ92" i="5"/>
  <c r="AE93" i="5" s="1"/>
  <c r="AG24" i="5"/>
  <c r="AH24" i="5" s="1"/>
  <c r="AI24" i="5" s="1"/>
  <c r="AC25" i="5" s="1"/>
  <c r="AD91" i="4"/>
  <c r="AI23" i="4"/>
  <c r="AC24" i="4" s="1"/>
  <c r="AK56" i="4"/>
  <c r="AF56" i="4"/>
  <c r="AJ23" i="4"/>
  <c r="AE24" i="4" s="1"/>
  <c r="AJ90" i="4"/>
  <c r="AE91" i="4" s="1"/>
  <c r="AG56" i="4"/>
  <c r="AH56" i="4" s="1"/>
  <c r="AI56" i="4" s="1"/>
  <c r="AC57" i="4" s="1"/>
  <c r="AI7" i="7" l="1"/>
  <c r="AC8" i="7" s="1"/>
  <c r="AD8" i="7" s="1"/>
  <c r="AK42" i="7"/>
  <c r="AF42" i="7"/>
  <c r="AG42" i="7"/>
  <c r="AH42" i="7" s="1"/>
  <c r="AI42" i="7" s="1"/>
  <c r="AC43" i="7" s="1"/>
  <c r="AD43" i="7" s="1"/>
  <c r="AG77" i="7"/>
  <c r="AH77" i="7" s="1"/>
  <c r="AJ77" i="7" s="1"/>
  <c r="AE78" i="7" s="1"/>
  <c r="AF78" i="7" s="1"/>
  <c r="AK77" i="7"/>
  <c r="AG75" i="6"/>
  <c r="AH75" i="6" s="1"/>
  <c r="AI75" i="6" s="1"/>
  <c r="AC76" i="6" s="1"/>
  <c r="AD76" i="6" s="1"/>
  <c r="AK8" i="7"/>
  <c r="AF8" i="7"/>
  <c r="AG8" i="7"/>
  <c r="AH8" i="7" s="1"/>
  <c r="AI8" i="7" s="1"/>
  <c r="AC9" i="7" s="1"/>
  <c r="AK75" i="6"/>
  <c r="AI4" i="6"/>
  <c r="AC5" i="6" s="1"/>
  <c r="AJ4" i="6"/>
  <c r="AE5" i="6" s="1"/>
  <c r="AK40" i="6"/>
  <c r="AF40" i="6"/>
  <c r="AG40" i="6"/>
  <c r="AH40" i="6" s="1"/>
  <c r="AI40" i="6" s="1"/>
  <c r="AC41" i="6" s="1"/>
  <c r="AJ60" i="5"/>
  <c r="AE61" i="5" s="1"/>
  <c r="AD25" i="5"/>
  <c r="AK93" i="5"/>
  <c r="AF93" i="5"/>
  <c r="AF61" i="5"/>
  <c r="AJ24" i="5"/>
  <c r="AE25" i="5" s="1"/>
  <c r="AI60" i="5"/>
  <c r="AC61" i="5" s="1"/>
  <c r="AK61" i="5" s="1"/>
  <c r="AG93" i="5"/>
  <c r="AH93" i="5" s="1"/>
  <c r="AI93" i="5" s="1"/>
  <c r="AC94" i="5" s="1"/>
  <c r="AD57" i="4"/>
  <c r="AK91" i="4"/>
  <c r="AF91" i="4"/>
  <c r="AK24" i="4"/>
  <c r="AF24" i="4"/>
  <c r="AG24" i="4"/>
  <c r="AH24" i="4" s="1"/>
  <c r="AD24" i="4"/>
  <c r="AJ56" i="4"/>
  <c r="AE57" i="4" s="1"/>
  <c r="AG91" i="4"/>
  <c r="AH91" i="4" s="1"/>
  <c r="AI91" i="4" s="1"/>
  <c r="AC92" i="4" s="1"/>
  <c r="AI77" i="7" l="1"/>
  <c r="AC78" i="7" s="1"/>
  <c r="AK78" i="7" s="1"/>
  <c r="AJ42" i="7"/>
  <c r="AE43" i="7" s="1"/>
  <c r="AJ75" i="6"/>
  <c r="AE76" i="6" s="1"/>
  <c r="AK76" i="6" s="1"/>
  <c r="AG78" i="7"/>
  <c r="AH78" i="7" s="1"/>
  <c r="AJ78" i="7" s="1"/>
  <c r="AE79" i="7" s="1"/>
  <c r="AD9" i="7"/>
  <c r="AJ8" i="7"/>
  <c r="AE9" i="7" s="1"/>
  <c r="AD41" i="6"/>
  <c r="AK5" i="6"/>
  <c r="AF5" i="6"/>
  <c r="AJ40" i="6"/>
  <c r="AE41" i="6" s="1"/>
  <c r="AG5" i="6"/>
  <c r="AH5" i="6" s="1"/>
  <c r="AD5" i="6"/>
  <c r="AD94" i="5"/>
  <c r="AG61" i="5"/>
  <c r="AH61" i="5" s="1"/>
  <c r="AJ61" i="5" s="1"/>
  <c r="AE62" i="5" s="1"/>
  <c r="AD61" i="5"/>
  <c r="AK25" i="5"/>
  <c r="AF25" i="5"/>
  <c r="AJ93" i="5"/>
  <c r="AE94" i="5" s="1"/>
  <c r="AG25" i="5"/>
  <c r="AH25" i="5" s="1"/>
  <c r="AI25" i="5" s="1"/>
  <c r="AC26" i="5" s="1"/>
  <c r="AI24" i="4"/>
  <c r="AC25" i="4" s="1"/>
  <c r="AD92" i="4"/>
  <c r="AK57" i="4"/>
  <c r="AF57" i="4"/>
  <c r="AD25" i="4"/>
  <c r="AJ24" i="4"/>
  <c r="AE25" i="4" s="1"/>
  <c r="AJ91" i="4"/>
  <c r="AE92" i="4" s="1"/>
  <c r="AG57" i="4"/>
  <c r="AH57" i="4" s="1"/>
  <c r="AI57" i="4" s="1"/>
  <c r="AC58" i="4" s="1"/>
  <c r="AG76" i="6" l="1"/>
  <c r="AH76" i="6" s="1"/>
  <c r="AI76" i="6" s="1"/>
  <c r="AC77" i="6" s="1"/>
  <c r="AD78" i="7"/>
  <c r="AI78" i="7" s="1"/>
  <c r="AC79" i="7" s="1"/>
  <c r="AF76" i="6"/>
  <c r="AK43" i="7"/>
  <c r="AG43" i="7"/>
  <c r="AH43" i="7" s="1"/>
  <c r="AI43" i="7" s="1"/>
  <c r="AC44" i="7" s="1"/>
  <c r="AD44" i="7" s="1"/>
  <c r="AF43" i="7"/>
  <c r="AK9" i="7"/>
  <c r="AF9" i="7"/>
  <c r="AF79" i="7"/>
  <c r="AG9" i="7"/>
  <c r="AH9" i="7" s="1"/>
  <c r="AI9" i="7" s="1"/>
  <c r="AC10" i="7" s="1"/>
  <c r="AD77" i="6"/>
  <c r="AJ76" i="6"/>
  <c r="AE77" i="6" s="1"/>
  <c r="AI5" i="6"/>
  <c r="AC6" i="6" s="1"/>
  <c r="AK41" i="6"/>
  <c r="AF41" i="6"/>
  <c r="AJ5" i="6"/>
  <c r="AE6" i="6" s="1"/>
  <c r="AG41" i="6"/>
  <c r="AH41" i="6" s="1"/>
  <c r="AI41" i="6" s="1"/>
  <c r="AC42" i="6" s="1"/>
  <c r="AI61" i="5"/>
  <c r="AC62" i="5" s="1"/>
  <c r="AK62" i="5" s="1"/>
  <c r="AD26" i="5"/>
  <c r="AF62" i="5"/>
  <c r="AK94" i="5"/>
  <c r="AF94" i="5"/>
  <c r="AG62" i="5"/>
  <c r="AH62" i="5" s="1"/>
  <c r="AD62" i="5"/>
  <c r="AJ25" i="5"/>
  <c r="AE26" i="5" s="1"/>
  <c r="AG94" i="5"/>
  <c r="AH94" i="5" s="1"/>
  <c r="AI94" i="5" s="1"/>
  <c r="AC95" i="5" s="1"/>
  <c r="AD58" i="4"/>
  <c r="AK25" i="4"/>
  <c r="AF25" i="4"/>
  <c r="AK92" i="4"/>
  <c r="AF92" i="4"/>
  <c r="AG25" i="4"/>
  <c r="AH25" i="4" s="1"/>
  <c r="AI25" i="4" s="1"/>
  <c r="AC26" i="4" s="1"/>
  <c r="AJ57" i="4"/>
  <c r="AE58" i="4" s="1"/>
  <c r="AG92" i="4"/>
  <c r="AH92" i="4" s="1"/>
  <c r="AI92" i="4" s="1"/>
  <c r="AC93" i="4" s="1"/>
  <c r="AD79" i="7" l="1"/>
  <c r="AK79" i="7"/>
  <c r="AG79" i="7"/>
  <c r="AH79" i="7" s="1"/>
  <c r="AI79" i="7" s="1"/>
  <c r="AC80" i="7" s="1"/>
  <c r="AD80" i="7" s="1"/>
  <c r="AJ43" i="7"/>
  <c r="AE44" i="7" s="1"/>
  <c r="AD10" i="7"/>
  <c r="AJ79" i="7"/>
  <c r="AE80" i="7" s="1"/>
  <c r="AJ9" i="7"/>
  <c r="AE10" i="7" s="1"/>
  <c r="AD42" i="6"/>
  <c r="AK6" i="6"/>
  <c r="AF6" i="6"/>
  <c r="AJ41" i="6"/>
  <c r="AE42" i="6" s="1"/>
  <c r="AG6" i="6"/>
  <c r="AH6" i="6" s="1"/>
  <c r="AD6" i="6"/>
  <c r="AK77" i="6"/>
  <c r="AF77" i="6"/>
  <c r="AG77" i="6"/>
  <c r="AH77" i="6" s="1"/>
  <c r="AI77" i="6" s="1"/>
  <c r="AC78" i="6" s="1"/>
  <c r="AD95" i="5"/>
  <c r="AK26" i="5"/>
  <c r="AF26" i="5"/>
  <c r="AJ94" i="5"/>
  <c r="AE95" i="5" s="1"/>
  <c r="AI62" i="5"/>
  <c r="AC63" i="5" s="1"/>
  <c r="AJ62" i="5"/>
  <c r="AE63" i="5" s="1"/>
  <c r="AG26" i="5"/>
  <c r="AH26" i="5" s="1"/>
  <c r="AI26" i="5" s="1"/>
  <c r="AC27" i="5" s="1"/>
  <c r="AD93" i="4"/>
  <c r="AD26" i="4"/>
  <c r="AK58" i="4"/>
  <c r="AF58" i="4"/>
  <c r="AJ92" i="4"/>
  <c r="AE93" i="4" s="1"/>
  <c r="AJ25" i="4"/>
  <c r="AE26" i="4" s="1"/>
  <c r="AG58" i="4"/>
  <c r="AH58" i="4" s="1"/>
  <c r="AI58" i="4" s="1"/>
  <c r="AC59" i="4" s="1"/>
  <c r="AF44" i="7" l="1"/>
  <c r="AG44" i="7"/>
  <c r="AH44" i="7" s="1"/>
  <c r="AI44" i="7" s="1"/>
  <c r="AC45" i="7" s="1"/>
  <c r="AD45" i="7" s="1"/>
  <c r="AK44" i="7"/>
  <c r="AI6" i="6"/>
  <c r="AC7" i="6" s="1"/>
  <c r="AD7" i="6" s="1"/>
  <c r="AK10" i="7"/>
  <c r="AF10" i="7"/>
  <c r="AK80" i="7"/>
  <c r="AF80" i="7"/>
  <c r="AG10" i="7"/>
  <c r="AH10" i="7" s="1"/>
  <c r="AI10" i="7" s="1"/>
  <c r="AC11" i="7" s="1"/>
  <c r="AG80" i="7"/>
  <c r="AH80" i="7" s="1"/>
  <c r="AI80" i="7" s="1"/>
  <c r="AC81" i="7" s="1"/>
  <c r="AD78" i="6"/>
  <c r="AJ77" i="6"/>
  <c r="AE78" i="6" s="1"/>
  <c r="AK42" i="6"/>
  <c r="AF42" i="6"/>
  <c r="AJ6" i="6"/>
  <c r="AE7" i="6" s="1"/>
  <c r="AG42" i="6"/>
  <c r="AH42" i="6" s="1"/>
  <c r="AI42" i="6" s="1"/>
  <c r="AC43" i="6" s="1"/>
  <c r="AD27" i="5"/>
  <c r="AG63" i="5"/>
  <c r="AH63" i="5" s="1"/>
  <c r="AD63" i="5"/>
  <c r="AK95" i="5"/>
  <c r="AF95" i="5"/>
  <c r="AK63" i="5"/>
  <c r="AF63" i="5"/>
  <c r="AJ63" i="5" s="1"/>
  <c r="AE64" i="5" s="1"/>
  <c r="AJ26" i="5"/>
  <c r="AE27" i="5" s="1"/>
  <c r="AG95" i="5"/>
  <c r="AH95" i="5" s="1"/>
  <c r="AI95" i="5" s="1"/>
  <c r="AC96" i="5" s="1"/>
  <c r="AD59" i="4"/>
  <c r="AK26" i="4"/>
  <c r="AF26" i="4"/>
  <c r="AK93" i="4"/>
  <c r="AF93" i="4"/>
  <c r="AJ58" i="4"/>
  <c r="AE59" i="4" s="1"/>
  <c r="AG26" i="4"/>
  <c r="AH26" i="4" s="1"/>
  <c r="AI26" i="4" s="1"/>
  <c r="AC27" i="4" s="1"/>
  <c r="AG93" i="4"/>
  <c r="AH93" i="4" s="1"/>
  <c r="AI93" i="4" s="1"/>
  <c r="AC94" i="4" s="1"/>
  <c r="AG7" i="6" l="1"/>
  <c r="AH7" i="6" s="1"/>
  <c r="AJ44" i="7"/>
  <c r="AE45" i="7" s="1"/>
  <c r="AD81" i="7"/>
  <c r="AD11" i="7"/>
  <c r="AJ80" i="7"/>
  <c r="AE81" i="7" s="1"/>
  <c r="AJ10" i="7"/>
  <c r="AE11" i="7" s="1"/>
  <c r="AD43" i="6"/>
  <c r="AI7" i="6"/>
  <c r="AC8" i="6" s="1"/>
  <c r="AK7" i="6"/>
  <c r="AF7" i="6"/>
  <c r="AJ7" i="6" s="1"/>
  <c r="AE8" i="6" s="1"/>
  <c r="AJ42" i="6"/>
  <c r="AE43" i="6" s="1"/>
  <c r="AK78" i="6"/>
  <c r="AF78" i="6"/>
  <c r="AG78" i="6"/>
  <c r="AH78" i="6" s="1"/>
  <c r="AI78" i="6" s="1"/>
  <c r="AC79" i="6" s="1"/>
  <c r="AI63" i="5"/>
  <c r="AC64" i="5" s="1"/>
  <c r="AD96" i="5"/>
  <c r="AK27" i="5"/>
  <c r="AF27" i="5"/>
  <c r="AJ95" i="5"/>
  <c r="AE96" i="5" s="1"/>
  <c r="AK64" i="5"/>
  <c r="AF64" i="5"/>
  <c r="AG64" i="5"/>
  <c r="AH64" i="5" s="1"/>
  <c r="AD64" i="5"/>
  <c r="AG27" i="5"/>
  <c r="AH27" i="5" s="1"/>
  <c r="AI27" i="5" s="1"/>
  <c r="AC28" i="5" s="1"/>
  <c r="AD94" i="4"/>
  <c r="AD27" i="4"/>
  <c r="AK59" i="4"/>
  <c r="AF59" i="4"/>
  <c r="AJ26" i="4"/>
  <c r="AE27" i="4" s="1"/>
  <c r="AJ93" i="4"/>
  <c r="AE94" i="4" s="1"/>
  <c r="AG59" i="4"/>
  <c r="AH59" i="4" s="1"/>
  <c r="AI59" i="4" s="1"/>
  <c r="AC60" i="4" s="1"/>
  <c r="AG45" i="7" l="1"/>
  <c r="AH45" i="7" s="1"/>
  <c r="AI45" i="7" s="1"/>
  <c r="AC46" i="7" s="1"/>
  <c r="AD46" i="7" s="1"/>
  <c r="AK45" i="7"/>
  <c r="AF45" i="7"/>
  <c r="AK11" i="7"/>
  <c r="AF11" i="7"/>
  <c r="AK81" i="7"/>
  <c r="AF81" i="7"/>
  <c r="AG11" i="7"/>
  <c r="AH11" i="7" s="1"/>
  <c r="AI11" i="7" s="1"/>
  <c r="AC12" i="7" s="1"/>
  <c r="AG81" i="7"/>
  <c r="AH81" i="7" s="1"/>
  <c r="AI81" i="7" s="1"/>
  <c r="AC82" i="7" s="1"/>
  <c r="AD79" i="6"/>
  <c r="AJ78" i="6"/>
  <c r="AE79" i="6" s="1"/>
  <c r="AK43" i="6"/>
  <c r="AF43" i="6"/>
  <c r="AK8" i="6"/>
  <c r="AF8" i="6"/>
  <c r="AG8" i="6"/>
  <c r="AH8" i="6" s="1"/>
  <c r="AD8" i="6"/>
  <c r="AG43" i="6"/>
  <c r="AH43" i="6" s="1"/>
  <c r="AI43" i="6" s="1"/>
  <c r="AC44" i="6" s="1"/>
  <c r="AI64" i="5"/>
  <c r="AC65" i="5" s="1"/>
  <c r="AD65" i="5" s="1"/>
  <c r="AD28" i="5"/>
  <c r="AJ27" i="5"/>
  <c r="AE28" i="5" s="1"/>
  <c r="AJ64" i="5"/>
  <c r="AE65" i="5" s="1"/>
  <c r="AK96" i="5"/>
  <c r="AF96" i="5"/>
  <c r="AG96" i="5"/>
  <c r="AH96" i="5" s="1"/>
  <c r="AI96" i="5" s="1"/>
  <c r="AC97" i="5" s="1"/>
  <c r="AD60" i="4"/>
  <c r="AK27" i="4"/>
  <c r="AF27" i="4"/>
  <c r="AK94" i="4"/>
  <c r="AF94" i="4"/>
  <c r="AG27" i="4"/>
  <c r="AH27" i="4" s="1"/>
  <c r="AI27" i="4" s="1"/>
  <c r="AC28" i="4" s="1"/>
  <c r="AJ59" i="4"/>
  <c r="AE60" i="4" s="1"/>
  <c r="AG94" i="4"/>
  <c r="AH94" i="4" s="1"/>
  <c r="AI94" i="4" s="1"/>
  <c r="AC95" i="4" s="1"/>
  <c r="AJ45" i="7" l="1"/>
  <c r="AE46" i="7" s="1"/>
  <c r="AG46" i="7" s="1"/>
  <c r="AH46" i="7" s="1"/>
  <c r="AI46" i="7" s="1"/>
  <c r="AC47" i="7" s="1"/>
  <c r="AF46" i="7"/>
  <c r="AK46" i="7"/>
  <c r="AD82" i="7"/>
  <c r="AD12" i="7"/>
  <c r="AJ81" i="7"/>
  <c r="AE82" i="7" s="1"/>
  <c r="AJ11" i="7"/>
  <c r="AE12" i="7" s="1"/>
  <c r="AD47" i="7"/>
  <c r="AJ8" i="6"/>
  <c r="AE9" i="6" s="1"/>
  <c r="AF9" i="6" s="1"/>
  <c r="AD44" i="6"/>
  <c r="AI8" i="6"/>
  <c r="AC9" i="6" s="1"/>
  <c r="AJ43" i="6"/>
  <c r="AE44" i="6" s="1"/>
  <c r="AK79" i="6"/>
  <c r="AF79" i="6"/>
  <c r="AG79" i="6"/>
  <c r="AH79" i="6" s="1"/>
  <c r="AI79" i="6" s="1"/>
  <c r="AC80" i="6" s="1"/>
  <c r="AD97" i="5"/>
  <c r="AJ96" i="5"/>
  <c r="AE97" i="5" s="1"/>
  <c r="AK65" i="5"/>
  <c r="AF65" i="5"/>
  <c r="AK28" i="5"/>
  <c r="AF28" i="5"/>
  <c r="AG65" i="5"/>
  <c r="AH65" i="5" s="1"/>
  <c r="AI65" i="5" s="1"/>
  <c r="AC66" i="5" s="1"/>
  <c r="AG28" i="5"/>
  <c r="AH28" i="5" s="1"/>
  <c r="AI28" i="5" s="1"/>
  <c r="AC29" i="5" s="1"/>
  <c r="AD95" i="4"/>
  <c r="AD28" i="4"/>
  <c r="AK60" i="4"/>
  <c r="AF60" i="4"/>
  <c r="AJ94" i="4"/>
  <c r="AE95" i="4" s="1"/>
  <c r="AJ27" i="4"/>
  <c r="AE28" i="4" s="1"/>
  <c r="AG60" i="4"/>
  <c r="AH60" i="4" s="1"/>
  <c r="AI60" i="4" s="1"/>
  <c r="AC61" i="4" s="1"/>
  <c r="AJ46" i="7" l="1"/>
  <c r="AE47" i="7" s="1"/>
  <c r="AK47" i="7"/>
  <c r="AG47" i="7"/>
  <c r="AH47" i="7" s="1"/>
  <c r="AI47" i="7" s="1"/>
  <c r="AC48" i="7" s="1"/>
  <c r="AF47" i="7"/>
  <c r="AK82" i="7"/>
  <c r="AF82" i="7"/>
  <c r="AJ47" i="7"/>
  <c r="AE48" i="7" s="1"/>
  <c r="AK12" i="7"/>
  <c r="AF12" i="7"/>
  <c r="AG12" i="7"/>
  <c r="AH12" i="7" s="1"/>
  <c r="AI12" i="7" s="1"/>
  <c r="AC13" i="7" s="1"/>
  <c r="AG82" i="7"/>
  <c r="AH82" i="7" s="1"/>
  <c r="AI82" i="7" s="1"/>
  <c r="AC83" i="7" s="1"/>
  <c r="AD80" i="6"/>
  <c r="AJ79" i="6"/>
  <c r="AE80" i="6" s="1"/>
  <c r="AG9" i="6"/>
  <c r="AH9" i="6" s="1"/>
  <c r="AJ9" i="6" s="1"/>
  <c r="AE10" i="6" s="1"/>
  <c r="AD9" i="6"/>
  <c r="AK9" i="6"/>
  <c r="AK44" i="6"/>
  <c r="AF44" i="6"/>
  <c r="AG44" i="6"/>
  <c r="AH44" i="6" s="1"/>
  <c r="AI44" i="6" s="1"/>
  <c r="AC45" i="6" s="1"/>
  <c r="AD29" i="5"/>
  <c r="AD66" i="5"/>
  <c r="AJ65" i="5"/>
  <c r="AE66" i="5" s="1"/>
  <c r="AJ28" i="5"/>
  <c r="AE29" i="5" s="1"/>
  <c r="AK97" i="5"/>
  <c r="AF97" i="5"/>
  <c r="AG97" i="5"/>
  <c r="AH97" i="5" s="1"/>
  <c r="AI97" i="5" s="1"/>
  <c r="AC98" i="5" s="1"/>
  <c r="AD61" i="4"/>
  <c r="AK28" i="4"/>
  <c r="AF28" i="4"/>
  <c r="AJ60" i="4"/>
  <c r="AE61" i="4" s="1"/>
  <c r="AG28" i="4"/>
  <c r="AH28" i="4" s="1"/>
  <c r="AK95" i="4"/>
  <c r="AF95" i="4"/>
  <c r="AI28" i="4"/>
  <c r="AC29" i="4" s="1"/>
  <c r="AG95" i="4"/>
  <c r="AH95" i="4" s="1"/>
  <c r="AI95" i="4" s="1"/>
  <c r="AC96" i="4" s="1"/>
  <c r="AD13" i="7" l="1"/>
  <c r="AD83" i="7"/>
  <c r="AJ12" i="7"/>
  <c r="AE13" i="7" s="1"/>
  <c r="AK48" i="7"/>
  <c r="AF48" i="7"/>
  <c r="AJ82" i="7"/>
  <c r="AE83" i="7" s="1"/>
  <c r="AG83" i="7" s="1"/>
  <c r="AH83" i="7" s="1"/>
  <c r="AG48" i="7"/>
  <c r="AH48" i="7" s="1"/>
  <c r="AD48" i="7"/>
  <c r="AD45" i="6"/>
  <c r="AF10" i="6"/>
  <c r="AI9" i="6"/>
  <c r="AC10" i="6" s="1"/>
  <c r="AK80" i="6"/>
  <c r="AF80" i="6"/>
  <c r="AJ44" i="6"/>
  <c r="AE45" i="6" s="1"/>
  <c r="AG80" i="6"/>
  <c r="AH80" i="6" s="1"/>
  <c r="AI80" i="6" s="1"/>
  <c r="AC81" i="6" s="1"/>
  <c r="AD98" i="5"/>
  <c r="AK66" i="5"/>
  <c r="AF66" i="5"/>
  <c r="AJ97" i="5"/>
  <c r="AE98" i="5" s="1"/>
  <c r="AG66" i="5"/>
  <c r="AH66" i="5" s="1"/>
  <c r="AI66" i="5" s="1"/>
  <c r="AC67" i="5" s="1"/>
  <c r="AK29" i="5"/>
  <c r="AF29" i="5"/>
  <c r="AG29" i="5"/>
  <c r="AH29" i="5" s="1"/>
  <c r="AI29" i="5" s="1"/>
  <c r="AC30" i="5" s="1"/>
  <c r="AJ95" i="4"/>
  <c r="AE96" i="4" s="1"/>
  <c r="AG96" i="4" s="1"/>
  <c r="AH96" i="4" s="1"/>
  <c r="AD96" i="4"/>
  <c r="AD29" i="4"/>
  <c r="AF96" i="4"/>
  <c r="AK61" i="4"/>
  <c r="AF61" i="4"/>
  <c r="AJ28" i="4"/>
  <c r="AE29" i="4" s="1"/>
  <c r="AG61" i="4"/>
  <c r="AH61" i="4" s="1"/>
  <c r="AI61" i="4" s="1"/>
  <c r="AC62" i="4" s="1"/>
  <c r="AI48" i="7" l="1"/>
  <c r="AC49" i="7" s="1"/>
  <c r="AD49" i="7" s="1"/>
  <c r="AI83" i="7"/>
  <c r="AC84" i="7" s="1"/>
  <c r="AJ48" i="7"/>
  <c r="AE49" i="7" s="1"/>
  <c r="AK83" i="7"/>
  <c r="AF83" i="7"/>
  <c r="AJ83" i="7" s="1"/>
  <c r="AE84" i="7" s="1"/>
  <c r="AK13" i="7"/>
  <c r="AF13" i="7"/>
  <c r="AG13" i="7"/>
  <c r="AH13" i="7" s="1"/>
  <c r="AI13" i="7" s="1"/>
  <c r="AC14" i="7" s="1"/>
  <c r="AD81" i="6"/>
  <c r="AG10" i="6"/>
  <c r="AH10" i="6" s="1"/>
  <c r="AJ10" i="6" s="1"/>
  <c r="AE11" i="6" s="1"/>
  <c r="AD10" i="6"/>
  <c r="AJ80" i="6"/>
  <c r="AE81" i="6" s="1"/>
  <c r="AK10" i="6"/>
  <c r="AK45" i="6"/>
  <c r="AF45" i="6"/>
  <c r="AG45" i="6"/>
  <c r="AH45" i="6" s="1"/>
  <c r="AI45" i="6" s="1"/>
  <c r="AC46" i="6" s="1"/>
  <c r="AD67" i="5"/>
  <c r="AD30" i="5"/>
  <c r="AJ29" i="5"/>
  <c r="AE30" i="5" s="1"/>
  <c r="AJ66" i="5"/>
  <c r="AE67" i="5" s="1"/>
  <c r="AK98" i="5"/>
  <c r="AF98" i="5"/>
  <c r="AG98" i="5"/>
  <c r="AH98" i="5" s="1"/>
  <c r="AI98" i="5" s="1"/>
  <c r="AC99" i="5" s="1"/>
  <c r="AJ96" i="4"/>
  <c r="AE97" i="4" s="1"/>
  <c r="AK96" i="4"/>
  <c r="AI96" i="4"/>
  <c r="AC97" i="4" s="1"/>
  <c r="AD62" i="4"/>
  <c r="AJ61" i="4"/>
  <c r="AE62" i="4" s="1"/>
  <c r="AG97" i="4"/>
  <c r="AH97" i="4" s="1"/>
  <c r="AD97" i="4"/>
  <c r="AK29" i="4"/>
  <c r="AF29" i="4"/>
  <c r="AK97" i="4"/>
  <c r="AF97" i="4"/>
  <c r="AG29" i="4"/>
  <c r="AH29" i="4" s="1"/>
  <c r="AI29" i="4" s="1"/>
  <c r="AC30" i="4" s="1"/>
  <c r="AI10" i="6" l="1"/>
  <c r="AC11" i="6" s="1"/>
  <c r="AD14" i="7"/>
  <c r="AJ13" i="7"/>
  <c r="AE14" i="7" s="1"/>
  <c r="AK84" i="7"/>
  <c r="AF84" i="7"/>
  <c r="AK49" i="7"/>
  <c r="AF49" i="7"/>
  <c r="AG49" i="7"/>
  <c r="AH49" i="7" s="1"/>
  <c r="AI49" i="7" s="1"/>
  <c r="AC50" i="7" s="1"/>
  <c r="AG84" i="7"/>
  <c r="AH84" i="7" s="1"/>
  <c r="AD84" i="7"/>
  <c r="AD46" i="6"/>
  <c r="AJ45" i="6"/>
  <c r="AE46" i="6" s="1"/>
  <c r="AK11" i="6"/>
  <c r="AF11" i="6"/>
  <c r="AK81" i="6"/>
  <c r="AF81" i="6"/>
  <c r="AG11" i="6"/>
  <c r="AH11" i="6" s="1"/>
  <c r="AD11" i="6"/>
  <c r="AG81" i="6"/>
  <c r="AH81" i="6" s="1"/>
  <c r="AI81" i="6" s="1"/>
  <c r="AC82" i="6" s="1"/>
  <c r="AD99" i="5"/>
  <c r="AJ98" i="5"/>
  <c r="AE99" i="5" s="1"/>
  <c r="AK67" i="5"/>
  <c r="AF67" i="5"/>
  <c r="AK30" i="5"/>
  <c r="AF30" i="5"/>
  <c r="AG30" i="5"/>
  <c r="AH30" i="5" s="1"/>
  <c r="AI30" i="5" s="1"/>
  <c r="AC31" i="5" s="1"/>
  <c r="AG67" i="5"/>
  <c r="AH67" i="5" s="1"/>
  <c r="AI67" i="5" s="1"/>
  <c r="AC68" i="5" s="1"/>
  <c r="AJ97" i="4"/>
  <c r="AE98" i="4" s="1"/>
  <c r="AI97" i="4"/>
  <c r="AC98" i="4" s="1"/>
  <c r="AD30" i="4"/>
  <c r="AK98" i="4"/>
  <c r="AF98" i="4"/>
  <c r="AG98" i="4"/>
  <c r="AH98" i="4" s="1"/>
  <c r="AD98" i="4"/>
  <c r="AJ29" i="4"/>
  <c r="AE30" i="4" s="1"/>
  <c r="AK62" i="4"/>
  <c r="AF62" i="4"/>
  <c r="AG62" i="4"/>
  <c r="AH62" i="4" s="1"/>
  <c r="AI62" i="4" s="1"/>
  <c r="AC63" i="4" s="1"/>
  <c r="AI84" i="7" l="1"/>
  <c r="AC85" i="7" s="1"/>
  <c r="AD85" i="7" s="1"/>
  <c r="AD50" i="7"/>
  <c r="AK14" i="7"/>
  <c r="AF14" i="7"/>
  <c r="AJ49" i="7"/>
  <c r="AE50" i="7" s="1"/>
  <c r="AJ84" i="7"/>
  <c r="AE85" i="7" s="1"/>
  <c r="AG14" i="7"/>
  <c r="AH14" i="7" s="1"/>
  <c r="AI14" i="7" s="1"/>
  <c r="AC15" i="7" s="1"/>
  <c r="AD82" i="6"/>
  <c r="AI11" i="6"/>
  <c r="AC12" i="6" s="1"/>
  <c r="AJ81" i="6"/>
  <c r="AE82" i="6" s="1"/>
  <c r="AJ11" i="6"/>
  <c r="AE12" i="6" s="1"/>
  <c r="AK46" i="6"/>
  <c r="AF46" i="6"/>
  <c r="AG46" i="6"/>
  <c r="AH46" i="6" s="1"/>
  <c r="AI46" i="6" s="1"/>
  <c r="AC47" i="6" s="1"/>
  <c r="AD68" i="5"/>
  <c r="AD31" i="5"/>
  <c r="AK99" i="5"/>
  <c r="AF99" i="5"/>
  <c r="AJ30" i="5"/>
  <c r="AE31" i="5" s="1"/>
  <c r="AJ67" i="5"/>
  <c r="AE68" i="5" s="1"/>
  <c r="AG99" i="5"/>
  <c r="AH99" i="5" s="1"/>
  <c r="AI99" i="5" s="1"/>
  <c r="AC100" i="5" s="1"/>
  <c r="AD63" i="4"/>
  <c r="AK30" i="4"/>
  <c r="AF30" i="4"/>
  <c r="AJ98" i="4"/>
  <c r="AE99" i="4" s="1"/>
  <c r="AJ62" i="4"/>
  <c r="AE63" i="4" s="1"/>
  <c r="AI98" i="4"/>
  <c r="AC99" i="4" s="1"/>
  <c r="AG30" i="4"/>
  <c r="AH30" i="4" s="1"/>
  <c r="AI30" i="4" s="1"/>
  <c r="AC31" i="4" s="1"/>
  <c r="AD15" i="7" l="1"/>
  <c r="AK85" i="7"/>
  <c r="AF85" i="7"/>
  <c r="AK50" i="7"/>
  <c r="AF50" i="7"/>
  <c r="AJ14" i="7"/>
  <c r="AE15" i="7" s="1"/>
  <c r="AG85" i="7"/>
  <c r="AH85" i="7" s="1"/>
  <c r="AI85" i="7" s="1"/>
  <c r="AC86" i="7" s="1"/>
  <c r="AG50" i="7"/>
  <c r="AH50" i="7" s="1"/>
  <c r="AI50" i="7" s="1"/>
  <c r="AC51" i="7" s="1"/>
  <c r="AD47" i="6"/>
  <c r="AK12" i="6"/>
  <c r="AF12" i="6"/>
  <c r="AJ46" i="6"/>
  <c r="AE47" i="6" s="1"/>
  <c r="AK82" i="6"/>
  <c r="AF82" i="6"/>
  <c r="AG12" i="6"/>
  <c r="AH12" i="6" s="1"/>
  <c r="AD12" i="6"/>
  <c r="AG82" i="6"/>
  <c r="AH82" i="6" s="1"/>
  <c r="AI82" i="6" s="1"/>
  <c r="AC83" i="6" s="1"/>
  <c r="AD100" i="5"/>
  <c r="AK31" i="5"/>
  <c r="AF31" i="5"/>
  <c r="AK68" i="5"/>
  <c r="AF68" i="5"/>
  <c r="AJ99" i="5"/>
  <c r="AE100" i="5" s="1"/>
  <c r="AG31" i="5"/>
  <c r="AH31" i="5" s="1"/>
  <c r="AI31" i="5" s="1"/>
  <c r="AC32" i="5" s="1"/>
  <c r="AG68" i="5"/>
  <c r="AH68" i="5" s="1"/>
  <c r="AI68" i="5" s="1"/>
  <c r="AC69" i="5" s="1"/>
  <c r="AD31" i="4"/>
  <c r="AK63" i="4"/>
  <c r="AF63" i="4"/>
  <c r="AK99" i="4"/>
  <c r="AF99" i="4"/>
  <c r="AG99" i="4"/>
  <c r="AH99" i="4" s="1"/>
  <c r="AD99" i="4"/>
  <c r="AJ30" i="4"/>
  <c r="AE31" i="4" s="1"/>
  <c r="AG63" i="4"/>
  <c r="AH63" i="4" s="1"/>
  <c r="AI63" i="4" s="1"/>
  <c r="AC64" i="4" s="1"/>
  <c r="AD51" i="7" l="1"/>
  <c r="AD86" i="7"/>
  <c r="AK15" i="7"/>
  <c r="AF15" i="7"/>
  <c r="AJ50" i="7"/>
  <c r="AE51" i="7" s="1"/>
  <c r="AJ85" i="7"/>
  <c r="AE86" i="7" s="1"/>
  <c r="AG15" i="7"/>
  <c r="AH15" i="7" s="1"/>
  <c r="AI15" i="7" s="1"/>
  <c r="AC16" i="7" s="1"/>
  <c r="AI12" i="6"/>
  <c r="AC13" i="6" s="1"/>
  <c r="AD83" i="6"/>
  <c r="AD13" i="6"/>
  <c r="AJ82" i="6"/>
  <c r="AE83" i="6" s="1"/>
  <c r="AK47" i="6"/>
  <c r="AF47" i="6"/>
  <c r="AJ12" i="6"/>
  <c r="AE13" i="6" s="1"/>
  <c r="AG47" i="6"/>
  <c r="AH47" i="6" s="1"/>
  <c r="AI47" i="6" s="1"/>
  <c r="AC48" i="6" s="1"/>
  <c r="AD69" i="5"/>
  <c r="AD32" i="5"/>
  <c r="AK100" i="5"/>
  <c r="AF100" i="5"/>
  <c r="AJ68" i="5"/>
  <c r="AE69" i="5" s="1"/>
  <c r="AJ31" i="5"/>
  <c r="AE32" i="5" s="1"/>
  <c r="AG100" i="5"/>
  <c r="AH100" i="5" s="1"/>
  <c r="AI100" i="5" s="1"/>
  <c r="AC101" i="5" s="1"/>
  <c r="AD64" i="4"/>
  <c r="AK31" i="4"/>
  <c r="AF31" i="4"/>
  <c r="AJ99" i="4"/>
  <c r="AE100" i="4" s="1"/>
  <c r="AI99" i="4"/>
  <c r="AC100" i="4" s="1"/>
  <c r="AJ63" i="4"/>
  <c r="AE64" i="4" s="1"/>
  <c r="AG31" i="4"/>
  <c r="AH31" i="4" s="1"/>
  <c r="AI31" i="4" s="1"/>
  <c r="AC32" i="4" s="1"/>
  <c r="AD16" i="7" l="1"/>
  <c r="AK86" i="7"/>
  <c r="AF86" i="7"/>
  <c r="AK51" i="7"/>
  <c r="AF51" i="7"/>
  <c r="AJ15" i="7"/>
  <c r="AE16" i="7" s="1"/>
  <c r="AG86" i="7"/>
  <c r="AH86" i="7" s="1"/>
  <c r="AI86" i="7" s="1"/>
  <c r="AC87" i="7" s="1"/>
  <c r="AG51" i="7"/>
  <c r="AH51" i="7" s="1"/>
  <c r="AI51" i="7" s="1"/>
  <c r="AC52" i="7" s="1"/>
  <c r="AD48" i="6"/>
  <c r="AK13" i="6"/>
  <c r="AF13" i="6"/>
  <c r="AJ47" i="6"/>
  <c r="AE48" i="6" s="1"/>
  <c r="AK83" i="6"/>
  <c r="AF83" i="6"/>
  <c r="AG13" i="6"/>
  <c r="AH13" i="6" s="1"/>
  <c r="AI13" i="6" s="1"/>
  <c r="AC14" i="6" s="1"/>
  <c r="AG83" i="6"/>
  <c r="AH83" i="6" s="1"/>
  <c r="AI83" i="6" s="1"/>
  <c r="AC84" i="6" s="1"/>
  <c r="AD101" i="5"/>
  <c r="AJ100" i="5"/>
  <c r="AE101" i="5" s="1"/>
  <c r="AK32" i="5"/>
  <c r="AF32" i="5"/>
  <c r="AK69" i="5"/>
  <c r="AF69" i="5"/>
  <c r="AG32" i="5"/>
  <c r="AH32" i="5" s="1"/>
  <c r="AI32" i="5" s="1"/>
  <c r="AC33" i="5" s="1"/>
  <c r="AG69" i="5"/>
  <c r="AD32" i="4"/>
  <c r="AK64" i="4"/>
  <c r="AF64" i="4"/>
  <c r="AG100" i="4"/>
  <c r="AH100" i="4" s="1"/>
  <c r="AD100" i="4"/>
  <c r="AK100" i="4"/>
  <c r="AF100" i="4"/>
  <c r="AJ100" i="4" s="1"/>
  <c r="AE101" i="4" s="1"/>
  <c r="AJ31" i="4"/>
  <c r="AE32" i="4" s="1"/>
  <c r="AG64" i="4"/>
  <c r="AH64" i="4" s="1"/>
  <c r="AI64" i="4" s="1"/>
  <c r="AC65" i="4" s="1"/>
  <c r="AD52" i="7" l="1"/>
  <c r="AD87" i="7"/>
  <c r="AK16" i="7"/>
  <c r="AF16" i="7"/>
  <c r="AJ51" i="7"/>
  <c r="AE52" i="7" s="1"/>
  <c r="AJ86" i="7"/>
  <c r="AE87" i="7" s="1"/>
  <c r="AG16" i="7"/>
  <c r="AH16" i="7" s="1"/>
  <c r="AI16" i="7" s="1"/>
  <c r="AC17" i="7" s="1"/>
  <c r="AD84" i="6"/>
  <c r="AD14" i="6"/>
  <c r="AJ83" i="6"/>
  <c r="AE84" i="6" s="1"/>
  <c r="AK48" i="6"/>
  <c r="AF48" i="6"/>
  <c r="AJ13" i="6"/>
  <c r="AE14" i="6" s="1"/>
  <c r="AG48" i="6"/>
  <c r="AH48" i="6" s="1"/>
  <c r="AI48" i="6" s="1"/>
  <c r="AC49" i="6" s="1"/>
  <c r="AD33" i="5"/>
  <c r="O23" i="5"/>
  <c r="O24" i="5" s="1"/>
  <c r="G17" i="5" s="1"/>
  <c r="G18" i="5" s="1"/>
  <c r="AH69" i="5"/>
  <c r="AI69" i="5" s="1"/>
  <c r="AJ32" i="5"/>
  <c r="AE33" i="5" s="1"/>
  <c r="AK101" i="5"/>
  <c r="AF101" i="5"/>
  <c r="AG101" i="5"/>
  <c r="AH101" i="5" s="1"/>
  <c r="AI101" i="5" s="1"/>
  <c r="AC102" i="5" s="1"/>
  <c r="AI100" i="4"/>
  <c r="AC101" i="4" s="1"/>
  <c r="AD65" i="4"/>
  <c r="AK101" i="4"/>
  <c r="AF101" i="4"/>
  <c r="AK32" i="4"/>
  <c r="AF32" i="4"/>
  <c r="AG101" i="4"/>
  <c r="AH101" i="4" s="1"/>
  <c r="AD101" i="4"/>
  <c r="AJ64" i="4"/>
  <c r="AE65" i="4" s="1"/>
  <c r="AG32" i="4"/>
  <c r="AH32" i="4" s="1"/>
  <c r="AI32" i="4" s="1"/>
  <c r="AC33" i="4" s="1"/>
  <c r="AD17" i="7" l="1"/>
  <c r="AK52" i="7"/>
  <c r="AF52" i="7"/>
  <c r="AK87" i="7"/>
  <c r="AF87" i="7"/>
  <c r="AJ16" i="7"/>
  <c r="AE17" i="7" s="1"/>
  <c r="AG87" i="7"/>
  <c r="AH87" i="7" s="1"/>
  <c r="AI87" i="7" s="1"/>
  <c r="AC88" i="7" s="1"/>
  <c r="AG52" i="7"/>
  <c r="AH52" i="7" s="1"/>
  <c r="AI52" i="7" s="1"/>
  <c r="AC53" i="7" s="1"/>
  <c r="AD49" i="6"/>
  <c r="AK14" i="6"/>
  <c r="AF14" i="6"/>
  <c r="AK84" i="6"/>
  <c r="AF84" i="6"/>
  <c r="AJ48" i="6"/>
  <c r="AE49" i="6" s="1"/>
  <c r="AG14" i="6"/>
  <c r="AH14" i="6" s="1"/>
  <c r="AI14" i="6" s="1"/>
  <c r="AC15" i="6" s="1"/>
  <c r="AG84" i="6"/>
  <c r="AH84" i="6" s="1"/>
  <c r="AI84" i="6" s="1"/>
  <c r="AC85" i="6" s="1"/>
  <c r="AD102" i="5"/>
  <c r="AK33" i="5"/>
  <c r="AF33" i="5"/>
  <c r="AJ101" i="5"/>
  <c r="AE102" i="5" s="1"/>
  <c r="AJ69" i="5"/>
  <c r="AG33" i="5"/>
  <c r="AH33" i="5" s="1"/>
  <c r="AI33" i="5" s="1"/>
  <c r="AC34" i="5" s="1"/>
  <c r="AI101" i="4"/>
  <c r="AC102" i="4" s="1"/>
  <c r="AD102" i="4" s="1"/>
  <c r="AD33" i="4"/>
  <c r="AK65" i="4"/>
  <c r="AF65" i="4"/>
  <c r="AJ32" i="4"/>
  <c r="AE33" i="4" s="1"/>
  <c r="AJ101" i="4"/>
  <c r="AE102" i="4" s="1"/>
  <c r="AG65" i="4"/>
  <c r="AH65" i="4" s="1"/>
  <c r="AI65" i="4" s="1"/>
  <c r="AC66" i="4" s="1"/>
  <c r="AD88" i="7" l="1"/>
  <c r="AD53" i="7"/>
  <c r="AJ52" i="7"/>
  <c r="AE53" i="7" s="1"/>
  <c r="AK17" i="7"/>
  <c r="AF17" i="7"/>
  <c r="AJ87" i="7"/>
  <c r="AE88" i="7" s="1"/>
  <c r="AG17" i="7"/>
  <c r="AH17" i="7" s="1"/>
  <c r="AI17" i="7" s="1"/>
  <c r="AC18" i="7" s="1"/>
  <c r="AD85" i="6"/>
  <c r="AD15" i="6"/>
  <c r="AJ14" i="6"/>
  <c r="AE15" i="6" s="1"/>
  <c r="AJ84" i="6"/>
  <c r="AE85" i="6" s="1"/>
  <c r="AK49" i="6"/>
  <c r="AF49" i="6"/>
  <c r="AG49" i="6"/>
  <c r="AH49" i="6" s="1"/>
  <c r="AI49" i="6" s="1"/>
  <c r="AC50" i="6" s="1"/>
  <c r="AD34" i="5"/>
  <c r="AK102" i="5"/>
  <c r="AF102" i="5"/>
  <c r="AJ33" i="5"/>
  <c r="AE34" i="5" s="1"/>
  <c r="AG102" i="5"/>
  <c r="AH102" i="5" s="1"/>
  <c r="AI102" i="5" s="1"/>
  <c r="AC103" i="5" s="1"/>
  <c r="AD66" i="4"/>
  <c r="AK33" i="4"/>
  <c r="AF33" i="4"/>
  <c r="AJ65" i="4"/>
  <c r="AE66" i="4" s="1"/>
  <c r="AK102" i="4"/>
  <c r="AF102" i="4"/>
  <c r="AG102" i="4"/>
  <c r="AH102" i="4" s="1"/>
  <c r="AI102" i="4" s="1"/>
  <c r="AC103" i="4" s="1"/>
  <c r="AG33" i="4"/>
  <c r="AH33" i="4" s="1"/>
  <c r="AI33" i="4" s="1"/>
  <c r="AC34" i="4" s="1"/>
  <c r="AD18" i="7" l="1"/>
  <c r="AK88" i="7"/>
  <c r="AF88" i="7"/>
  <c r="AJ17" i="7"/>
  <c r="AE18" i="7" s="1"/>
  <c r="AK53" i="7"/>
  <c r="AF53" i="7"/>
  <c r="AG53" i="7"/>
  <c r="AH53" i="7" s="1"/>
  <c r="AI53" i="7" s="1"/>
  <c r="AC54" i="7" s="1"/>
  <c r="AG88" i="7"/>
  <c r="AH88" i="7" s="1"/>
  <c r="AI88" i="7" s="1"/>
  <c r="AC89" i="7" s="1"/>
  <c r="AD50" i="6"/>
  <c r="AK15" i="6"/>
  <c r="AF15" i="6"/>
  <c r="AJ49" i="6"/>
  <c r="AE50" i="6" s="1"/>
  <c r="AG15" i="6"/>
  <c r="AH15" i="6" s="1"/>
  <c r="AI15" i="6" s="1"/>
  <c r="AC16" i="6" s="1"/>
  <c r="AK85" i="6"/>
  <c r="AF85" i="6"/>
  <c r="AG85" i="6"/>
  <c r="AH85" i="6" s="1"/>
  <c r="AI85" i="6" s="1"/>
  <c r="AC86" i="6" s="1"/>
  <c r="AD103" i="5"/>
  <c r="AK34" i="5"/>
  <c r="AF34" i="5"/>
  <c r="AJ102" i="5"/>
  <c r="AE103" i="5" s="1"/>
  <c r="AG34" i="5"/>
  <c r="AD34" i="4"/>
  <c r="AD103" i="4"/>
  <c r="AK66" i="4"/>
  <c r="AF66" i="4"/>
  <c r="AJ102" i="4"/>
  <c r="AE103" i="4" s="1"/>
  <c r="AJ33" i="4"/>
  <c r="AE34" i="4" s="1"/>
  <c r="AG66" i="4"/>
  <c r="AH66" i="4" s="1"/>
  <c r="AI66" i="4" s="1"/>
  <c r="AC67" i="4" s="1"/>
  <c r="AD89" i="7" l="1"/>
  <c r="AD54" i="7"/>
  <c r="AJ53" i="7"/>
  <c r="AE54" i="7" s="1"/>
  <c r="AK18" i="7"/>
  <c r="AF18" i="7"/>
  <c r="AJ88" i="7"/>
  <c r="AE89" i="7" s="1"/>
  <c r="AG18" i="7"/>
  <c r="AH18" i="7" s="1"/>
  <c r="AI18" i="7" s="1"/>
  <c r="AC19" i="7" s="1"/>
  <c r="AD86" i="6"/>
  <c r="AD16" i="6"/>
  <c r="AJ15" i="6"/>
  <c r="AE16" i="6" s="1"/>
  <c r="AJ85" i="6"/>
  <c r="AE86" i="6" s="1"/>
  <c r="AK50" i="6"/>
  <c r="AF50" i="6"/>
  <c r="AG50" i="6"/>
  <c r="AH50" i="6" s="1"/>
  <c r="AI50" i="6" s="1"/>
  <c r="AC51" i="6" s="1"/>
  <c r="S23" i="5"/>
  <c r="S24" i="5" s="1"/>
  <c r="G22" i="5" s="1"/>
  <c r="G23" i="5" s="1"/>
  <c r="AH34" i="5"/>
  <c r="AI34" i="5" s="1"/>
  <c r="AK103" i="5"/>
  <c r="AF103" i="5"/>
  <c r="AG103" i="5"/>
  <c r="AH103" i="5" s="1"/>
  <c r="AI103" i="5" s="1"/>
  <c r="AC104" i="5" s="1"/>
  <c r="AD67" i="4"/>
  <c r="AJ66" i="4"/>
  <c r="AE67" i="4" s="1"/>
  <c r="AK34" i="4"/>
  <c r="AF34" i="4"/>
  <c r="AK103" i="4"/>
  <c r="AF103" i="4"/>
  <c r="AG103" i="4"/>
  <c r="AH103" i="4" s="1"/>
  <c r="AI103" i="4" s="1"/>
  <c r="AC104" i="4" s="1"/>
  <c r="AG34" i="4"/>
  <c r="AD19" i="7" l="1"/>
  <c r="AJ18" i="7"/>
  <c r="AE19" i="7" s="1"/>
  <c r="AK89" i="7"/>
  <c r="AF89" i="7"/>
  <c r="AK54" i="7"/>
  <c r="AF54" i="7"/>
  <c r="AG54" i="7"/>
  <c r="AH54" i="7" s="1"/>
  <c r="AI54" i="7" s="1"/>
  <c r="AC55" i="7" s="1"/>
  <c r="AG89" i="7"/>
  <c r="AH89" i="7" s="1"/>
  <c r="AI89" i="7" s="1"/>
  <c r="AC90" i="7" s="1"/>
  <c r="AD51" i="6"/>
  <c r="AK16" i="6"/>
  <c r="AF16" i="6"/>
  <c r="AJ50" i="6"/>
  <c r="AE51" i="6" s="1"/>
  <c r="AK86" i="6"/>
  <c r="AF86" i="6"/>
  <c r="AG16" i="6"/>
  <c r="AH16" i="6" s="1"/>
  <c r="AI16" i="6" s="1"/>
  <c r="AC17" i="6" s="1"/>
  <c r="AG86" i="6"/>
  <c r="AH86" i="6" s="1"/>
  <c r="AI86" i="6" s="1"/>
  <c r="AC87" i="6" s="1"/>
  <c r="AD104" i="5"/>
  <c r="AJ34" i="5"/>
  <c r="AJ103" i="5"/>
  <c r="AE104" i="5" s="1"/>
  <c r="AD104" i="4"/>
  <c r="AJ103" i="4"/>
  <c r="AE104" i="4" s="1"/>
  <c r="AK67" i="4"/>
  <c r="AF67" i="4"/>
  <c r="S23" i="4"/>
  <c r="S24" i="4" s="1"/>
  <c r="G22" i="4" s="1"/>
  <c r="G23" i="4" s="1"/>
  <c r="AH34" i="4"/>
  <c r="AI34" i="4" s="1"/>
  <c r="AG67" i="4"/>
  <c r="AH67" i="4" s="1"/>
  <c r="AI67" i="4" s="1"/>
  <c r="AC68" i="4" s="1"/>
  <c r="AD90" i="7" l="1"/>
  <c r="AD55" i="7"/>
  <c r="AJ54" i="7"/>
  <c r="AE55" i="7" s="1"/>
  <c r="AJ89" i="7"/>
  <c r="AE90" i="7" s="1"/>
  <c r="AK19" i="7"/>
  <c r="AF19" i="7"/>
  <c r="AG19" i="7"/>
  <c r="AH19" i="7" s="1"/>
  <c r="AI19" i="7" s="1"/>
  <c r="AC20" i="7" s="1"/>
  <c r="AD87" i="6"/>
  <c r="AD17" i="6"/>
  <c r="AJ86" i="6"/>
  <c r="AE87" i="6" s="1"/>
  <c r="AK51" i="6"/>
  <c r="AF51" i="6"/>
  <c r="AJ16" i="6"/>
  <c r="AE17" i="6" s="1"/>
  <c r="AG51" i="6"/>
  <c r="AH51" i="6" s="1"/>
  <c r="AI51" i="6" s="1"/>
  <c r="AC52" i="6" s="1"/>
  <c r="AK104" i="5"/>
  <c r="AF104" i="5"/>
  <c r="AG104" i="5"/>
  <c r="AD68" i="4"/>
  <c r="AK104" i="4"/>
  <c r="AF104" i="4"/>
  <c r="AJ34" i="4"/>
  <c r="AJ67" i="4"/>
  <c r="AE68" i="4" s="1"/>
  <c r="AG104" i="4"/>
  <c r="AD20" i="7" l="1"/>
  <c r="AJ19" i="7"/>
  <c r="AE20" i="7" s="1"/>
  <c r="AK90" i="7"/>
  <c r="AF90" i="7"/>
  <c r="AK55" i="7"/>
  <c r="AF55" i="7"/>
  <c r="AG55" i="7"/>
  <c r="AH55" i="7" s="1"/>
  <c r="AI55" i="7" s="1"/>
  <c r="AC56" i="7" s="1"/>
  <c r="AG90" i="7"/>
  <c r="AH90" i="7" s="1"/>
  <c r="AI90" i="7" s="1"/>
  <c r="AC91" i="7" s="1"/>
  <c r="AJ51" i="6"/>
  <c r="AE52" i="6" s="1"/>
  <c r="AK52" i="6" s="1"/>
  <c r="AD52" i="6"/>
  <c r="AK17" i="6"/>
  <c r="AF17" i="6"/>
  <c r="AG17" i="6"/>
  <c r="AH17" i="6" s="1"/>
  <c r="AI17" i="6" s="1"/>
  <c r="AC18" i="6" s="1"/>
  <c r="AK87" i="6"/>
  <c r="AF87" i="6"/>
  <c r="AG87" i="6"/>
  <c r="AH87" i="6" s="1"/>
  <c r="AI87" i="6" s="1"/>
  <c r="AC88" i="6" s="1"/>
  <c r="W23" i="5"/>
  <c r="W24" i="5" s="1"/>
  <c r="G33" i="5" s="1"/>
  <c r="G34" i="5" s="1"/>
  <c r="AH104" i="5"/>
  <c r="AI104" i="5" s="1"/>
  <c r="W23" i="4"/>
  <c r="W24" i="4" s="1"/>
  <c r="G33" i="4" s="1"/>
  <c r="G34" i="4" s="1"/>
  <c r="AH104" i="4"/>
  <c r="AI104" i="4" s="1"/>
  <c r="AK68" i="4"/>
  <c r="AF68" i="4"/>
  <c r="AG68" i="4"/>
  <c r="AH68" i="4" s="1"/>
  <c r="AI68" i="4" s="1"/>
  <c r="AC69" i="4" s="1"/>
  <c r="AG52" i="6" l="1"/>
  <c r="AH52" i="6" s="1"/>
  <c r="AI52" i="6" s="1"/>
  <c r="AC53" i="6" s="1"/>
  <c r="AF52" i="6"/>
  <c r="AD91" i="7"/>
  <c r="AD56" i="7"/>
  <c r="AK20" i="7"/>
  <c r="AF20" i="7"/>
  <c r="AJ90" i="7"/>
  <c r="AE91" i="7" s="1"/>
  <c r="AJ55" i="7"/>
  <c r="AE56" i="7" s="1"/>
  <c r="AG56" i="7" s="1"/>
  <c r="AH56" i="7" s="1"/>
  <c r="AG20" i="7"/>
  <c r="AH20" i="7" s="1"/>
  <c r="AI20" i="7" s="1"/>
  <c r="AC21" i="7" s="1"/>
  <c r="AD88" i="6"/>
  <c r="AD18" i="6"/>
  <c r="AJ87" i="6"/>
  <c r="AE88" i="6" s="1"/>
  <c r="AJ17" i="6"/>
  <c r="AE18" i="6" s="1"/>
  <c r="AJ104" i="5"/>
  <c r="K6" i="5"/>
  <c r="K11" i="5"/>
  <c r="AJ104" i="4"/>
  <c r="AD69" i="4"/>
  <c r="AJ68" i="4"/>
  <c r="AE69" i="4" s="1"/>
  <c r="AJ52" i="6" l="1"/>
  <c r="AE53" i="6" s="1"/>
  <c r="AG53" i="6" s="1"/>
  <c r="AH53" i="6" s="1"/>
  <c r="AF53" i="6"/>
  <c r="AD53" i="6"/>
  <c r="AD21" i="7"/>
  <c r="AK91" i="7"/>
  <c r="AF91" i="7"/>
  <c r="AJ20" i="7"/>
  <c r="AE21" i="7" s="1"/>
  <c r="AK56" i="7"/>
  <c r="AF56" i="7"/>
  <c r="AJ56" i="7" s="1"/>
  <c r="AE57" i="7" s="1"/>
  <c r="AI56" i="7"/>
  <c r="AC57" i="7" s="1"/>
  <c r="AG91" i="7"/>
  <c r="AH91" i="7" s="1"/>
  <c r="AI91" i="7" s="1"/>
  <c r="AC92" i="7" s="1"/>
  <c r="AK18" i="6"/>
  <c r="AF18" i="6"/>
  <c r="AK88" i="6"/>
  <c r="AF88" i="6"/>
  <c r="AG18" i="6"/>
  <c r="AH18" i="6" s="1"/>
  <c r="AI18" i="6" s="1"/>
  <c r="AC19" i="6" s="1"/>
  <c r="AG88" i="6"/>
  <c r="AH88" i="6" s="1"/>
  <c r="AI88" i="6" s="1"/>
  <c r="AC89" i="6" s="1"/>
  <c r="K7" i="5"/>
  <c r="AK69" i="4"/>
  <c r="AF69" i="4"/>
  <c r="AG69" i="4"/>
  <c r="AJ53" i="6" l="1"/>
  <c r="AE54" i="6" s="1"/>
  <c r="AI53" i="6"/>
  <c r="AC54" i="6" s="1"/>
  <c r="AD54" i="6" s="1"/>
  <c r="AK53" i="6"/>
  <c r="AD92" i="7"/>
  <c r="AK57" i="7"/>
  <c r="AF57" i="7"/>
  <c r="AG57" i="7"/>
  <c r="AH57" i="7" s="1"/>
  <c r="AD57" i="7"/>
  <c r="AK21" i="7"/>
  <c r="AF21" i="7"/>
  <c r="AJ91" i="7"/>
  <c r="AE92" i="7" s="1"/>
  <c r="AG21" i="7"/>
  <c r="AH21" i="7" s="1"/>
  <c r="AI21" i="7" s="1"/>
  <c r="AC22" i="7" s="1"/>
  <c r="AD89" i="6"/>
  <c r="AD19" i="6"/>
  <c r="AF54" i="6"/>
  <c r="AJ18" i="6"/>
  <c r="AE19" i="6" s="1"/>
  <c r="AJ88" i="6"/>
  <c r="AE89" i="6" s="1"/>
  <c r="O23" i="4"/>
  <c r="O24" i="4" s="1"/>
  <c r="G17" i="4" s="1"/>
  <c r="G18" i="4" s="1"/>
  <c r="AH69" i="4"/>
  <c r="AI69" i="4" s="1"/>
  <c r="AI57" i="7" l="1"/>
  <c r="AC58" i="7" s="1"/>
  <c r="AG54" i="6"/>
  <c r="AH54" i="6" s="1"/>
  <c r="AI54" i="6" s="1"/>
  <c r="AC55" i="6" s="1"/>
  <c r="AK54" i="6"/>
  <c r="AD22" i="7"/>
  <c r="AK92" i="7"/>
  <c r="AF92" i="7"/>
  <c r="AJ21" i="7"/>
  <c r="AE22" i="7" s="1"/>
  <c r="AD58" i="7"/>
  <c r="AJ57" i="7"/>
  <c r="AE58" i="7" s="1"/>
  <c r="AG92" i="7"/>
  <c r="AH92" i="7" s="1"/>
  <c r="AI92" i="7" s="1"/>
  <c r="AC93" i="7" s="1"/>
  <c r="AJ54" i="6"/>
  <c r="AE55" i="6" s="1"/>
  <c r="AK55" i="6" s="1"/>
  <c r="AD55" i="6"/>
  <c r="AK19" i="6"/>
  <c r="AF19" i="6"/>
  <c r="AK89" i="6"/>
  <c r="AF89" i="6"/>
  <c r="AG19" i="6"/>
  <c r="AH19" i="6" s="1"/>
  <c r="AI19" i="6" s="1"/>
  <c r="AC20" i="6" s="1"/>
  <c r="AG89" i="6"/>
  <c r="AH89" i="6" s="1"/>
  <c r="AI89" i="6" s="1"/>
  <c r="AC90" i="6" s="1"/>
  <c r="AJ69" i="4"/>
  <c r="K9" i="4"/>
  <c r="K4" i="4"/>
  <c r="AG55" i="6" l="1"/>
  <c r="AH55" i="6" s="1"/>
  <c r="AI55" i="6" s="1"/>
  <c r="AC56" i="6" s="1"/>
  <c r="AF55" i="6"/>
  <c r="AD93" i="7"/>
  <c r="AK22" i="7"/>
  <c r="AF22" i="7"/>
  <c r="AK58" i="7"/>
  <c r="AF58" i="7"/>
  <c r="AG58" i="7"/>
  <c r="AH58" i="7" s="1"/>
  <c r="AI58" i="7" s="1"/>
  <c r="AC59" i="7" s="1"/>
  <c r="AJ92" i="7"/>
  <c r="AE93" i="7" s="1"/>
  <c r="AG22" i="7"/>
  <c r="AH22" i="7" s="1"/>
  <c r="AI22" i="7" s="1"/>
  <c r="AC23" i="7" s="1"/>
  <c r="AD90" i="6"/>
  <c r="AD20" i="6"/>
  <c r="AJ89" i="6"/>
  <c r="AE90" i="6" s="1"/>
  <c r="AJ19" i="6"/>
  <c r="AE20" i="6" s="1"/>
  <c r="K5" i="4"/>
  <c r="AJ55" i="6" l="1"/>
  <c r="AE56" i="6" s="1"/>
  <c r="AF56" i="6" s="1"/>
  <c r="AD56" i="6"/>
  <c r="AD23" i="7"/>
  <c r="AD59" i="7"/>
  <c r="AK93" i="7"/>
  <c r="AF93" i="7"/>
  <c r="AJ58" i="7"/>
  <c r="AE59" i="7" s="1"/>
  <c r="AG59" i="7" s="1"/>
  <c r="AH59" i="7" s="1"/>
  <c r="AJ22" i="7"/>
  <c r="AE23" i="7" s="1"/>
  <c r="AG93" i="7"/>
  <c r="AH93" i="7" s="1"/>
  <c r="AI93" i="7" s="1"/>
  <c r="AC94" i="7" s="1"/>
  <c r="AK20" i="6"/>
  <c r="AF20" i="6"/>
  <c r="AK90" i="6"/>
  <c r="AF90" i="6"/>
  <c r="AG20" i="6"/>
  <c r="AH20" i="6" s="1"/>
  <c r="AI20" i="6" s="1"/>
  <c r="AC21" i="6" s="1"/>
  <c r="AG90" i="6"/>
  <c r="AH90" i="6" s="1"/>
  <c r="AI90" i="6" s="1"/>
  <c r="AC91" i="6" s="1"/>
  <c r="AK56" i="6" l="1"/>
  <c r="AG56" i="6"/>
  <c r="AH56" i="6" s="1"/>
  <c r="AJ56" i="6" s="1"/>
  <c r="AE57" i="6" s="1"/>
  <c r="AD94" i="7"/>
  <c r="AJ93" i="7"/>
  <c r="AE94" i="7" s="1"/>
  <c r="AK23" i="7"/>
  <c r="AF23" i="7"/>
  <c r="AK59" i="7"/>
  <c r="AF59" i="7"/>
  <c r="AJ59" i="7" s="1"/>
  <c r="AE60" i="7" s="1"/>
  <c r="AI59" i="7"/>
  <c r="AC60" i="7" s="1"/>
  <c r="AG23" i="7"/>
  <c r="AH23" i="7" s="1"/>
  <c r="AI23" i="7" s="1"/>
  <c r="AC24" i="7" s="1"/>
  <c r="AD91" i="6"/>
  <c r="AD21" i="6"/>
  <c r="AJ20" i="6"/>
  <c r="AE21" i="6" s="1"/>
  <c r="AJ90" i="6"/>
  <c r="AE91" i="6" s="1"/>
  <c r="AF57" i="6" l="1"/>
  <c r="AI56" i="6"/>
  <c r="AC57" i="6" s="1"/>
  <c r="AK57" i="6" s="1"/>
  <c r="AD57" i="6"/>
  <c r="AD24" i="7"/>
  <c r="AK94" i="7"/>
  <c r="AF94" i="7"/>
  <c r="AK60" i="7"/>
  <c r="AF60" i="7"/>
  <c r="AG60" i="7"/>
  <c r="AH60" i="7" s="1"/>
  <c r="AD60" i="7"/>
  <c r="AJ23" i="7"/>
  <c r="AE24" i="7" s="1"/>
  <c r="AG94" i="7"/>
  <c r="AH94" i="7" s="1"/>
  <c r="AI94" i="7" s="1"/>
  <c r="AC95" i="7" s="1"/>
  <c r="AK91" i="6"/>
  <c r="AF91" i="6"/>
  <c r="AK21" i="6"/>
  <c r="AF21" i="6"/>
  <c r="AG21" i="6"/>
  <c r="AH21" i="6" s="1"/>
  <c r="AI21" i="6" s="1"/>
  <c r="AC22" i="6" s="1"/>
  <c r="AG91" i="6"/>
  <c r="AH91" i="6" s="1"/>
  <c r="AI91" i="6" s="1"/>
  <c r="AC92" i="6" s="1"/>
  <c r="AG57" i="6" l="1"/>
  <c r="AH57" i="6" s="1"/>
  <c r="AJ57" i="6" s="1"/>
  <c r="AE58" i="6" s="1"/>
  <c r="AF58" i="6" s="1"/>
  <c r="AI60" i="7"/>
  <c r="AC61" i="7" s="1"/>
  <c r="AD95" i="7"/>
  <c r="AD61" i="7"/>
  <c r="AJ60" i="7"/>
  <c r="AE61" i="7" s="1"/>
  <c r="AK24" i="7"/>
  <c r="AF24" i="7"/>
  <c r="AJ94" i="7"/>
  <c r="AE95" i="7" s="1"/>
  <c r="AG24" i="7"/>
  <c r="AH24" i="7" s="1"/>
  <c r="AI24" i="7" s="1"/>
  <c r="AC25" i="7" s="1"/>
  <c r="AD92" i="6"/>
  <c r="AD22" i="6"/>
  <c r="AJ21" i="6"/>
  <c r="AE22" i="6" s="1"/>
  <c r="AJ91" i="6"/>
  <c r="AE92" i="6" s="1"/>
  <c r="AI57" i="6" l="1"/>
  <c r="AC58" i="6" s="1"/>
  <c r="AK58" i="6" s="1"/>
  <c r="AD25" i="7"/>
  <c r="AK95" i="7"/>
  <c r="AF95" i="7"/>
  <c r="AJ24" i="7"/>
  <c r="AE25" i="7" s="1"/>
  <c r="AK61" i="7"/>
  <c r="AF61" i="7"/>
  <c r="AG61" i="7"/>
  <c r="AH61" i="7" s="1"/>
  <c r="AI61" i="7" s="1"/>
  <c r="AC62" i="7" s="1"/>
  <c r="AG95" i="7"/>
  <c r="AH95" i="7" s="1"/>
  <c r="AI95" i="7" s="1"/>
  <c r="AC96" i="7" s="1"/>
  <c r="AK22" i="6"/>
  <c r="AF22" i="6"/>
  <c r="AG22" i="6"/>
  <c r="AH22" i="6" s="1"/>
  <c r="AI22" i="6" s="1"/>
  <c r="AC23" i="6" s="1"/>
  <c r="AK92" i="6"/>
  <c r="AF92" i="6"/>
  <c r="AG92" i="6"/>
  <c r="AH92" i="6" s="1"/>
  <c r="AI92" i="6" s="1"/>
  <c r="AC93" i="6" s="1"/>
  <c r="AG58" i="6" l="1"/>
  <c r="AH58" i="6" s="1"/>
  <c r="AJ58" i="6" s="1"/>
  <c r="AE59" i="6" s="1"/>
  <c r="AD58" i="6"/>
  <c r="AI58" i="6" s="1"/>
  <c r="AC59" i="6" s="1"/>
  <c r="AD96" i="7"/>
  <c r="AD62" i="7"/>
  <c r="AJ61" i="7"/>
  <c r="AE62" i="7" s="1"/>
  <c r="AK25" i="7"/>
  <c r="AF25" i="7"/>
  <c r="AJ95" i="7"/>
  <c r="AE96" i="7" s="1"/>
  <c r="AG25" i="7"/>
  <c r="AH25" i="7" s="1"/>
  <c r="AI25" i="7" s="1"/>
  <c r="AC26" i="7" s="1"/>
  <c r="AD93" i="6"/>
  <c r="AD23" i="6"/>
  <c r="AJ92" i="6"/>
  <c r="AE93" i="6" s="1"/>
  <c r="AJ22" i="6"/>
  <c r="AE23" i="6" s="1"/>
  <c r="AG23" i="6" s="1"/>
  <c r="AH23" i="6" s="1"/>
  <c r="AD59" i="6" l="1"/>
  <c r="AG59" i="6"/>
  <c r="AH59" i="6" s="1"/>
  <c r="AI59" i="6" s="1"/>
  <c r="AC60" i="6" s="1"/>
  <c r="AD60" i="6" s="1"/>
  <c r="AF59" i="6"/>
  <c r="AK59" i="6"/>
  <c r="AD26" i="7"/>
  <c r="AK96" i="7"/>
  <c r="AF96" i="7"/>
  <c r="AJ25" i="7"/>
  <c r="AE26" i="7" s="1"/>
  <c r="AK62" i="7"/>
  <c r="AF62" i="7"/>
  <c r="AG62" i="7"/>
  <c r="AH62" i="7" s="1"/>
  <c r="AI62" i="7" s="1"/>
  <c r="AC63" i="7" s="1"/>
  <c r="AG96" i="7"/>
  <c r="AH96" i="7" s="1"/>
  <c r="AI96" i="7" s="1"/>
  <c r="AC97" i="7" s="1"/>
  <c r="AI23" i="6"/>
  <c r="AC24" i="6" s="1"/>
  <c r="AK23" i="6"/>
  <c r="AF23" i="6"/>
  <c r="AJ23" i="6" s="1"/>
  <c r="AE24" i="6" s="1"/>
  <c r="AK93" i="6"/>
  <c r="AF93" i="6"/>
  <c r="AG93" i="6"/>
  <c r="AH93" i="6" s="1"/>
  <c r="AI93" i="6" s="1"/>
  <c r="AC94" i="6" s="1"/>
  <c r="AJ59" i="6" l="1"/>
  <c r="AE60" i="6" s="1"/>
  <c r="AD97" i="7"/>
  <c r="AD63" i="7"/>
  <c r="AJ62" i="7"/>
  <c r="AE63" i="7" s="1"/>
  <c r="AK26" i="7"/>
  <c r="AF26" i="7"/>
  <c r="AJ96" i="7"/>
  <c r="AE97" i="7" s="1"/>
  <c r="AG26" i="7"/>
  <c r="AH26" i="7" s="1"/>
  <c r="AI26" i="7" s="1"/>
  <c r="AC27" i="7" s="1"/>
  <c r="AD94" i="6"/>
  <c r="AJ93" i="6"/>
  <c r="AE94" i="6" s="1"/>
  <c r="AK24" i="6"/>
  <c r="AF24" i="6"/>
  <c r="AG24" i="6"/>
  <c r="AH24" i="6" s="1"/>
  <c r="AD24" i="6"/>
  <c r="AF60" i="6" l="1"/>
  <c r="AK60" i="6"/>
  <c r="AG60" i="6"/>
  <c r="AH60" i="6" s="1"/>
  <c r="AD27" i="7"/>
  <c r="AK97" i="7"/>
  <c r="AF97" i="7"/>
  <c r="AJ26" i="7"/>
  <c r="AE27" i="7" s="1"/>
  <c r="AK63" i="7"/>
  <c r="AF63" i="7"/>
  <c r="AG63" i="7"/>
  <c r="AH63" i="7" s="1"/>
  <c r="AI63" i="7" s="1"/>
  <c r="AC64" i="7" s="1"/>
  <c r="AG97" i="7"/>
  <c r="AH97" i="7" s="1"/>
  <c r="AI97" i="7" s="1"/>
  <c r="AC98" i="7" s="1"/>
  <c r="AI24" i="6"/>
  <c r="AC25" i="6" s="1"/>
  <c r="AD25" i="6" s="1"/>
  <c r="AK94" i="6"/>
  <c r="AF94" i="6"/>
  <c r="AJ24" i="6"/>
  <c r="AE25" i="6" s="1"/>
  <c r="AG94" i="6"/>
  <c r="AH94" i="6" s="1"/>
  <c r="AI94" i="6" s="1"/>
  <c r="AC95" i="6" s="1"/>
  <c r="AJ60" i="6" l="1"/>
  <c r="AE61" i="6" s="1"/>
  <c r="AF61" i="6" s="1"/>
  <c r="AI60" i="6"/>
  <c r="AC61" i="6" s="1"/>
  <c r="AD98" i="7"/>
  <c r="AD64" i="7"/>
  <c r="AJ97" i="7"/>
  <c r="AE98" i="7" s="1"/>
  <c r="AJ63" i="7"/>
  <c r="AE64" i="7" s="1"/>
  <c r="AK27" i="7"/>
  <c r="AF27" i="7"/>
  <c r="AG27" i="7"/>
  <c r="AH27" i="7" s="1"/>
  <c r="AI27" i="7" s="1"/>
  <c r="AC28" i="7" s="1"/>
  <c r="AD95" i="6"/>
  <c r="AK25" i="6"/>
  <c r="AF25" i="6"/>
  <c r="AJ94" i="6"/>
  <c r="AE95" i="6" s="1"/>
  <c r="AG25" i="6"/>
  <c r="AH25" i="6" s="1"/>
  <c r="AI25" i="6" s="1"/>
  <c r="AC26" i="6" s="1"/>
  <c r="AK61" i="6" l="1"/>
  <c r="AD61" i="6"/>
  <c r="AG61" i="6"/>
  <c r="AH61" i="6" s="1"/>
  <c r="AJ61" i="6" s="1"/>
  <c r="AE62" i="6" s="1"/>
  <c r="AF62" i="6" s="1"/>
  <c r="AD28" i="7"/>
  <c r="AK64" i="7"/>
  <c r="AF64" i="7"/>
  <c r="AJ27" i="7"/>
  <c r="AE28" i="7" s="1"/>
  <c r="AK98" i="7"/>
  <c r="AF98" i="7"/>
  <c r="AG64" i="7"/>
  <c r="AH64" i="7" s="1"/>
  <c r="AI64" i="7" s="1"/>
  <c r="AC65" i="7" s="1"/>
  <c r="AG98" i="7"/>
  <c r="AH98" i="7" s="1"/>
  <c r="AI98" i="7" s="1"/>
  <c r="AC99" i="7" s="1"/>
  <c r="AD26" i="6"/>
  <c r="AK95" i="6"/>
  <c r="AF95" i="6"/>
  <c r="AJ25" i="6"/>
  <c r="AE26" i="6" s="1"/>
  <c r="AG95" i="6"/>
  <c r="AH95" i="6" s="1"/>
  <c r="AI95" i="6" s="1"/>
  <c r="AC96" i="6" s="1"/>
  <c r="AI61" i="6" l="1"/>
  <c r="AC62" i="6" s="1"/>
  <c r="AD99" i="7"/>
  <c r="AD65" i="7"/>
  <c r="AJ98" i="7"/>
  <c r="AE99" i="7" s="1"/>
  <c r="AK28" i="7"/>
  <c r="AF28" i="7"/>
  <c r="AJ64" i="7"/>
  <c r="AE65" i="7" s="1"/>
  <c r="AG28" i="7"/>
  <c r="AH28" i="7" s="1"/>
  <c r="AI28" i="7" s="1"/>
  <c r="AC29" i="7" s="1"/>
  <c r="AD96" i="6"/>
  <c r="AK26" i="6"/>
  <c r="AF26" i="6"/>
  <c r="AJ95" i="6"/>
  <c r="AE96" i="6" s="1"/>
  <c r="AG26" i="6"/>
  <c r="AH26" i="6" s="1"/>
  <c r="AI26" i="6" s="1"/>
  <c r="AC27" i="6" s="1"/>
  <c r="AD62" i="6" l="1"/>
  <c r="AG62" i="6"/>
  <c r="AH62" i="6" s="1"/>
  <c r="AJ62" i="6" s="1"/>
  <c r="AE63" i="6" s="1"/>
  <c r="AF63" i="6" s="1"/>
  <c r="AK62" i="6"/>
  <c r="AD29" i="7"/>
  <c r="AJ28" i="7"/>
  <c r="AE29" i="7" s="1"/>
  <c r="AK65" i="7"/>
  <c r="AF65" i="7"/>
  <c r="AK99" i="7"/>
  <c r="AF99" i="7"/>
  <c r="AG65" i="7"/>
  <c r="AH65" i="7" s="1"/>
  <c r="AI65" i="7" s="1"/>
  <c r="AC66" i="7" s="1"/>
  <c r="AG99" i="7"/>
  <c r="AH99" i="7" s="1"/>
  <c r="AI99" i="7" s="1"/>
  <c r="AC100" i="7" s="1"/>
  <c r="AD27" i="6"/>
  <c r="AK96" i="6"/>
  <c r="AF96" i="6"/>
  <c r="AJ26" i="6"/>
  <c r="AE27" i="6" s="1"/>
  <c r="AG96" i="6"/>
  <c r="AH96" i="6" s="1"/>
  <c r="AI96" i="6" s="1"/>
  <c r="AC97" i="6" s="1"/>
  <c r="AI62" i="6" l="1"/>
  <c r="AC63" i="6" s="1"/>
  <c r="AD100" i="7"/>
  <c r="AD66" i="7"/>
  <c r="AJ99" i="7"/>
  <c r="AE100" i="7" s="1"/>
  <c r="AK29" i="7"/>
  <c r="AF29" i="7"/>
  <c r="AJ65" i="7"/>
  <c r="AE66" i="7" s="1"/>
  <c r="AG29" i="7"/>
  <c r="AH29" i="7" s="1"/>
  <c r="AI29" i="7" s="1"/>
  <c r="AC30" i="7" s="1"/>
  <c r="AD97" i="6"/>
  <c r="AK27" i="6"/>
  <c r="AF27" i="6"/>
  <c r="AJ96" i="6"/>
  <c r="AE97" i="6" s="1"/>
  <c r="AG27" i="6"/>
  <c r="AH27" i="6" s="1"/>
  <c r="AI27" i="6" s="1"/>
  <c r="AC28" i="6" s="1"/>
  <c r="AK63" i="6" l="1"/>
  <c r="AG63" i="6"/>
  <c r="AH63" i="6" s="1"/>
  <c r="AD63" i="6"/>
  <c r="AD30" i="7"/>
  <c r="AJ29" i="7"/>
  <c r="AE30" i="7" s="1"/>
  <c r="AK66" i="7"/>
  <c r="AF66" i="7"/>
  <c r="AK100" i="7"/>
  <c r="AF100" i="7"/>
  <c r="AG66" i="7"/>
  <c r="AH66" i="7" s="1"/>
  <c r="AI66" i="7" s="1"/>
  <c r="AC67" i="7" s="1"/>
  <c r="AG100" i="7"/>
  <c r="AH100" i="7" s="1"/>
  <c r="AI100" i="7" s="1"/>
  <c r="AC101" i="7" s="1"/>
  <c r="AD28" i="6"/>
  <c r="AK97" i="6"/>
  <c r="AF97" i="6"/>
  <c r="AJ27" i="6"/>
  <c r="AE28" i="6" s="1"/>
  <c r="AG97" i="6"/>
  <c r="AH97" i="6" s="1"/>
  <c r="AI97" i="6" s="1"/>
  <c r="AC98" i="6" s="1"/>
  <c r="AI63" i="6" l="1"/>
  <c r="AC64" i="6" s="1"/>
  <c r="AJ63" i="6"/>
  <c r="AE64" i="6" s="1"/>
  <c r="AD101" i="7"/>
  <c r="AD67" i="7"/>
  <c r="AJ100" i="7"/>
  <c r="AE101" i="7" s="1"/>
  <c r="AK30" i="7"/>
  <c r="AF30" i="7"/>
  <c r="AJ66" i="7"/>
  <c r="AE67" i="7" s="1"/>
  <c r="AG30" i="7"/>
  <c r="AH30" i="7" s="1"/>
  <c r="AI30" i="7" s="1"/>
  <c r="AC31" i="7" s="1"/>
  <c r="AD98" i="6"/>
  <c r="AK28" i="6"/>
  <c r="AF28" i="6"/>
  <c r="AJ97" i="6"/>
  <c r="AE98" i="6" s="1"/>
  <c r="AG28" i="6"/>
  <c r="AH28" i="6" s="1"/>
  <c r="AI28" i="6" s="1"/>
  <c r="AC29" i="6" s="1"/>
  <c r="AK64" i="6" l="1"/>
  <c r="AF64" i="6"/>
  <c r="AD64" i="6"/>
  <c r="AG64" i="6"/>
  <c r="AH64" i="6" s="1"/>
  <c r="AI64" i="6" s="1"/>
  <c r="AC65" i="6" s="1"/>
  <c r="AD31" i="7"/>
  <c r="AK67" i="7"/>
  <c r="AF67" i="7"/>
  <c r="AJ30" i="7"/>
  <c r="AE31" i="7" s="1"/>
  <c r="AK101" i="7"/>
  <c r="AF101" i="7"/>
  <c r="AG67" i="7"/>
  <c r="AH67" i="7" s="1"/>
  <c r="AI67" i="7" s="1"/>
  <c r="AC68" i="7" s="1"/>
  <c r="AG101" i="7"/>
  <c r="AH101" i="7" s="1"/>
  <c r="AI101" i="7" s="1"/>
  <c r="AC102" i="7" s="1"/>
  <c r="AD29" i="6"/>
  <c r="AK98" i="6"/>
  <c r="AF98" i="6"/>
  <c r="AJ28" i="6"/>
  <c r="AE29" i="6" s="1"/>
  <c r="AG98" i="6"/>
  <c r="AH98" i="6" s="1"/>
  <c r="AI98" i="6" s="1"/>
  <c r="AC99" i="6" s="1"/>
  <c r="AD65" i="6" l="1"/>
  <c r="AJ64" i="6"/>
  <c r="AE65" i="6" s="1"/>
  <c r="AD102" i="7"/>
  <c r="AD68" i="7"/>
  <c r="AJ101" i="7"/>
  <c r="AE102" i="7" s="1"/>
  <c r="AK31" i="7"/>
  <c r="AF31" i="7"/>
  <c r="AJ67" i="7"/>
  <c r="AE68" i="7" s="1"/>
  <c r="AG31" i="7"/>
  <c r="AH31" i="7" s="1"/>
  <c r="AI31" i="7" s="1"/>
  <c r="AC32" i="7" s="1"/>
  <c r="AD99" i="6"/>
  <c r="AK29" i="6"/>
  <c r="AF29" i="6"/>
  <c r="AJ98" i="6"/>
  <c r="AE99" i="6" s="1"/>
  <c r="AG29" i="6"/>
  <c r="AH29" i="6" s="1"/>
  <c r="AI29" i="6" s="1"/>
  <c r="AC30" i="6" s="1"/>
  <c r="AF65" i="6" l="1"/>
  <c r="AK65" i="6"/>
  <c r="AG65" i="6"/>
  <c r="AH65" i="6" s="1"/>
  <c r="AI65" i="6" s="1"/>
  <c r="AC66" i="6" s="1"/>
  <c r="AD32" i="7"/>
  <c r="AJ31" i="7"/>
  <c r="AE32" i="7" s="1"/>
  <c r="AK68" i="7"/>
  <c r="AF68" i="7"/>
  <c r="AK102" i="7"/>
  <c r="AF102" i="7"/>
  <c r="AG68" i="7"/>
  <c r="AH68" i="7" s="1"/>
  <c r="AI68" i="7" s="1"/>
  <c r="AC69" i="7" s="1"/>
  <c r="AG102" i="7"/>
  <c r="AH102" i="7" s="1"/>
  <c r="AI102" i="7" s="1"/>
  <c r="AC103" i="7" s="1"/>
  <c r="AD30" i="6"/>
  <c r="AK99" i="6"/>
  <c r="AF99" i="6"/>
  <c r="AJ29" i="6"/>
  <c r="AE30" i="6" s="1"/>
  <c r="AG99" i="6"/>
  <c r="AH99" i="6" s="1"/>
  <c r="AI99" i="6" s="1"/>
  <c r="AC100" i="6" s="1"/>
  <c r="AD66" i="6" l="1"/>
  <c r="AJ65" i="6"/>
  <c r="AE66" i="6" s="1"/>
  <c r="AG66" i="6" s="1"/>
  <c r="AH66" i="6" s="1"/>
  <c r="AD103" i="7"/>
  <c r="AD69" i="7"/>
  <c r="AJ102" i="7"/>
  <c r="AE103" i="7" s="1"/>
  <c r="AJ68" i="7"/>
  <c r="AE69" i="7" s="1"/>
  <c r="AG69" i="7" s="1"/>
  <c r="AK32" i="7"/>
  <c r="AF32" i="7"/>
  <c r="AG32" i="7"/>
  <c r="AH32" i="7" s="1"/>
  <c r="AI32" i="7" s="1"/>
  <c r="AC33" i="7" s="1"/>
  <c r="AD100" i="6"/>
  <c r="AK30" i="6"/>
  <c r="AF30" i="6"/>
  <c r="AJ99" i="6"/>
  <c r="AE100" i="6" s="1"/>
  <c r="AG30" i="6"/>
  <c r="AH30" i="6" s="1"/>
  <c r="AI30" i="6" s="1"/>
  <c r="AC31" i="6" s="1"/>
  <c r="AF66" i="6" l="1"/>
  <c r="AJ66" i="6" s="1"/>
  <c r="AE67" i="6" s="1"/>
  <c r="AK66" i="6"/>
  <c r="AI66" i="6"/>
  <c r="AC67" i="6" s="1"/>
  <c r="AD33" i="7"/>
  <c r="O22" i="7"/>
  <c r="O23" i="7" s="1"/>
  <c r="G17" i="7" s="1"/>
  <c r="G18" i="7" s="1"/>
  <c r="AH69" i="7"/>
  <c r="AI69" i="7" s="1"/>
  <c r="AJ32" i="7"/>
  <c r="AE33" i="7" s="1"/>
  <c r="AK69" i="7"/>
  <c r="AF69" i="7"/>
  <c r="AJ69" i="7" s="1"/>
  <c r="AK103" i="7"/>
  <c r="AF103" i="7"/>
  <c r="AG103" i="7"/>
  <c r="AH103" i="7" s="1"/>
  <c r="AI103" i="7" s="1"/>
  <c r="AC104" i="7" s="1"/>
  <c r="AD31" i="6"/>
  <c r="AK100" i="6"/>
  <c r="AF100" i="6"/>
  <c r="AJ30" i="6"/>
  <c r="AE31" i="6" s="1"/>
  <c r="AG100" i="6"/>
  <c r="AH100" i="6" s="1"/>
  <c r="AI100" i="6" s="1"/>
  <c r="AC101" i="6" s="1"/>
  <c r="AD67" i="6" l="1"/>
  <c r="AG67" i="6"/>
  <c r="AH67" i="6" s="1"/>
  <c r="AI67" i="6" s="1"/>
  <c r="AC68" i="6" s="1"/>
  <c r="AD68" i="6" s="1"/>
  <c r="AF67" i="6"/>
  <c r="AK67" i="6"/>
  <c r="AD104" i="7"/>
  <c r="AJ103" i="7"/>
  <c r="AE104" i="7" s="1"/>
  <c r="AK33" i="7"/>
  <c r="AF33" i="7"/>
  <c r="AG33" i="7"/>
  <c r="AH33" i="7" s="1"/>
  <c r="AI33" i="7" s="1"/>
  <c r="AC34" i="7" s="1"/>
  <c r="AD101" i="6"/>
  <c r="AK31" i="6"/>
  <c r="AF31" i="6"/>
  <c r="AJ100" i="6"/>
  <c r="AE101" i="6" s="1"/>
  <c r="AG31" i="6"/>
  <c r="AH31" i="6" s="1"/>
  <c r="AI31" i="6" s="1"/>
  <c r="AC32" i="6" s="1"/>
  <c r="AJ67" i="6" l="1"/>
  <c r="AE68" i="6" s="1"/>
  <c r="AD34" i="7"/>
  <c r="AJ33" i="7"/>
  <c r="AE34" i="7" s="1"/>
  <c r="AK104" i="7"/>
  <c r="AF104" i="7"/>
  <c r="AG104" i="7"/>
  <c r="AD32" i="6"/>
  <c r="AK101" i="6"/>
  <c r="AF101" i="6"/>
  <c r="AJ31" i="6"/>
  <c r="AE32" i="6" s="1"/>
  <c r="AG101" i="6"/>
  <c r="AH101" i="6" s="1"/>
  <c r="AI101" i="6" s="1"/>
  <c r="AC102" i="6" s="1"/>
  <c r="AF68" i="6" l="1"/>
  <c r="AG68" i="6"/>
  <c r="AH68" i="6" s="1"/>
  <c r="AI68" i="6" s="1"/>
  <c r="AC69" i="6" s="1"/>
  <c r="AD69" i="6" s="1"/>
  <c r="AK68" i="6"/>
  <c r="W22" i="7"/>
  <c r="W23" i="7" s="1"/>
  <c r="G33" i="7" s="1"/>
  <c r="G34" i="7" s="1"/>
  <c r="AH104" i="7"/>
  <c r="AI104" i="7" s="1"/>
  <c r="AK34" i="7"/>
  <c r="AF34" i="7"/>
  <c r="AG34" i="7"/>
  <c r="AD102" i="6"/>
  <c r="AK32" i="6"/>
  <c r="AF32" i="6"/>
  <c r="AJ101" i="6"/>
  <c r="AE102" i="6" s="1"/>
  <c r="AG32" i="6"/>
  <c r="AH32" i="6" s="1"/>
  <c r="AI32" i="6" s="1"/>
  <c r="AC33" i="6" s="1"/>
  <c r="AJ68" i="6" l="1"/>
  <c r="AE69" i="6" s="1"/>
  <c r="AJ104" i="7"/>
  <c r="S22" i="7"/>
  <c r="S23" i="7" s="1"/>
  <c r="G22" i="7" s="1"/>
  <c r="G23" i="7" s="1"/>
  <c r="AH34" i="7"/>
  <c r="AI34" i="7" s="1"/>
  <c r="AD33" i="6"/>
  <c r="AK102" i="6"/>
  <c r="AF102" i="6"/>
  <c r="AJ32" i="6"/>
  <c r="AE33" i="6" s="1"/>
  <c r="AG102" i="6"/>
  <c r="AH102" i="6" s="1"/>
  <c r="AI102" i="6" s="1"/>
  <c r="AC103" i="6" s="1"/>
  <c r="AK69" i="6" l="1"/>
  <c r="AF69" i="6"/>
  <c r="AG69" i="6"/>
  <c r="K11" i="7"/>
  <c r="K6" i="7"/>
  <c r="AJ34" i="7"/>
  <c r="AD103" i="6"/>
  <c r="AK33" i="6"/>
  <c r="AF33" i="6"/>
  <c r="AJ102" i="6"/>
  <c r="AE103" i="6" s="1"/>
  <c r="AG33" i="6"/>
  <c r="AH33" i="6" s="1"/>
  <c r="AI33" i="6" s="1"/>
  <c r="AC34" i="6" s="1"/>
  <c r="AH69" i="6" l="1"/>
  <c r="O22" i="6"/>
  <c r="O23" i="6" s="1"/>
  <c r="G17" i="6" s="1"/>
  <c r="G18" i="6" s="1"/>
  <c r="K7" i="7"/>
  <c r="AD34" i="6"/>
  <c r="AK103" i="6"/>
  <c r="AF103" i="6"/>
  <c r="AJ33" i="6"/>
  <c r="AE34" i="6" s="1"/>
  <c r="AG103" i="6"/>
  <c r="AH103" i="6" s="1"/>
  <c r="AI103" i="6" s="1"/>
  <c r="AC104" i="6" s="1"/>
  <c r="AI69" i="6" l="1"/>
  <c r="AJ69" i="6"/>
  <c r="AD104" i="6"/>
  <c r="AK34" i="6"/>
  <c r="AF34" i="6"/>
  <c r="AJ103" i="6"/>
  <c r="AE104" i="6" s="1"/>
  <c r="AG34" i="6"/>
  <c r="S22" i="6" l="1"/>
  <c r="S23" i="6" s="1"/>
  <c r="G22" i="6" s="1"/>
  <c r="G23" i="6" s="1"/>
  <c r="AH34" i="6"/>
  <c r="AI34" i="6" s="1"/>
  <c r="AK104" i="6"/>
  <c r="AF104" i="6"/>
  <c r="AG104" i="6"/>
  <c r="AJ34" i="6" l="1"/>
  <c r="W22" i="6"/>
  <c r="W23" i="6" s="1"/>
  <c r="G33" i="6" s="1"/>
  <c r="G34" i="6" s="1"/>
  <c r="K4" i="6" s="1"/>
  <c r="AH104" i="6"/>
  <c r="AI104" i="6" s="1"/>
  <c r="K9" i="6" l="1"/>
  <c r="K5" i="6"/>
  <c r="AJ104" i="6"/>
</calcChain>
</file>

<file path=xl/sharedStrings.xml><?xml version="1.0" encoding="utf-8"?>
<sst xmlns="http://schemas.openxmlformats.org/spreadsheetml/2006/main" count="1027" uniqueCount="161">
  <si>
    <t>!!! Press F9 to recalculate !!!</t>
  </si>
  <si>
    <t>lift+cruise</t>
  </si>
  <si>
    <t>rotor_lift_solidity</t>
  </si>
  <si>
    <t>hover_FM</t>
  </si>
  <si>
    <t>Cd0</t>
  </si>
  <si>
    <t>wing_AR</t>
  </si>
  <si>
    <t>Battery parameters</t>
  </si>
  <si>
    <t>battery_rho</t>
  </si>
  <si>
    <t>Wh/kg</t>
  </si>
  <si>
    <t>battery_eff</t>
  </si>
  <si>
    <t>battery_max_discharge</t>
  </si>
  <si>
    <t>Design parameters</t>
  </si>
  <si>
    <t>kg</t>
  </si>
  <si>
    <t>r_rotor_lift</t>
  </si>
  <si>
    <t>m</t>
  </si>
  <si>
    <t>cruise_speed</t>
  </si>
  <si>
    <t>m/s</t>
  </si>
  <si>
    <t>wing_area</t>
  </si>
  <si>
    <t>m^2</t>
  </si>
  <si>
    <t>Rotor|J</t>
  </si>
  <si>
    <t>Mission requirements</t>
  </si>
  <si>
    <t>flight_range</t>
  </si>
  <si>
    <t>s</t>
  </si>
  <si>
    <t>rho_air</t>
  </si>
  <si>
    <t>kg/m^3</t>
  </si>
  <si>
    <t>gravitational_accel</t>
  </si>
  <si>
    <t>m/s^2</t>
  </si>
  <si>
    <t>Softmax</t>
  </si>
  <si>
    <t>rho</t>
  </si>
  <si>
    <t>W</t>
  </si>
  <si>
    <t>thrust_each</t>
  </si>
  <si>
    <t>N</t>
  </si>
  <si>
    <t>power_fwd_each</t>
  </si>
  <si>
    <t>power_forward</t>
  </si>
  <si>
    <t>Energy and time</t>
  </si>
  <si>
    <t>flight_time</t>
  </si>
  <si>
    <t>lift</t>
  </si>
  <si>
    <t>dyn_pressure</t>
  </si>
  <si>
    <t>N/m^2</t>
  </si>
  <si>
    <t>CL_cruise</t>
  </si>
  <si>
    <t>Rotor performance</t>
  </si>
  <si>
    <t>alpha</t>
  </si>
  <si>
    <t>omega</t>
  </si>
  <si>
    <t>rad/s</t>
  </si>
  <si>
    <t>mu</t>
  </si>
  <si>
    <t>Ct</t>
  </si>
  <si>
    <t>Profile_power</t>
  </si>
  <si>
    <t>lambda</t>
  </si>
  <si>
    <t>v_induced</t>
  </si>
  <si>
    <t>kappa_raw</t>
  </si>
  <si>
    <t>kappa_min</t>
  </si>
  <si>
    <t>kappa</t>
  </si>
  <si>
    <t>N_rotors_lift</t>
  </si>
  <si>
    <t>evtol_config</t>
  </si>
  <si>
    <t>W_total_takeoff</t>
  </si>
  <si>
    <t>f</t>
  </si>
  <si>
    <t>CD0</t>
  </si>
  <si>
    <t>Parasite_drag</t>
  </si>
  <si>
    <t>Oswald_e</t>
  </si>
  <si>
    <t>CD_cruise</t>
  </si>
  <si>
    <t>Total_drag</t>
  </si>
  <si>
    <t>AoA</t>
  </si>
  <si>
    <t>deg</t>
  </si>
  <si>
    <t>Iter</t>
  </si>
  <si>
    <t>a</t>
  </si>
  <si>
    <t>f(a)</t>
  </si>
  <si>
    <t>b</t>
  </si>
  <si>
    <t>f(b)</t>
  </si>
  <si>
    <t>c</t>
  </si>
  <si>
    <t>f(c)</t>
  </si>
  <si>
    <t>f(a)*f(c)</t>
  </si>
  <si>
    <t>f(b)*f(c)</t>
  </si>
  <si>
    <t>Error (b-a)</t>
  </si>
  <si>
    <t>eVTOL general parameters</t>
  </si>
  <si>
    <t>multirotor</t>
  </si>
  <si>
    <t>Rotor|mu</t>
  </si>
  <si>
    <t>L/D</t>
  </si>
  <si>
    <t>Stability (trim)</t>
  </si>
  <si>
    <t>Thrust_all</t>
  </si>
  <si>
    <t>sin_beta</t>
  </si>
  <si>
    <t>Bisection method for solving RotorInflow lambda in cruise</t>
  </si>
  <si>
    <t>Hover climb segment</t>
  </si>
  <si>
    <t>Power maximum for design</t>
  </si>
  <si>
    <t>Aerodynamics in climb</t>
  </si>
  <si>
    <t>Aerodynamics in cruise</t>
  </si>
  <si>
    <t>Aerodynamics in descent</t>
  </si>
  <si>
    <t>hover_climb_speed</t>
  </si>
  <si>
    <t>p_max_liftrotor</t>
  </si>
  <si>
    <t>hover_climb_distance</t>
  </si>
  <si>
    <t>p_max_liftrotor_each</t>
  </si>
  <si>
    <t>power_hover_climb</t>
  </si>
  <si>
    <t>kW</t>
  </si>
  <si>
    <t>hover climb duration</t>
  </si>
  <si>
    <t>energy_consumption</t>
  </si>
  <si>
    <t>kWh</t>
  </si>
  <si>
    <t>Climb segment</t>
  </si>
  <si>
    <t>mins</t>
  </si>
  <si>
    <t>speed</t>
  </si>
  <si>
    <t>speed_Y</t>
  </si>
  <si>
    <t>distance_Y</t>
  </si>
  <si>
    <t>delta</t>
  </si>
  <si>
    <t>speed_X</t>
  </si>
  <si>
    <t>distance_X</t>
  </si>
  <si>
    <t>flight_path_gamma</t>
  </si>
  <si>
    <t>power_each</t>
  </si>
  <si>
    <t>power_climb</t>
  </si>
  <si>
    <t>climb duration</t>
  </si>
  <si>
    <t>payload_weight</t>
  </si>
  <si>
    <t>Cruise segment</t>
  </si>
  <si>
    <t>Constants</t>
  </si>
  <si>
    <t>cruise duration</t>
  </si>
  <si>
    <t>Descent segment</t>
  </si>
  <si>
    <t>technology_factor</t>
  </si>
  <si>
    <t>power_descent</t>
  </si>
  <si>
    <t>descent duration</t>
  </si>
  <si>
    <t>Hover descent segment</t>
  </si>
  <si>
    <t>Bisection method for solving RotorInflow lambda in climb</t>
  </si>
  <si>
    <t>hover_descent_speed</t>
  </si>
  <si>
    <t>hover_descent_distance</t>
  </si>
  <si>
    <t>power_hover_descent</t>
  </si>
  <si>
    <t>hover descent duration</t>
  </si>
  <si>
    <t>Bisection method for solving RotorInflow lambda in descent</t>
  </si>
  <si>
    <t>N_lift_rotor</t>
  </si>
  <si>
    <t>N_propeller</t>
  </si>
  <si>
    <t>p_max_prop</t>
  </si>
  <si>
    <t>p_max_prop_each</t>
  </si>
  <si>
    <t>propeller_solidity</t>
  </si>
  <si>
    <t>CL</t>
  </si>
  <si>
    <t>CD</t>
  </si>
  <si>
    <t>Total drag</t>
  </si>
  <si>
    <t>Propeller performance in climb</t>
  </si>
  <si>
    <t>Propeller performance in cruise</t>
  </si>
  <si>
    <t>Propeller performance in descent</t>
  </si>
  <si>
    <t>power_propeller</t>
  </si>
  <si>
    <t>r_lift_rotor</t>
  </si>
  <si>
    <t>r_propeller</t>
  </si>
  <si>
    <t>power_each_motor</t>
  </si>
  <si>
    <t>power_cruise</t>
  </si>
  <si>
    <t>Initial</t>
  </si>
  <si>
    <t>Optimal</t>
  </si>
  <si>
    <t>Rotor parameters</t>
  </si>
  <si>
    <t>N_blade_lift_rotor</t>
  </si>
  <si>
    <t>k_prop</t>
  </si>
  <si>
    <t>Fuselage parameters</t>
  </si>
  <si>
    <t>n_pax</t>
  </si>
  <si>
    <t>l_fuse</t>
  </si>
  <si>
    <t>d_max</t>
  </si>
  <si>
    <t>Landing gear parameters</t>
  </si>
  <si>
    <t>l_sm</t>
  </si>
  <si>
    <t>n_ult</t>
  </si>
  <si>
    <t>N_blade_propeller</t>
  </si>
  <si>
    <t>Wing parameters</t>
  </si>
  <si>
    <t>Horizontal tail parameters</t>
  </si>
  <si>
    <t>htail_AR</t>
  </si>
  <si>
    <t>htail_S</t>
  </si>
  <si>
    <t>t_rh</t>
  </si>
  <si>
    <t>Vertical tail parameters</t>
  </si>
  <si>
    <t>vtail_AR</t>
  </si>
  <si>
    <t>vtail_S</t>
  </si>
  <si>
    <t>t_rv</t>
  </si>
  <si>
    <t>quarter_chord_sweep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</si>
</sst>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0" xfId="0" applyFill="1"/>
    <xf numFmtId="0" fontId="0" fillId="5" borderId="0" xfId="0" applyFill="1"/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0" fillId="5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3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vertical="center"/>
    </xf>
    <xf numFmtId="0" fontId="0" fillId="3" borderId="0" xfId="0" applyFill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C9A4-014D-1547-9F90-2CE2D6D869E1}">
  <dimension ref="B1:AK104"/>
  <sheetViews>
    <sheetView topLeftCell="F1" workbookViewId="0">
      <selection activeCell="K18" sqref="K18"/>
    </sheetView>
  </sheetViews>
  <sheetFormatPr baseColWidth="10" defaultRowHeight="16" x14ac:dyDescent="0.2"/>
  <cols>
    <col min="1" max="1" width="4.1640625" style="11" customWidth="1"/>
    <col min="2" max="2" width="20.5" style="11" customWidth="1"/>
    <col min="3" max="3" width="10.83203125" style="11"/>
    <col min="4" max="4" width="7.1640625" style="11" customWidth="1"/>
    <col min="5" max="5" width="5.6640625" style="11" customWidth="1"/>
    <col min="6" max="6" width="20.6640625" style="11" customWidth="1"/>
    <col min="7" max="7" width="13.1640625" style="11" customWidth="1"/>
    <col min="8" max="8" width="4.1640625" style="11" customWidth="1"/>
    <col min="9" max="9" width="6" style="11" customWidth="1"/>
    <col min="10" max="10" width="18.1640625" style="11" customWidth="1"/>
    <col min="11" max="11" width="13.1640625" style="11" customWidth="1"/>
    <col min="12" max="12" width="4.83203125" style="11" customWidth="1"/>
    <col min="13" max="13" width="6" style="11" customWidth="1"/>
    <col min="14" max="14" width="12.1640625" style="11" customWidth="1"/>
    <col min="15" max="15" width="11.1640625" style="11" customWidth="1"/>
    <col min="16" max="16" width="6.33203125" style="11" customWidth="1"/>
    <col min="17" max="17" width="6" style="11" customWidth="1"/>
    <col min="18" max="18" width="12" style="11" customWidth="1"/>
    <col min="19" max="19" width="10.83203125" style="11"/>
    <col min="20" max="20" width="6.33203125" style="11" customWidth="1"/>
    <col min="21" max="21" width="6.1640625" style="11" customWidth="1"/>
    <col min="22" max="22" width="12.33203125" style="11" customWidth="1"/>
    <col min="23" max="23" width="11.1640625" style="11" customWidth="1"/>
    <col min="24" max="24" width="6.5" style="11" customWidth="1"/>
    <col min="25" max="27" width="3.83203125" style="11" customWidth="1"/>
    <col min="28" max="28" width="5.5" style="11" customWidth="1"/>
    <col min="29" max="30" width="6.1640625" style="11" customWidth="1"/>
    <col min="31" max="31" width="6.6640625" style="11" customWidth="1"/>
    <col min="32" max="32" width="7" style="11" customWidth="1"/>
    <col min="33" max="33" width="14.6640625" style="11" customWidth="1"/>
    <col min="34" max="34" width="7.83203125" style="11" customWidth="1"/>
    <col min="35" max="35" width="10" style="11" customWidth="1"/>
    <col min="36" max="36" width="9.5" style="11" customWidth="1"/>
    <col min="37" max="37" width="13.6640625" style="11" customWidth="1"/>
    <col min="38" max="16384" width="10.83203125" style="11"/>
  </cols>
  <sheetData>
    <row r="1" spans="2:37" x14ac:dyDescent="0.2">
      <c r="B1" s="21" t="s">
        <v>0</v>
      </c>
      <c r="C1" s="21"/>
      <c r="D1" s="21"/>
    </row>
    <row r="2" spans="2:37" x14ac:dyDescent="0.2">
      <c r="AB2" s="12" t="s">
        <v>80</v>
      </c>
    </row>
    <row r="3" spans="2:37" x14ac:dyDescent="0.2">
      <c r="B3" s="22" t="s">
        <v>73</v>
      </c>
      <c r="C3" s="23"/>
      <c r="D3" s="23"/>
      <c r="F3" s="22" t="s">
        <v>81</v>
      </c>
      <c r="G3" s="23"/>
      <c r="H3" s="23"/>
      <c r="J3" s="24" t="s">
        <v>82</v>
      </c>
      <c r="K3" s="24"/>
      <c r="L3" s="24"/>
      <c r="N3" s="24" t="s">
        <v>83</v>
      </c>
      <c r="O3" s="24"/>
      <c r="P3" s="24"/>
      <c r="R3" s="24" t="s">
        <v>84</v>
      </c>
      <c r="S3" s="24"/>
      <c r="T3" s="24"/>
      <c r="V3" s="24" t="s">
        <v>85</v>
      </c>
      <c r="W3" s="24"/>
      <c r="X3" s="24"/>
      <c r="AB3" s="14" t="s">
        <v>63</v>
      </c>
      <c r="AC3" s="14" t="s">
        <v>64</v>
      </c>
      <c r="AD3" s="14" t="s">
        <v>65</v>
      </c>
      <c r="AE3" s="14" t="s">
        <v>66</v>
      </c>
      <c r="AF3" s="14" t="s">
        <v>67</v>
      </c>
      <c r="AG3" s="14" t="s">
        <v>68</v>
      </c>
      <c r="AH3" s="14" t="s">
        <v>69</v>
      </c>
      <c r="AI3" s="14" t="s">
        <v>70</v>
      </c>
      <c r="AJ3" s="14" t="s">
        <v>71</v>
      </c>
      <c r="AK3" s="14" t="s">
        <v>72</v>
      </c>
    </row>
    <row r="4" spans="2:37" x14ac:dyDescent="0.2">
      <c r="B4" s="11" t="s">
        <v>53</v>
      </c>
      <c r="C4" s="15" t="s">
        <v>74</v>
      </c>
      <c r="F4" t="s">
        <v>86</v>
      </c>
      <c r="G4" s="1">
        <v>2.54</v>
      </c>
      <c r="H4" t="s">
        <v>16</v>
      </c>
      <c r="J4" t="s">
        <v>87</v>
      </c>
      <c r="K4" s="11">
        <f>MAX(G6,G18,G34,G40)*1000</f>
        <v>178508.37531883034</v>
      </c>
      <c r="L4" s="11" t="s">
        <v>29</v>
      </c>
      <c r="N4" s="11" t="s">
        <v>37</v>
      </c>
      <c r="O4" s="11">
        <f xml:space="preserve"> 0.5 * $C$25 * $G$11^2</f>
        <v>1531.25</v>
      </c>
      <c r="P4" s="11" t="s">
        <v>38</v>
      </c>
      <c r="R4" s="11" t="s">
        <v>37</v>
      </c>
      <c r="S4" s="11">
        <f xml:space="preserve"> 0.5 * $C$25 * $C$17^2</f>
        <v>1531.25</v>
      </c>
      <c r="T4" s="11" t="s">
        <v>38</v>
      </c>
      <c r="V4" s="11" t="s">
        <v>37</v>
      </c>
      <c r="W4" s="11">
        <f xml:space="preserve"> 0.5 * $C$25 * $G$27^2</f>
        <v>1531.25</v>
      </c>
      <c r="X4" s="11" t="s">
        <v>38</v>
      </c>
      <c r="AB4" s="7">
        <v>0</v>
      </c>
      <c r="AC4" s="8">
        <v>0</v>
      </c>
      <c r="AD4" s="7">
        <f t="shared" ref="AD4:AD34" si="0" xml:space="preserve"> $C$18 * TAN($S$16/180*PI()) + $S$19 / (2 * SQRT($C$18^2 + AC4^2)) - AC4</f>
        <v>2.8706837770776886E-2</v>
      </c>
      <c r="AE4" s="8">
        <v>1</v>
      </c>
      <c r="AF4" s="7">
        <f t="shared" ref="AF4:AF34" si="1" xml:space="preserve"> $C$18 * TAN($S$16/180*PI()) + $S$19 / (2 * SQRT($C$18^2 + AE4^2)) - AE4</f>
        <v>-0.98368798700222282</v>
      </c>
      <c r="AG4" s="7">
        <f xml:space="preserve"> (AC4 + AE4)/2</f>
        <v>0.5</v>
      </c>
      <c r="AH4" s="7">
        <f t="shared" ref="AH4:AH34" si="2" xml:space="preserve"> $C$18 * TAN($S$16/180*PI()) + $S$19 / (2 * SQRT($C$18^2 + AG4^2)) - AG4</f>
        <v>-0.47973731038530587</v>
      </c>
      <c r="AI4" s="7">
        <f>AD4*AH4</f>
        <v>-1.3771741141819813E-2</v>
      </c>
      <c r="AJ4" s="7">
        <f>AF4*AH4</f>
        <v>0.47191182914278207</v>
      </c>
      <c r="AK4" s="7">
        <f>AE4-AC4</f>
        <v>1</v>
      </c>
    </row>
    <row r="5" spans="2:37" x14ac:dyDescent="0.2">
      <c r="B5" s="11" t="s">
        <v>52</v>
      </c>
      <c r="C5" s="15">
        <v>4</v>
      </c>
      <c r="F5" t="s">
        <v>88</v>
      </c>
      <c r="G5" s="1">
        <v>152.4</v>
      </c>
      <c r="H5" t="s">
        <v>14</v>
      </c>
      <c r="J5" t="s">
        <v>89</v>
      </c>
      <c r="K5" s="11">
        <f>K4/$C$5</f>
        <v>44627.093829707585</v>
      </c>
      <c r="L5" s="11" t="s">
        <v>29</v>
      </c>
      <c r="N5" s="11" t="s">
        <v>56</v>
      </c>
      <c r="O5" s="15">
        <v>3.4909389999999998E-2</v>
      </c>
      <c r="R5" s="11" t="s">
        <v>56</v>
      </c>
      <c r="S5" s="15">
        <v>3.4909389999999998E-2</v>
      </c>
      <c r="V5" s="11" t="s">
        <v>56</v>
      </c>
      <c r="W5" s="15">
        <v>3.4909389999999998E-2</v>
      </c>
      <c r="AB5" s="7">
        <v>1</v>
      </c>
      <c r="AC5" s="7">
        <f>IF(AI4&gt;0, AG4, AC4)</f>
        <v>0</v>
      </c>
      <c r="AD5" s="7">
        <f t="shared" si="0"/>
        <v>2.8706837770776886E-2</v>
      </c>
      <c r="AE5" s="7">
        <f>IF(AJ4&gt;0, AG4, AE4)</f>
        <v>0.5</v>
      </c>
      <c r="AF5" s="7">
        <f t="shared" si="1"/>
        <v>-0.47973731038530587</v>
      </c>
      <c r="AG5" s="7">
        <f t="shared" ref="AG5:AG34" si="3" xml:space="preserve"> (AC5 + AE5)/2</f>
        <v>0.25</v>
      </c>
      <c r="AH5" s="7">
        <f t="shared" si="2"/>
        <v>-0.22532438106281022</v>
      </c>
      <c r="AI5" s="7">
        <f t="shared" ref="AI5:AI34" si="4">AD5*AH5</f>
        <v>-6.4683504529708044E-3</v>
      </c>
      <c r="AJ5" s="7">
        <f t="shared" ref="AJ5:AJ34" si="5">AF5*AH5</f>
        <v>0.10809651253530632</v>
      </c>
      <c r="AK5" s="7">
        <f t="shared" ref="AK5:AK34" si="6">AE5-AC5</f>
        <v>0.5</v>
      </c>
    </row>
    <row r="6" spans="2:37" x14ac:dyDescent="0.2">
      <c r="B6" s="11" t="s">
        <v>2</v>
      </c>
      <c r="C6" s="15">
        <v>0.13</v>
      </c>
      <c r="F6" t="s">
        <v>90</v>
      </c>
      <c r="G6" s="11">
        <f xml:space="preserve"> 1/1000 * ($C$15*$C$26)/$C$7 * ( ($G$4/2) + SQRT( ($G$4/2)^2 + ($C$15*$C$26)/(2*$C$25*$C$5*PI()*$C$16*$C$16 ) ) )</f>
        <v>178.50837531883033</v>
      </c>
      <c r="H6" s="11" t="s">
        <v>91</v>
      </c>
      <c r="N6" s="11" t="s">
        <v>57</v>
      </c>
      <c r="O6" s="11">
        <f xml:space="preserve"> O4 *$O$5 * PI() * $C$16 * $C$16</f>
        <v>377.85115371795098</v>
      </c>
      <c r="P6" s="11" t="s">
        <v>31</v>
      </c>
      <c r="R6" s="11" t="s">
        <v>57</v>
      </c>
      <c r="S6" s="11">
        <f xml:space="preserve"> S4 *$O$5 * PI() * $C$16 * $C$16</f>
        <v>377.85115371795098</v>
      </c>
      <c r="T6" s="11" t="s">
        <v>31</v>
      </c>
      <c r="V6" s="11" t="s">
        <v>57</v>
      </c>
      <c r="W6" s="11">
        <f xml:space="preserve"> W4 *$O$5 * PI() * $C$16 * $C$16</f>
        <v>377.85115371795098</v>
      </c>
      <c r="X6" s="11" t="s">
        <v>31</v>
      </c>
      <c r="AB6" s="7">
        <v>2</v>
      </c>
      <c r="AC6" s="7">
        <f t="shared" ref="AC6:AC34" si="7">IF(AI5&gt;0, AG5, AC5)</f>
        <v>0</v>
      </c>
      <c r="AD6" s="7">
        <f t="shared" si="0"/>
        <v>2.8706837770776886E-2</v>
      </c>
      <c r="AE6" s="7">
        <f t="shared" ref="AE6:AE34" si="8">IF(AJ5&gt;0, AG5, AE5)</f>
        <v>0.25</v>
      </c>
      <c r="AF6" s="7">
        <f t="shared" si="1"/>
        <v>-0.22532438106281022</v>
      </c>
      <c r="AG6" s="7">
        <f t="shared" si="3"/>
        <v>0.125</v>
      </c>
      <c r="AH6" s="7">
        <f t="shared" si="2"/>
        <v>-9.7631049313469304E-2</v>
      </c>
      <c r="AI6" s="7">
        <f t="shared" si="4"/>
        <v>-2.8026786940324815E-3</v>
      </c>
      <c r="AJ6" s="7">
        <f t="shared" si="5"/>
        <v>2.1998655759070174E-2</v>
      </c>
      <c r="AK6" s="7">
        <f t="shared" si="6"/>
        <v>0.25</v>
      </c>
    </row>
    <row r="7" spans="2:37" x14ac:dyDescent="0.2">
      <c r="B7" s="11" t="s">
        <v>3</v>
      </c>
      <c r="C7" s="15">
        <v>0.75</v>
      </c>
      <c r="F7" t="s">
        <v>30</v>
      </c>
      <c r="G7" s="11">
        <f xml:space="preserve"> $C$15 * $C$26 / $C$5</f>
        <v>2504.6907288372699</v>
      </c>
      <c r="H7" s="11" t="s">
        <v>31</v>
      </c>
      <c r="N7" s="11" t="s">
        <v>60</v>
      </c>
      <c r="O7" s="11">
        <f xml:space="preserve"> O6</f>
        <v>377.85115371795098</v>
      </c>
      <c r="P7" s="11" t="s">
        <v>31</v>
      </c>
      <c r="R7" s="11" t="s">
        <v>60</v>
      </c>
      <c r="S7" s="11">
        <f xml:space="preserve"> S6</f>
        <v>377.85115371795098</v>
      </c>
      <c r="T7" s="11" t="s">
        <v>31</v>
      </c>
      <c r="V7" s="11" t="s">
        <v>60</v>
      </c>
      <c r="W7" s="11">
        <f xml:space="preserve"> W6</f>
        <v>377.85115371795098</v>
      </c>
      <c r="X7" s="11" t="s">
        <v>31</v>
      </c>
      <c r="AB7" s="7">
        <v>3</v>
      </c>
      <c r="AC7" s="7">
        <f t="shared" si="7"/>
        <v>0</v>
      </c>
      <c r="AD7" s="7">
        <f t="shared" si="0"/>
        <v>2.8706837770776886E-2</v>
      </c>
      <c r="AE7" s="7">
        <f t="shared" si="8"/>
        <v>0.125</v>
      </c>
      <c r="AF7" s="7">
        <f t="shared" si="1"/>
        <v>-9.7631049313469304E-2</v>
      </c>
      <c r="AG7" s="7">
        <f t="shared" si="3"/>
        <v>6.25E-2</v>
      </c>
      <c r="AH7" s="7">
        <f t="shared" si="2"/>
        <v>-3.4158745953564461E-2</v>
      </c>
      <c r="AI7" s="7">
        <f t="shared" si="4"/>
        <v>-9.8058957854215627E-4</v>
      </c>
      <c r="AJ7" s="7">
        <f t="shared" si="5"/>
        <v>3.3349542106787221E-3</v>
      </c>
      <c r="AK7" s="7">
        <f t="shared" si="6"/>
        <v>0.125</v>
      </c>
    </row>
    <row r="8" spans="2:37" x14ac:dyDescent="0.2">
      <c r="F8" t="s">
        <v>92</v>
      </c>
      <c r="G8" s="16">
        <f>$G$5/$G$4</f>
        <v>60</v>
      </c>
      <c r="H8" s="11" t="s">
        <v>22</v>
      </c>
      <c r="J8" s="24" t="s">
        <v>34</v>
      </c>
      <c r="K8" s="24"/>
      <c r="L8" s="24"/>
      <c r="AB8" s="7">
        <v>4</v>
      </c>
      <c r="AC8" s="7">
        <f t="shared" si="7"/>
        <v>0</v>
      </c>
      <c r="AD8" s="7">
        <f t="shared" si="0"/>
        <v>2.8706837770776886E-2</v>
      </c>
      <c r="AE8" s="7">
        <f t="shared" si="8"/>
        <v>6.25E-2</v>
      </c>
      <c r="AF8" s="7">
        <f t="shared" si="1"/>
        <v>-3.4158745953564461E-2</v>
      </c>
      <c r="AG8" s="7">
        <f t="shared" si="3"/>
        <v>3.125E-2</v>
      </c>
      <c r="AH8" s="7">
        <f t="shared" si="2"/>
        <v>-2.636761725313512E-3</v>
      </c>
      <c r="AI8" s="7">
        <f t="shared" si="4"/>
        <v>-7.5693091088768752E-5</v>
      </c>
      <c r="AJ8" s="7">
        <f t="shared" si="5"/>
        <v>9.0068473915066579E-5</v>
      </c>
      <c r="AK8" s="7">
        <f t="shared" si="6"/>
        <v>6.25E-2</v>
      </c>
    </row>
    <row r="9" spans="2:37" x14ac:dyDescent="0.2">
      <c r="B9" s="22" t="s">
        <v>6</v>
      </c>
      <c r="C9" s="23"/>
      <c r="D9" s="23"/>
      <c r="F9"/>
      <c r="G9" s="16"/>
      <c r="J9" s="11" t="s">
        <v>93</v>
      </c>
      <c r="K9" s="11">
        <f xml:space="preserve"> (G6*G8 + G18*G19 + G23*G24 + G34*G35 + G40*G42)/3600</f>
        <v>58.850608823382295</v>
      </c>
      <c r="L9" s="11" t="s">
        <v>94</v>
      </c>
      <c r="AB9" s="7">
        <v>5</v>
      </c>
      <c r="AC9" s="7">
        <f t="shared" si="7"/>
        <v>0</v>
      </c>
      <c r="AD9" s="7">
        <f t="shared" si="0"/>
        <v>2.8706837770776886E-2</v>
      </c>
      <c r="AE9" s="7">
        <f t="shared" si="8"/>
        <v>3.125E-2</v>
      </c>
      <c r="AF9" s="7">
        <f t="shared" si="1"/>
        <v>-2.636761725313512E-3</v>
      </c>
      <c r="AG9" s="7">
        <f t="shared" si="3"/>
        <v>1.5625E-2</v>
      </c>
      <c r="AH9" s="7">
        <f t="shared" si="2"/>
        <v>1.3058295525362557E-2</v>
      </c>
      <c r="AI9" s="7">
        <f t="shared" si="4"/>
        <v>3.7486237120944464E-4</v>
      </c>
      <c r="AJ9" s="7">
        <f t="shared" si="5"/>
        <v>-3.4431613839108689E-5</v>
      </c>
      <c r="AK9" s="7">
        <f t="shared" si="6"/>
        <v>3.125E-2</v>
      </c>
    </row>
    <row r="10" spans="2:37" x14ac:dyDescent="0.2">
      <c r="B10" s="11" t="s">
        <v>7</v>
      </c>
      <c r="C10" s="15">
        <v>250</v>
      </c>
      <c r="D10" s="11" t="s">
        <v>8</v>
      </c>
      <c r="F10" s="25" t="s">
        <v>95</v>
      </c>
      <c r="G10" s="26"/>
      <c r="H10" s="26"/>
      <c r="J10" s="11" t="s">
        <v>35</v>
      </c>
      <c r="K10" s="11">
        <f xml:space="preserve"> (G8 + G19 + G24 + G35 + G42)/60</f>
        <v>34.67079771753523</v>
      </c>
      <c r="L10" s="11" t="s">
        <v>96</v>
      </c>
      <c r="N10" s="22" t="s">
        <v>77</v>
      </c>
      <c r="O10" s="27"/>
      <c r="P10" s="27"/>
      <c r="R10" s="22" t="s">
        <v>77</v>
      </c>
      <c r="S10" s="27"/>
      <c r="T10" s="27"/>
      <c r="V10" s="22" t="s">
        <v>77</v>
      </c>
      <c r="W10" s="27"/>
      <c r="X10" s="27"/>
      <c r="AB10" s="7">
        <v>6</v>
      </c>
      <c r="AC10" s="7">
        <f t="shared" si="7"/>
        <v>1.5625E-2</v>
      </c>
      <c r="AD10" s="7">
        <f t="shared" si="0"/>
        <v>1.3058295525362557E-2</v>
      </c>
      <c r="AE10" s="7">
        <f t="shared" si="8"/>
        <v>3.125E-2</v>
      </c>
      <c r="AF10" s="7">
        <f t="shared" si="1"/>
        <v>-2.636761725313512E-3</v>
      </c>
      <c r="AG10" s="7">
        <f t="shared" si="3"/>
        <v>2.34375E-2</v>
      </c>
      <c r="AH10" s="7">
        <f t="shared" si="2"/>
        <v>5.2165017166929187E-3</v>
      </c>
      <c r="AI10" s="7">
        <f t="shared" si="4"/>
        <v>6.811862102513724E-5</v>
      </c>
      <c r="AJ10" s="7">
        <f t="shared" si="5"/>
        <v>-1.3754672066608117E-5</v>
      </c>
      <c r="AK10" s="7">
        <f t="shared" si="6"/>
        <v>1.5625E-2</v>
      </c>
    </row>
    <row r="11" spans="2:37" x14ac:dyDescent="0.2">
      <c r="B11" s="11" t="s">
        <v>9</v>
      </c>
      <c r="C11" s="15">
        <v>0.85</v>
      </c>
      <c r="F11" s="3" t="s">
        <v>97</v>
      </c>
      <c r="G11" s="1">
        <f>$C$17</f>
        <v>50</v>
      </c>
      <c r="H11" t="s">
        <v>16</v>
      </c>
      <c r="N11" s="11" t="s">
        <v>78</v>
      </c>
      <c r="O11" s="11">
        <f>SQRT((O7*COS(G16/180*PI()))^2 + (O7*SIN(G16/180*PI())+$C$15*$C$26)^2)</f>
        <v>10045.048477871142</v>
      </c>
      <c r="P11" s="11" t="s">
        <v>31</v>
      </c>
      <c r="R11" s="11" t="s">
        <v>78</v>
      </c>
      <c r="S11" s="11">
        <f xml:space="preserve"> SQRT( ($C$15*$C$26)^2 + S7^2)</f>
        <v>10025.885589230509</v>
      </c>
      <c r="T11" s="11" t="s">
        <v>31</v>
      </c>
      <c r="V11" s="11" t="s">
        <v>78</v>
      </c>
      <c r="W11" s="11">
        <f xml:space="preserve"> SQRT( (W7*COS(G32/180*PI()))^2 + ($C$15*$C$26 - W7*SIN(G32/180*PI()))^2 )</f>
        <v>10014.370254972358</v>
      </c>
      <c r="X11" s="11" t="s">
        <v>31</v>
      </c>
      <c r="AB11" s="7">
        <v>7</v>
      </c>
      <c r="AC11" s="7">
        <f t="shared" si="7"/>
        <v>2.34375E-2</v>
      </c>
      <c r="AD11" s="7">
        <f t="shared" si="0"/>
        <v>5.2165017166929187E-3</v>
      </c>
      <c r="AE11" s="7">
        <f t="shared" si="8"/>
        <v>3.125E-2</v>
      </c>
      <c r="AF11" s="7">
        <f t="shared" si="1"/>
        <v>-2.636761725313512E-3</v>
      </c>
      <c r="AG11" s="7">
        <f t="shared" si="3"/>
        <v>2.734375E-2</v>
      </c>
      <c r="AH11" s="7">
        <f t="shared" si="2"/>
        <v>1.2912900330459554E-3</v>
      </c>
      <c r="AI11" s="7">
        <f t="shared" si="4"/>
        <v>6.7360166741326815E-6</v>
      </c>
      <c r="AJ11" s="7">
        <f t="shared" si="5"/>
        <v>-3.4048241354143952E-6</v>
      </c>
      <c r="AK11" s="7">
        <f t="shared" si="6"/>
        <v>7.8125E-3</v>
      </c>
    </row>
    <row r="12" spans="2:37" x14ac:dyDescent="0.2">
      <c r="B12" s="11" t="s">
        <v>10</v>
      </c>
      <c r="C12" s="15">
        <v>0.8</v>
      </c>
      <c r="F12" t="s">
        <v>98</v>
      </c>
      <c r="G12" s="1">
        <v>2.54</v>
      </c>
      <c r="H12" t="s">
        <v>16</v>
      </c>
      <c r="N12" s="11" t="s">
        <v>100</v>
      </c>
      <c r="O12" s="11">
        <f>ACOS(O7*COS(G16/180*PI())/O11) /PI() *180</f>
        <v>87.847057405444389</v>
      </c>
      <c r="P12" s="11" t="s">
        <v>62</v>
      </c>
      <c r="R12" s="11" t="s">
        <v>79</v>
      </c>
      <c r="S12" s="11">
        <f>$C$15*$C$26/S11</f>
        <v>0.99928957159763721</v>
      </c>
      <c r="V12" s="11" t="s">
        <v>100</v>
      </c>
      <c r="W12" s="11">
        <f xml:space="preserve"> ACOS(W7*COS(G32/180*PI())/W11) /PI() * 180</f>
        <v>87.838670835899649</v>
      </c>
      <c r="X12" s="11" t="s">
        <v>62</v>
      </c>
      <c r="AB12" s="7">
        <v>8</v>
      </c>
      <c r="AC12" s="7">
        <f t="shared" si="7"/>
        <v>2.734375E-2</v>
      </c>
      <c r="AD12" s="7">
        <f t="shared" si="0"/>
        <v>1.2912900330459554E-3</v>
      </c>
      <c r="AE12" s="7">
        <f t="shared" si="8"/>
        <v>3.125E-2</v>
      </c>
      <c r="AF12" s="7">
        <f t="shared" si="1"/>
        <v>-2.636761725313512E-3</v>
      </c>
      <c r="AG12" s="7">
        <f t="shared" si="3"/>
        <v>2.9296875E-2</v>
      </c>
      <c r="AH12" s="7">
        <f t="shared" si="2"/>
        <v>-6.7238276966445631E-4</v>
      </c>
      <c r="AI12" s="7">
        <f t="shared" si="4"/>
        <v>-8.6824116885954675E-7</v>
      </c>
      <c r="AJ12" s="7">
        <f t="shared" si="5"/>
        <v>1.7729131518115295E-6</v>
      </c>
      <c r="AK12" s="7">
        <f t="shared" si="6"/>
        <v>3.90625E-3</v>
      </c>
    </row>
    <row r="13" spans="2:37" x14ac:dyDescent="0.2">
      <c r="F13" t="s">
        <v>99</v>
      </c>
      <c r="G13" s="1">
        <v>304.8</v>
      </c>
      <c r="H13" t="s">
        <v>14</v>
      </c>
      <c r="AB13" s="7">
        <v>9</v>
      </c>
      <c r="AC13" s="7">
        <f t="shared" si="7"/>
        <v>2.734375E-2</v>
      </c>
      <c r="AD13" s="7">
        <f t="shared" si="0"/>
        <v>1.2912900330459554E-3</v>
      </c>
      <c r="AE13" s="7">
        <f t="shared" si="8"/>
        <v>2.9296875E-2</v>
      </c>
      <c r="AF13" s="7">
        <f t="shared" si="1"/>
        <v>-6.7238276966445631E-4</v>
      </c>
      <c r="AG13" s="7">
        <f t="shared" si="3"/>
        <v>2.83203125E-2</v>
      </c>
      <c r="AH13" s="7">
        <f t="shared" si="2"/>
        <v>3.0954215225145049E-4</v>
      </c>
      <c r="AI13" s="7">
        <f t="shared" si="4"/>
        <v>3.9970869600989166E-7</v>
      </c>
      <c r="AJ13" s="7">
        <f t="shared" si="5"/>
        <v>-2.0813080965872709E-7</v>
      </c>
      <c r="AK13" s="7">
        <f t="shared" si="6"/>
        <v>1.953125E-3</v>
      </c>
    </row>
    <row r="14" spans="2:37" x14ac:dyDescent="0.2">
      <c r="B14" s="24" t="s">
        <v>11</v>
      </c>
      <c r="C14" s="24"/>
      <c r="D14" s="24"/>
      <c r="F14" t="s">
        <v>101</v>
      </c>
      <c r="G14" s="16">
        <f>SQRT($G$11^2-$G$12^2)</f>
        <v>49.935442323063484</v>
      </c>
      <c r="H14" t="s">
        <v>16</v>
      </c>
      <c r="AB14" s="7">
        <v>10</v>
      </c>
      <c r="AC14" s="7">
        <f t="shared" si="7"/>
        <v>2.83203125E-2</v>
      </c>
      <c r="AD14" s="7">
        <f t="shared" si="0"/>
        <v>3.0954215225145049E-4</v>
      </c>
      <c r="AE14" s="7">
        <f t="shared" si="8"/>
        <v>2.9296875E-2</v>
      </c>
      <c r="AF14" s="7">
        <f t="shared" si="1"/>
        <v>-6.7238276966445631E-4</v>
      </c>
      <c r="AG14" s="7">
        <f t="shared" si="3"/>
        <v>2.880859375E-2</v>
      </c>
      <c r="AH14" s="7">
        <f t="shared" si="2"/>
        <v>-1.8139820938743723E-4</v>
      </c>
      <c r="AI14" s="7">
        <f t="shared" si="4"/>
        <v>-5.6150392148346587E-8</v>
      </c>
      <c r="AJ14" s="7">
        <f t="shared" si="5"/>
        <v>1.2196903044009802E-7</v>
      </c>
      <c r="AK14" s="7">
        <f t="shared" si="6"/>
        <v>9.765625E-4</v>
      </c>
    </row>
    <row r="15" spans="2:37" x14ac:dyDescent="0.2">
      <c r="B15" s="17" t="s">
        <v>54</v>
      </c>
      <c r="C15" s="17">
        <v>1021.6294978763472</v>
      </c>
      <c r="D15" s="17" t="s">
        <v>12</v>
      </c>
      <c r="F15" t="s">
        <v>102</v>
      </c>
      <c r="G15" s="16">
        <f>$G$14*($G$13/$G$12)</f>
        <v>5992.2530787676178</v>
      </c>
      <c r="H15" t="s">
        <v>14</v>
      </c>
      <c r="N15" s="22" t="s">
        <v>40</v>
      </c>
      <c r="O15" s="27"/>
      <c r="P15" s="27"/>
      <c r="R15" s="22" t="s">
        <v>40</v>
      </c>
      <c r="S15" s="27"/>
      <c r="T15" s="27"/>
      <c r="V15" s="22" t="s">
        <v>40</v>
      </c>
      <c r="W15" s="27"/>
      <c r="X15" s="27"/>
      <c r="AB15" s="7">
        <v>11</v>
      </c>
      <c r="AC15" s="7">
        <f t="shared" si="7"/>
        <v>2.83203125E-2</v>
      </c>
      <c r="AD15" s="7">
        <f t="shared" si="0"/>
        <v>3.0954215225145049E-4</v>
      </c>
      <c r="AE15" s="7">
        <f t="shared" si="8"/>
        <v>2.880859375E-2</v>
      </c>
      <c r="AF15" s="7">
        <f t="shared" si="1"/>
        <v>-1.8139820938743723E-4</v>
      </c>
      <c r="AG15" s="7">
        <f t="shared" si="3"/>
        <v>2.8564453125E-2</v>
      </c>
      <c r="AH15" s="7">
        <f t="shared" si="2"/>
        <v>6.4077500152665001E-5</v>
      </c>
      <c r="AI15" s="7">
        <f t="shared" si="4"/>
        <v>1.9834687308148573E-8</v>
      </c>
      <c r="AJ15" s="7">
        <f t="shared" si="5"/>
        <v>-1.1623543789716667E-8</v>
      </c>
      <c r="AK15" s="7">
        <f t="shared" si="6"/>
        <v>4.8828125E-4</v>
      </c>
    </row>
    <row r="16" spans="2:37" x14ac:dyDescent="0.2">
      <c r="B16" s="11" t="s">
        <v>13</v>
      </c>
      <c r="C16" s="15">
        <v>1.5</v>
      </c>
      <c r="D16" s="11" t="s">
        <v>14</v>
      </c>
      <c r="F16" t="s">
        <v>103</v>
      </c>
      <c r="G16" s="16">
        <f>ATAN(G12/G14)/PI()*180</f>
        <v>2.9118789347687013</v>
      </c>
      <c r="H16" t="s">
        <v>62</v>
      </c>
      <c r="N16" s="11" t="s">
        <v>41</v>
      </c>
      <c r="O16" s="11">
        <f xml:space="preserve"> 90 + G16 - O12</f>
        <v>5.0648215293243197</v>
      </c>
      <c r="P16" s="11" t="s">
        <v>62</v>
      </c>
      <c r="R16" s="11" t="s">
        <v>41</v>
      </c>
      <c r="S16" s="11">
        <f xml:space="preserve"> ACOS(S12)/PI()*180</f>
        <v>2.1598495624548435</v>
      </c>
      <c r="T16" s="11" t="s">
        <v>62</v>
      </c>
      <c r="V16" s="11" t="s">
        <v>41</v>
      </c>
      <c r="W16" s="11">
        <f>90-G32-W12</f>
        <v>0.41468328546565658</v>
      </c>
      <c r="X16" s="11" t="s">
        <v>62</v>
      </c>
      <c r="AB16" s="7">
        <v>12</v>
      </c>
      <c r="AC16" s="7">
        <f t="shared" si="7"/>
        <v>2.8564453125E-2</v>
      </c>
      <c r="AD16" s="7">
        <f t="shared" si="0"/>
        <v>6.4077500152665001E-5</v>
      </c>
      <c r="AE16" s="7">
        <f t="shared" si="8"/>
        <v>2.880859375E-2</v>
      </c>
      <c r="AF16" s="7">
        <f t="shared" si="1"/>
        <v>-1.8139820938743723E-4</v>
      </c>
      <c r="AG16" s="7">
        <f t="shared" si="3"/>
        <v>2.86865234375E-2</v>
      </c>
      <c r="AH16" s="7">
        <f t="shared" si="2"/>
        <v>-5.8658972921198094E-5</v>
      </c>
      <c r="AI16" s="7">
        <f t="shared" si="4"/>
        <v>-3.7587203463132429E-9</v>
      </c>
      <c r="AJ16" s="7">
        <f t="shared" si="5"/>
        <v>1.0640632652411501E-8</v>
      </c>
      <c r="AK16" s="7">
        <f t="shared" si="6"/>
        <v>2.44140625E-4</v>
      </c>
    </row>
    <row r="17" spans="2:37" x14ac:dyDescent="0.2">
      <c r="B17" s="11" t="s">
        <v>15</v>
      </c>
      <c r="C17" s="15">
        <v>50</v>
      </c>
      <c r="D17" s="11" t="s">
        <v>16</v>
      </c>
      <c r="F17" t="s">
        <v>104</v>
      </c>
      <c r="G17" s="11">
        <f xml:space="preserve"> 1/1000 * (O21 + O17 * (O26 * O23 + $G$11 * SIN(O16/180*PI())))</f>
        <v>30.365053389313442</v>
      </c>
      <c r="H17" t="s">
        <v>91</v>
      </c>
      <c r="N17" s="11" t="s">
        <v>30</v>
      </c>
      <c r="O17" s="11">
        <f xml:space="preserve"> O11 / $C$5</f>
        <v>2511.2621194677854</v>
      </c>
      <c r="P17" s="11" t="s">
        <v>31</v>
      </c>
      <c r="R17" s="11" t="s">
        <v>30</v>
      </c>
      <c r="S17" s="11">
        <f xml:space="preserve"> S11 / $C$5</f>
        <v>2506.4713973076273</v>
      </c>
      <c r="T17" s="11" t="s">
        <v>31</v>
      </c>
      <c r="V17" s="11" t="s">
        <v>30</v>
      </c>
      <c r="W17" s="11">
        <f xml:space="preserve"> W11 / $C$5</f>
        <v>2503.5925637430896</v>
      </c>
      <c r="X17" s="11" t="s">
        <v>31</v>
      </c>
      <c r="AB17" s="7">
        <v>13</v>
      </c>
      <c r="AC17" s="7">
        <f t="shared" si="7"/>
        <v>2.8564453125E-2</v>
      </c>
      <c r="AD17" s="7">
        <f t="shared" si="0"/>
        <v>6.4077500152665001E-5</v>
      </c>
      <c r="AE17" s="7">
        <f t="shared" si="8"/>
        <v>2.86865234375E-2</v>
      </c>
      <c r="AF17" s="7">
        <f t="shared" si="1"/>
        <v>-5.8658972921198094E-5</v>
      </c>
      <c r="AG17" s="7">
        <f t="shared" si="3"/>
        <v>2.862548828125E-2</v>
      </c>
      <c r="AH17" s="7">
        <f t="shared" si="2"/>
        <v>2.7096091004263911E-6</v>
      </c>
      <c r="AI17" s="7">
        <f t="shared" si="4"/>
        <v>1.7362497754623455E-10</v>
      </c>
      <c r="AJ17" s="7">
        <f t="shared" si="5"/>
        <v>-1.589428868489436E-10</v>
      </c>
      <c r="AK17" s="7">
        <f t="shared" si="6"/>
        <v>1.220703125E-4</v>
      </c>
    </row>
    <row r="18" spans="2:37" x14ac:dyDescent="0.2">
      <c r="B18" s="11" t="s">
        <v>75</v>
      </c>
      <c r="C18" s="15">
        <v>0.3</v>
      </c>
      <c r="F18" t="s">
        <v>105</v>
      </c>
      <c r="G18" s="16">
        <f>$C$5*G17</f>
        <v>121.46021355725377</v>
      </c>
      <c r="H18" t="s">
        <v>91</v>
      </c>
      <c r="N18" s="11" t="s">
        <v>42</v>
      </c>
      <c r="O18" s="11">
        <f xml:space="preserve"> $G$11 * COS(O16/180*PI()) / ($C$18 * $C$16)</f>
        <v>110.67727300005552</v>
      </c>
      <c r="P18" s="11" t="s">
        <v>43</v>
      </c>
      <c r="R18" s="11" t="s">
        <v>42</v>
      </c>
      <c r="S18" s="11">
        <f xml:space="preserve"> $C$17 * COS(S16/180*PI()) / ($C$18 * $C$16)</f>
        <v>111.03217462195971</v>
      </c>
      <c r="T18" s="11" t="s">
        <v>43</v>
      </c>
      <c r="V18" s="11" t="s">
        <v>42</v>
      </c>
      <c r="W18" s="11">
        <f xml:space="preserve"> $G$27 * COS(W16/180*PI()) / ($C$18 * $C$16)</f>
        <v>111.10820097437211</v>
      </c>
      <c r="X18" s="11" t="s">
        <v>43</v>
      </c>
      <c r="AB18" s="7">
        <v>14</v>
      </c>
      <c r="AC18" s="7">
        <f t="shared" si="7"/>
        <v>2.862548828125E-2</v>
      </c>
      <c r="AD18" s="7">
        <f t="shared" si="0"/>
        <v>2.7096091004263911E-6</v>
      </c>
      <c r="AE18" s="7">
        <f t="shared" si="8"/>
        <v>2.86865234375E-2</v>
      </c>
      <c r="AF18" s="7">
        <f t="shared" si="1"/>
        <v>-5.8658972921198094E-5</v>
      </c>
      <c r="AG18" s="7">
        <f t="shared" si="3"/>
        <v>2.8656005859375E-2</v>
      </c>
      <c r="AH18" s="7">
        <f t="shared" si="2"/>
        <v>-2.7974595546785552E-5</v>
      </c>
      <c r="AI18" s="7">
        <f t="shared" si="4"/>
        <v>-7.5800218674317722E-11</v>
      </c>
      <c r="AJ18" s="7">
        <f t="shared" si="5"/>
        <v>1.6409610426603625E-9</v>
      </c>
      <c r="AK18" s="7">
        <f t="shared" si="6"/>
        <v>6.103515625E-5</v>
      </c>
    </row>
    <row r="19" spans="2:37" x14ac:dyDescent="0.2">
      <c r="F19" t="s">
        <v>106</v>
      </c>
      <c r="G19" s="16">
        <f>$G$13/$G$12</f>
        <v>120</v>
      </c>
      <c r="H19" t="s">
        <v>22</v>
      </c>
      <c r="N19" s="11" t="s">
        <v>45</v>
      </c>
      <c r="O19" s="11">
        <f xml:space="preserve"> O17 / ($C$25 * PI() * $C$16^2 * O18^2 * $C$16^2)</f>
        <v>1.0522626325393566E-2</v>
      </c>
      <c r="R19" s="11" t="s">
        <v>45</v>
      </c>
      <c r="S19" s="11">
        <f xml:space="preserve"> S17 / ($C$25 * PI() * $C$16^2 * S18^2 * $C$16^2)</f>
        <v>1.0435519257120204E-2</v>
      </c>
      <c r="V19" s="11" t="s">
        <v>45</v>
      </c>
      <c r="W19" s="11">
        <f xml:space="preserve"> W17 / ($C$25 * PI() * $C$16^2 * W18^2 * $C$16^2)</f>
        <v>1.0409273602557933E-2</v>
      </c>
      <c r="AB19" s="7">
        <v>15</v>
      </c>
      <c r="AC19" s="7">
        <f t="shared" si="7"/>
        <v>2.862548828125E-2</v>
      </c>
      <c r="AD19" s="7">
        <f t="shared" si="0"/>
        <v>2.7096091004263911E-6</v>
      </c>
      <c r="AE19" s="7">
        <f t="shared" si="8"/>
        <v>2.8656005859375E-2</v>
      </c>
      <c r="AF19" s="7">
        <f t="shared" si="1"/>
        <v>-2.7974595546785552E-5</v>
      </c>
      <c r="AG19" s="7">
        <f t="shared" si="3"/>
        <v>2.86407470703125E-2</v>
      </c>
      <c r="AH19" s="7">
        <f t="shared" si="2"/>
        <v>-1.2632471631329745E-5</v>
      </c>
      <c r="AI19" s="7">
        <f t="shared" si="4"/>
        <v>-3.4229060093129294E-11</v>
      </c>
      <c r="AJ19" s="7">
        <f t="shared" si="5"/>
        <v>3.5338828464269191E-10</v>
      </c>
      <c r="AK19" s="7">
        <f t="shared" si="6"/>
        <v>3.0517578125E-5</v>
      </c>
    </row>
    <row r="20" spans="2:37" x14ac:dyDescent="0.2">
      <c r="B20" s="24" t="s">
        <v>20</v>
      </c>
      <c r="C20" s="24"/>
      <c r="D20" s="24"/>
      <c r="N20" s="11" t="s">
        <v>4</v>
      </c>
      <c r="O20" s="15">
        <v>1.2E-2</v>
      </c>
      <c r="R20" s="11" t="s">
        <v>4</v>
      </c>
      <c r="S20" s="15">
        <v>1.2E-2</v>
      </c>
      <c r="V20" s="11" t="s">
        <v>4</v>
      </c>
      <c r="W20" s="15">
        <v>1.2E-2</v>
      </c>
      <c r="AB20" s="7">
        <v>16</v>
      </c>
      <c r="AC20" s="7">
        <f t="shared" si="7"/>
        <v>2.862548828125E-2</v>
      </c>
      <c r="AD20" s="7">
        <f t="shared" si="0"/>
        <v>2.7096091004263911E-6</v>
      </c>
      <c r="AE20" s="7">
        <f t="shared" si="8"/>
        <v>2.86407470703125E-2</v>
      </c>
      <c r="AF20" s="7">
        <f t="shared" si="1"/>
        <v>-1.2632471631329745E-5</v>
      </c>
      <c r="AG20" s="7">
        <f t="shared" si="3"/>
        <v>2.863311767578125E-2</v>
      </c>
      <c r="AH20" s="7">
        <f t="shared" si="2"/>
        <v>-4.9614258673738587E-6</v>
      </c>
      <c r="AI20" s="7">
        <f t="shared" si="4"/>
        <v>-1.3443524681327108E-11</v>
      </c>
      <c r="AJ20" s="7">
        <f t="shared" si="5"/>
        <v>6.2675071520545847E-11</v>
      </c>
      <c r="AK20" s="7">
        <f t="shared" si="6"/>
        <v>1.52587890625E-5</v>
      </c>
    </row>
    <row r="21" spans="2:37" x14ac:dyDescent="0.2">
      <c r="B21" s="11" t="s">
        <v>107</v>
      </c>
      <c r="C21" s="15">
        <v>400</v>
      </c>
      <c r="D21" s="11" t="s">
        <v>12</v>
      </c>
      <c r="F21" s="22" t="s">
        <v>108</v>
      </c>
      <c r="G21" s="23"/>
      <c r="H21" s="23"/>
      <c r="N21" s="11" t="s">
        <v>46</v>
      </c>
      <c r="O21" s="11">
        <f xml:space="preserve"> ($C$6 * O20 / 8) * (1 + 4.65 *$C$18^ 2) * ( PI() * $C$25 * O18^3 *$C$16^ 5)</f>
        <v>10959.268266929981</v>
      </c>
      <c r="P21" s="11" t="s">
        <v>29</v>
      </c>
      <c r="R21" s="11" t="s">
        <v>46</v>
      </c>
      <c r="S21" s="11">
        <f xml:space="preserve"> ($C$6 * S20 / 8) * (1 + 4.65 *$C$18^ 2) * ( PI() * $C$25 * S18^3 *$C$16^ 5)</f>
        <v>11065.033815545303</v>
      </c>
      <c r="T21" s="11" t="s">
        <v>29</v>
      </c>
      <c r="V21" s="11" t="s">
        <v>46</v>
      </c>
      <c r="W21" s="11">
        <f xml:space="preserve"> ($C$6 * W20 / 8) * (1 + 4.65 *$C$18^ 2) * ( PI() * $C$25 * W18^3 *$C$16^ 5)</f>
        <v>11087.778852492032</v>
      </c>
      <c r="X21" s="11" t="s">
        <v>29</v>
      </c>
      <c r="AB21" s="7">
        <v>17</v>
      </c>
      <c r="AC21" s="7">
        <f t="shared" si="7"/>
        <v>2.862548828125E-2</v>
      </c>
      <c r="AD21" s="7">
        <f t="shared" si="0"/>
        <v>2.7096091004263911E-6</v>
      </c>
      <c r="AE21" s="7">
        <f t="shared" si="8"/>
        <v>2.863311767578125E-2</v>
      </c>
      <c r="AF21" s="7">
        <f t="shared" si="1"/>
        <v>-4.9614258673738587E-6</v>
      </c>
      <c r="AG21" s="7">
        <f t="shared" si="3"/>
        <v>2.8629302978515625E-2</v>
      </c>
      <c r="AH21" s="7">
        <f t="shared" si="2"/>
        <v>-1.1259070339386668E-6</v>
      </c>
      <c r="AI21" s="7">
        <f t="shared" si="4"/>
        <v>-3.0507679453942971E-12</v>
      </c>
      <c r="AJ21" s="7">
        <f t="shared" si="5"/>
        <v>5.5861042824414786E-12</v>
      </c>
      <c r="AK21" s="7">
        <f t="shared" si="6"/>
        <v>7.62939453125E-6</v>
      </c>
    </row>
    <row r="22" spans="2:37" x14ac:dyDescent="0.2">
      <c r="B22" s="11" t="s">
        <v>21</v>
      </c>
      <c r="C22" s="15">
        <v>96000</v>
      </c>
      <c r="D22" s="11" t="s">
        <v>14</v>
      </c>
      <c r="F22" s="18" t="s">
        <v>32</v>
      </c>
      <c r="G22" s="11">
        <f xml:space="preserve"> 1/1000 * (S21 + S17 * (S23 * S26 + $C$17 * SIN(S16/180*PI())))</f>
        <v>24.100946565523191</v>
      </c>
      <c r="H22" s="11" t="s">
        <v>91</v>
      </c>
      <c r="N22" s="11" t="s">
        <v>47</v>
      </c>
      <c r="O22" s="19">
        <f>AG69</f>
        <v>4.3941196519881487E-2</v>
      </c>
      <c r="R22" s="11" t="s">
        <v>47</v>
      </c>
      <c r="S22" s="19">
        <f>AG34</f>
        <v>2.862818306311965E-2</v>
      </c>
      <c r="V22" s="11" t="s">
        <v>47</v>
      </c>
      <c r="W22" s="19">
        <f>AG104</f>
        <v>1.9483631011098623E-2</v>
      </c>
      <c r="AB22" s="7">
        <v>18</v>
      </c>
      <c r="AC22" s="7">
        <f t="shared" si="7"/>
        <v>2.862548828125E-2</v>
      </c>
      <c r="AD22" s="7">
        <f t="shared" si="0"/>
        <v>2.7096091004263911E-6</v>
      </c>
      <c r="AE22" s="7">
        <f t="shared" si="8"/>
        <v>2.8629302978515625E-2</v>
      </c>
      <c r="AF22" s="7">
        <f t="shared" si="1"/>
        <v>-1.1259070339386668E-6</v>
      </c>
      <c r="AG22" s="7">
        <f t="shared" si="3"/>
        <v>2.8627395629882812E-2</v>
      </c>
      <c r="AH22" s="7">
        <f t="shared" si="2"/>
        <v>7.9185137062676159E-7</v>
      </c>
      <c r="AI22" s="7">
        <f t="shared" si="4"/>
        <v>2.1456076800353845E-12</v>
      </c>
      <c r="AJ22" s="7">
        <f t="shared" si="5"/>
        <v>-8.9155102802264504E-13</v>
      </c>
      <c r="AK22" s="7">
        <f t="shared" si="6"/>
        <v>3.814697265625E-6</v>
      </c>
    </row>
    <row r="23" spans="2:37" x14ac:dyDescent="0.2">
      <c r="F23" s="18" t="s">
        <v>33</v>
      </c>
      <c r="G23" s="11">
        <f>$C$5 * G22</f>
        <v>96.403786262092765</v>
      </c>
      <c r="H23" s="11" t="s">
        <v>91</v>
      </c>
      <c r="N23" s="11" t="s">
        <v>48</v>
      </c>
      <c r="O23" s="11">
        <f xml:space="preserve"> O18 * $C$16 * O22 - $C$17 * SIN(O16/180*PI())</f>
        <v>2.8808011688872908</v>
      </c>
      <c r="P23" s="11" t="s">
        <v>16</v>
      </c>
      <c r="R23" s="11" t="s">
        <v>48</v>
      </c>
      <c r="S23" s="11">
        <f xml:space="preserve"> S18 * $C$16 * S22 - $C$17 * SIN(S16/180*PI())</f>
        <v>2.8835961862153301</v>
      </c>
      <c r="T23" s="11" t="s">
        <v>16</v>
      </c>
      <c r="V23" s="11" t="s">
        <v>48</v>
      </c>
      <c r="W23" s="11">
        <f xml:space="preserve"> W18 * $C$16 * W22 - $C$17 * SIN(W16/180*PI())</f>
        <v>2.8853105102807461</v>
      </c>
      <c r="X23" s="11" t="s">
        <v>16</v>
      </c>
      <c r="AB23" s="7">
        <v>19</v>
      </c>
      <c r="AC23" s="7">
        <f t="shared" si="7"/>
        <v>2.8627395629882812E-2</v>
      </c>
      <c r="AD23" s="7">
        <f t="shared" si="0"/>
        <v>7.9185137062676159E-7</v>
      </c>
      <c r="AE23" s="7">
        <f t="shared" si="8"/>
        <v>2.8629302978515625E-2</v>
      </c>
      <c r="AF23" s="7">
        <f t="shared" si="1"/>
        <v>-1.1259070339386668E-6</v>
      </c>
      <c r="AG23" s="7">
        <f t="shared" si="3"/>
        <v>2.8628349304199219E-2</v>
      </c>
      <c r="AH23" s="7">
        <f t="shared" si="2"/>
        <v>-1.6702774730675829E-7</v>
      </c>
      <c r="AI23" s="7">
        <f t="shared" si="4"/>
        <v>-1.3226115063755695E-13</v>
      </c>
      <c r="AJ23" s="7">
        <f t="shared" si="5"/>
        <v>1.8805771555560935E-13</v>
      </c>
      <c r="AK23" s="7">
        <f t="shared" si="6"/>
        <v>1.9073486328125E-6</v>
      </c>
    </row>
    <row r="24" spans="2:37" x14ac:dyDescent="0.2">
      <c r="B24" s="24" t="s">
        <v>109</v>
      </c>
      <c r="C24" s="28"/>
      <c r="D24" s="28"/>
      <c r="F24" s="18" t="s">
        <v>110</v>
      </c>
      <c r="G24" s="11">
        <f xml:space="preserve"> ($C$22-G15-G31)/$C$17</f>
        <v>1600.2478630521136</v>
      </c>
      <c r="H24" s="11" t="s">
        <v>22</v>
      </c>
      <c r="N24" s="11" t="s">
        <v>49</v>
      </c>
      <c r="O24" s="11">
        <f xml:space="preserve"> 1/$C$7 - O21 * SQRT( (2*$C$25*PI()*$C$16^2) / O17^3 )</f>
        <v>0.97092954654140839</v>
      </c>
      <c r="R24" s="11" t="s">
        <v>49</v>
      </c>
      <c r="S24" s="11">
        <f xml:space="preserve"> 1/$C$7 - S21 * SQRT( (2*$C$25*PI()*$C$16^2) / S17^3 )</f>
        <v>0.966382520898599</v>
      </c>
      <c r="V24" s="11" t="s">
        <v>49</v>
      </c>
      <c r="W24" s="11">
        <f xml:space="preserve"> 1/$C$7 - W21 * SQRT( (2*$C$25*PI()*$C$16^2) / W17^3 )</f>
        <v>0.9649938170131318</v>
      </c>
      <c r="AB24" s="7">
        <v>20</v>
      </c>
      <c r="AC24" s="7">
        <f t="shared" si="7"/>
        <v>2.8627395629882812E-2</v>
      </c>
      <c r="AD24" s="7">
        <f t="shared" si="0"/>
        <v>7.9185137062676159E-7</v>
      </c>
      <c r="AE24" s="7">
        <f t="shared" si="8"/>
        <v>2.8628349304199219E-2</v>
      </c>
      <c r="AF24" s="7">
        <f t="shared" si="1"/>
        <v>-1.6702774730675829E-7</v>
      </c>
      <c r="AG24" s="7">
        <f t="shared" si="3"/>
        <v>2.8627872467041016E-2</v>
      </c>
      <c r="AH24" s="7">
        <f t="shared" si="2"/>
        <v>3.1241183275076967E-7</v>
      </c>
      <c r="AI24" s="7">
        <f t="shared" si="4"/>
        <v>2.4738373796371555E-13</v>
      </c>
      <c r="AJ24" s="7">
        <f t="shared" si="5"/>
        <v>-5.2181444656336789E-14</v>
      </c>
      <c r="AK24" s="7">
        <f t="shared" si="6"/>
        <v>9.5367431640625E-7</v>
      </c>
    </row>
    <row r="25" spans="2:37" x14ac:dyDescent="0.2">
      <c r="B25" s="11" t="s">
        <v>23</v>
      </c>
      <c r="C25" s="15">
        <v>1.2250000000000001</v>
      </c>
      <c r="D25" s="11" t="s">
        <v>24</v>
      </c>
      <c r="F25" s="18"/>
      <c r="N25" s="11" t="s">
        <v>50</v>
      </c>
      <c r="O25" s="15">
        <v>1.1499999999999999</v>
      </c>
      <c r="R25" s="11" t="s">
        <v>50</v>
      </c>
      <c r="S25" s="15">
        <v>1.1499999999999999</v>
      </c>
      <c r="V25" s="11" t="s">
        <v>50</v>
      </c>
      <c r="W25" s="15">
        <v>1.1499999999999999</v>
      </c>
      <c r="AB25" s="7">
        <v>21</v>
      </c>
      <c r="AC25" s="7">
        <f t="shared" si="7"/>
        <v>2.8627872467041016E-2</v>
      </c>
      <c r="AD25" s="7">
        <f t="shared" si="0"/>
        <v>3.1241183275076967E-7</v>
      </c>
      <c r="AE25" s="7">
        <f t="shared" si="8"/>
        <v>2.8628349304199219E-2</v>
      </c>
      <c r="AF25" s="7">
        <f t="shared" si="1"/>
        <v>-1.6702774730675829E-7</v>
      </c>
      <c r="AG25" s="7">
        <f t="shared" si="3"/>
        <v>2.8628110885620117E-2</v>
      </c>
      <c r="AH25" s="7">
        <f t="shared" si="2"/>
        <v>7.269204799209561E-8</v>
      </c>
      <c r="AI25" s="7">
        <f t="shared" si="4"/>
        <v>2.2709855939617496E-14</v>
      </c>
      <c r="AJ25" s="7">
        <f t="shared" si="5"/>
        <v>-1.2141589023234493E-14</v>
      </c>
      <c r="AK25" s="7">
        <f t="shared" si="6"/>
        <v>4.76837158203125E-7</v>
      </c>
    </row>
    <row r="26" spans="2:37" x14ac:dyDescent="0.2">
      <c r="B26" s="11" t="s">
        <v>25</v>
      </c>
      <c r="C26" s="1">
        <v>9.8066499999999994</v>
      </c>
      <c r="D26" s="11" t="s">
        <v>26</v>
      </c>
      <c r="F26" s="25" t="s">
        <v>111</v>
      </c>
      <c r="G26" s="26"/>
      <c r="H26" s="26"/>
      <c r="N26" s="11" t="s">
        <v>51</v>
      </c>
      <c r="O26" s="11">
        <f xml:space="preserve"> 1/$C$30 * LN( EXP($C$30 * O24) + EXP($C$30 * O25) )</f>
        <v>1.1501544517734057</v>
      </c>
      <c r="R26" s="11" t="s">
        <v>51</v>
      </c>
      <c r="S26" s="11">
        <f xml:space="preserve"> 1/$C$30 * LN( EXP($C$30 * S24) + EXP($C$30 * S25) )</f>
        <v>1.1501347964920137</v>
      </c>
      <c r="V26" s="11" t="s">
        <v>51</v>
      </c>
      <c r="W26" s="11">
        <f xml:space="preserve"> 1/$C$30 * LN( EXP($C$30 * W24) + EXP($C$30 * W25) )</f>
        <v>1.1501293067461085</v>
      </c>
      <c r="AB26" s="7">
        <v>22</v>
      </c>
      <c r="AC26" s="7">
        <f t="shared" si="7"/>
        <v>2.8628110885620117E-2</v>
      </c>
      <c r="AD26" s="7">
        <f t="shared" si="0"/>
        <v>7.269204799209561E-8</v>
      </c>
      <c r="AE26" s="7">
        <f t="shared" si="8"/>
        <v>2.8628349304199219E-2</v>
      </c>
      <c r="AF26" s="7">
        <f t="shared" si="1"/>
        <v>-1.6702774730675829E-7</v>
      </c>
      <c r="AG26" s="7">
        <f t="shared" si="3"/>
        <v>2.8628230094909668E-2</v>
      </c>
      <c r="AH26" s="7">
        <f t="shared" si="2"/>
        <v>-4.7167848342410945E-8</v>
      </c>
      <c r="AI26" s="7">
        <f t="shared" si="4"/>
        <v>-3.4287274953904239E-15</v>
      </c>
      <c r="AJ26" s="7">
        <f t="shared" si="5"/>
        <v>7.8783394539397128E-15</v>
      </c>
      <c r="AK26" s="7">
        <f t="shared" si="6"/>
        <v>2.384185791015625E-7</v>
      </c>
    </row>
    <row r="27" spans="2:37" x14ac:dyDescent="0.2">
      <c r="B27" s="11" t="s">
        <v>112</v>
      </c>
      <c r="C27" s="15">
        <v>0.8</v>
      </c>
      <c r="F27" s="3" t="s">
        <v>97</v>
      </c>
      <c r="G27" s="1">
        <f>$C$17</f>
        <v>50</v>
      </c>
      <c r="H27" t="s">
        <v>16</v>
      </c>
      <c r="AB27" s="7">
        <v>23</v>
      </c>
      <c r="AC27" s="7">
        <f t="shared" si="7"/>
        <v>2.8628110885620117E-2</v>
      </c>
      <c r="AD27" s="7">
        <f t="shared" si="0"/>
        <v>7.269204799209561E-8</v>
      </c>
      <c r="AE27" s="7">
        <f t="shared" si="8"/>
        <v>2.8628230094909668E-2</v>
      </c>
      <c r="AF27" s="7">
        <f t="shared" si="1"/>
        <v>-4.7167848342410945E-8</v>
      </c>
      <c r="AG27" s="7">
        <f t="shared" si="3"/>
        <v>2.8628170490264893E-2</v>
      </c>
      <c r="AH27" s="7">
        <f t="shared" si="2"/>
        <v>1.2762100154439793E-8</v>
      </c>
      <c r="AI27" s="7">
        <f t="shared" si="4"/>
        <v>9.2770319690646824E-16</v>
      </c>
      <c r="AJ27" s="7">
        <f t="shared" si="5"/>
        <v>-6.0196080461527547E-16</v>
      </c>
      <c r="AK27" s="7">
        <f t="shared" si="6"/>
        <v>1.1920928955078125E-7</v>
      </c>
    </row>
    <row r="28" spans="2:37" x14ac:dyDescent="0.2">
      <c r="F28" t="s">
        <v>98</v>
      </c>
      <c r="G28" s="1">
        <v>1.524</v>
      </c>
      <c r="H28" t="s">
        <v>16</v>
      </c>
      <c r="AB28" s="7">
        <v>24</v>
      </c>
      <c r="AC28" s="7">
        <f t="shared" si="7"/>
        <v>2.8628170490264893E-2</v>
      </c>
      <c r="AD28" s="7">
        <f t="shared" si="0"/>
        <v>1.2762100154439793E-8</v>
      </c>
      <c r="AE28" s="7">
        <f t="shared" si="8"/>
        <v>2.8628230094909668E-2</v>
      </c>
      <c r="AF28" s="7">
        <f t="shared" si="1"/>
        <v>-4.7167848342410945E-8</v>
      </c>
      <c r="AG28" s="7">
        <f t="shared" si="3"/>
        <v>2.862820029258728E-2</v>
      </c>
      <c r="AH28" s="7">
        <f t="shared" si="2"/>
        <v>-1.7202874014188296E-8</v>
      </c>
      <c r="AI28" s="7">
        <f t="shared" si="4"/>
        <v>-2.1954480111328075E-16</v>
      </c>
      <c r="AJ28" s="7">
        <f t="shared" si="5"/>
        <v>8.1142255255483571E-16</v>
      </c>
      <c r="AK28" s="7">
        <f t="shared" si="6"/>
        <v>5.9604644775390625E-8</v>
      </c>
    </row>
    <row r="29" spans="2:37" x14ac:dyDescent="0.2">
      <c r="B29" s="24" t="s">
        <v>27</v>
      </c>
      <c r="C29" s="24"/>
      <c r="D29" s="24"/>
      <c r="F29" t="s">
        <v>99</v>
      </c>
      <c r="G29" s="1">
        <v>304.8</v>
      </c>
      <c r="H29" t="s">
        <v>14</v>
      </c>
      <c r="AB29" s="7">
        <v>25</v>
      </c>
      <c r="AC29" s="7">
        <f t="shared" si="7"/>
        <v>2.8628170490264893E-2</v>
      </c>
      <c r="AD29" s="7">
        <f t="shared" si="0"/>
        <v>1.2762100154439793E-8</v>
      </c>
      <c r="AE29" s="7">
        <f t="shared" si="8"/>
        <v>2.862820029258728E-2</v>
      </c>
      <c r="AF29" s="7">
        <f t="shared" si="1"/>
        <v>-1.7202874014188296E-8</v>
      </c>
      <c r="AG29" s="7">
        <f t="shared" si="3"/>
        <v>2.8628185391426086E-2</v>
      </c>
      <c r="AH29" s="7">
        <f t="shared" si="2"/>
        <v>-2.2203869090575701E-9</v>
      </c>
      <c r="AI29" s="7">
        <f t="shared" si="4"/>
        <v>-2.833680011499971E-17</v>
      </c>
      <c r="AJ29" s="7">
        <f t="shared" si="5"/>
        <v>3.8197036259270343E-17</v>
      </c>
      <c r="AK29" s="7">
        <f t="shared" si="6"/>
        <v>2.9802322387695312E-8</v>
      </c>
    </row>
    <row r="30" spans="2:37" x14ac:dyDescent="0.2">
      <c r="B30" s="11" t="s">
        <v>28</v>
      </c>
      <c r="C30" s="15">
        <v>30</v>
      </c>
      <c r="F30" t="s">
        <v>101</v>
      </c>
      <c r="G30" s="11">
        <f>SQRT($G$27^2-$G$28^2)</f>
        <v>49.976768843133506</v>
      </c>
      <c r="H30" t="s">
        <v>16</v>
      </c>
      <c r="AB30" s="7">
        <v>26</v>
      </c>
      <c r="AC30" s="7">
        <f t="shared" si="7"/>
        <v>2.8628170490264893E-2</v>
      </c>
      <c r="AD30" s="7">
        <f t="shared" si="0"/>
        <v>1.2762100154439793E-8</v>
      </c>
      <c r="AE30" s="7">
        <f t="shared" si="8"/>
        <v>2.8628185391426086E-2</v>
      </c>
      <c r="AF30" s="7">
        <f t="shared" si="1"/>
        <v>-2.2203869090575701E-9</v>
      </c>
      <c r="AG30" s="7">
        <f t="shared" si="3"/>
        <v>2.862817794084549E-2</v>
      </c>
      <c r="AH30" s="7">
        <f t="shared" si="2"/>
        <v>5.2708566261605583E-9</v>
      </c>
      <c r="AI30" s="7">
        <f t="shared" si="4"/>
        <v>6.726720016275367E-17</v>
      </c>
      <c r="AJ30" s="7">
        <f t="shared" si="5"/>
        <v>-1.1703341052246255E-17</v>
      </c>
      <c r="AK30" s="7">
        <f t="shared" si="6"/>
        <v>1.4901161193847656E-8</v>
      </c>
    </row>
    <row r="31" spans="2:37" x14ac:dyDescent="0.2">
      <c r="F31" t="s">
        <v>102</v>
      </c>
      <c r="G31" s="11">
        <f>$G$30*($G$29/$G$28)</f>
        <v>9995.3537686267009</v>
      </c>
      <c r="H31" t="s">
        <v>14</v>
      </c>
      <c r="AB31" s="7">
        <v>27</v>
      </c>
      <c r="AC31" s="7">
        <f t="shared" si="7"/>
        <v>2.862817794084549E-2</v>
      </c>
      <c r="AD31" s="7">
        <f t="shared" si="0"/>
        <v>5.2708566261605583E-9</v>
      </c>
      <c r="AE31" s="7">
        <f t="shared" si="8"/>
        <v>2.8628185391426086E-2</v>
      </c>
      <c r="AF31" s="7">
        <f t="shared" si="1"/>
        <v>-2.2203869090575701E-9</v>
      </c>
      <c r="AG31" s="7">
        <f t="shared" si="3"/>
        <v>2.8628181666135788E-2</v>
      </c>
      <c r="AH31" s="7">
        <f t="shared" si="2"/>
        <v>1.5252348620209411E-9</v>
      </c>
      <c r="AI31" s="7">
        <f t="shared" si="4"/>
        <v>8.0392942789341625E-18</v>
      </c>
      <c r="AJ31" s="7">
        <f t="shared" si="5"/>
        <v>-3.3866115208695266E-18</v>
      </c>
      <c r="AK31" s="7">
        <f t="shared" si="6"/>
        <v>7.4505805969238281E-9</v>
      </c>
    </row>
    <row r="32" spans="2:37" x14ac:dyDescent="0.2">
      <c r="B32" s="20" t="s">
        <v>140</v>
      </c>
      <c r="C32" s="20"/>
      <c r="D32" s="20"/>
      <c r="F32" t="s">
        <v>103</v>
      </c>
      <c r="G32" s="11">
        <f>ATAN(G28/G30)/PI()*180</f>
        <v>1.7466458786346903</v>
      </c>
      <c r="H32" t="s">
        <v>62</v>
      </c>
      <c r="AB32" s="7">
        <v>28</v>
      </c>
      <c r="AC32" s="7">
        <f t="shared" si="7"/>
        <v>2.8628181666135788E-2</v>
      </c>
      <c r="AD32" s="7">
        <f t="shared" si="0"/>
        <v>1.5252348620209411E-9</v>
      </c>
      <c r="AE32" s="7">
        <f t="shared" si="8"/>
        <v>2.8628185391426086E-2</v>
      </c>
      <c r="AF32" s="7">
        <f t="shared" si="1"/>
        <v>-2.2203869090575701E-9</v>
      </c>
      <c r="AG32" s="7">
        <f t="shared" si="3"/>
        <v>2.8628183528780937E-2</v>
      </c>
      <c r="AH32" s="7">
        <f t="shared" si="2"/>
        <v>-3.4757602351831451E-10</v>
      </c>
      <c r="AI32" s="7">
        <f t="shared" si="4"/>
        <v>-5.301350682727438E-19</v>
      </c>
      <c r="AJ32" s="7">
        <f t="shared" si="5"/>
        <v>7.7175325252235165E-19</v>
      </c>
      <c r="AK32" s="7">
        <f t="shared" si="6"/>
        <v>3.7252902984619141E-9</v>
      </c>
    </row>
    <row r="33" spans="2:37" x14ac:dyDescent="0.2">
      <c r="B33" t="s">
        <v>141</v>
      </c>
      <c r="C33" s="1">
        <v>5</v>
      </c>
      <c r="D33"/>
      <c r="F33" t="s">
        <v>104</v>
      </c>
      <c r="G33" s="11">
        <f xml:space="preserve"> 1/1000 * (W21 + W17 * (W26 * W23 + $G$27 * SIN(W16/180*PI())))</f>
        <v>20.301891897125365</v>
      </c>
      <c r="H33" t="s">
        <v>91</v>
      </c>
      <c r="AB33" s="7">
        <v>29</v>
      </c>
      <c r="AC33" s="7">
        <f t="shared" si="7"/>
        <v>2.8628181666135788E-2</v>
      </c>
      <c r="AD33" s="7">
        <f t="shared" si="0"/>
        <v>1.5252348620209411E-9</v>
      </c>
      <c r="AE33" s="7">
        <f t="shared" si="8"/>
        <v>2.8628183528780937E-2</v>
      </c>
      <c r="AF33" s="7">
        <f t="shared" si="1"/>
        <v>-3.4757602351831451E-10</v>
      </c>
      <c r="AG33" s="7">
        <f t="shared" si="3"/>
        <v>2.8628182597458363E-2</v>
      </c>
      <c r="AH33" s="7">
        <f t="shared" si="2"/>
        <v>5.8882942272076022E-10</v>
      </c>
      <c r="AI33" s="7">
        <f t="shared" si="4"/>
        <v>8.9810316331736913E-19</v>
      </c>
      <c r="AJ33" s="7">
        <f t="shared" si="5"/>
        <v>-2.0466298927986651E-19</v>
      </c>
      <c r="AK33" s="7">
        <f t="shared" si="6"/>
        <v>1.862645149230957E-9</v>
      </c>
    </row>
    <row r="34" spans="2:37" x14ac:dyDescent="0.2">
      <c r="B34" t="s">
        <v>142</v>
      </c>
      <c r="C34" s="1">
        <v>0.14399999999999999</v>
      </c>
      <c r="D34"/>
      <c r="F34" t="s">
        <v>113</v>
      </c>
      <c r="G34" s="11">
        <f>$C$5*G33</f>
        <v>81.207567588501462</v>
      </c>
      <c r="H34" t="s">
        <v>91</v>
      </c>
      <c r="AB34" s="7">
        <v>30</v>
      </c>
      <c r="AC34" s="7">
        <f t="shared" si="7"/>
        <v>2.8628182597458363E-2</v>
      </c>
      <c r="AD34" s="7">
        <f t="shared" si="0"/>
        <v>5.8882942272076022E-10</v>
      </c>
      <c r="AE34" s="7">
        <f t="shared" si="8"/>
        <v>2.8628183528780937E-2</v>
      </c>
      <c r="AF34" s="7">
        <f t="shared" si="1"/>
        <v>-3.4757602351831451E-10</v>
      </c>
      <c r="AG34" s="7">
        <f t="shared" si="3"/>
        <v>2.862818306311965E-2</v>
      </c>
      <c r="AH34" s="7">
        <f t="shared" si="2"/>
        <v>1.206266961317759E-10</v>
      </c>
      <c r="AI34" s="7">
        <f t="shared" si="4"/>
        <v>7.1028547847986164E-20</v>
      </c>
      <c r="AJ34" s="7">
        <f t="shared" si="5"/>
        <v>-4.1926947371634719E-20</v>
      </c>
      <c r="AK34" s="7">
        <f t="shared" si="6"/>
        <v>9.3132257461547852E-10</v>
      </c>
    </row>
    <row r="35" spans="2:37" x14ac:dyDescent="0.2">
      <c r="B35"/>
      <c r="C35"/>
      <c r="D35"/>
      <c r="F35" t="s">
        <v>114</v>
      </c>
      <c r="G35" s="11">
        <f>$G$29/$G$28</f>
        <v>200</v>
      </c>
      <c r="H35" t="s">
        <v>22</v>
      </c>
    </row>
    <row r="36" spans="2:37" x14ac:dyDescent="0.2">
      <c r="B36" s="20" t="s">
        <v>143</v>
      </c>
      <c r="C36" s="20"/>
      <c r="D36" s="20"/>
    </row>
    <row r="37" spans="2:37" x14ac:dyDescent="0.2">
      <c r="B37" t="s">
        <v>144</v>
      </c>
      <c r="C37" s="1">
        <v>4</v>
      </c>
      <c r="D37"/>
      <c r="F37" s="22" t="s">
        <v>115</v>
      </c>
      <c r="G37" s="23"/>
      <c r="H37" s="23"/>
      <c r="AB37" s="12" t="s">
        <v>116</v>
      </c>
    </row>
    <row r="38" spans="2:37" x14ac:dyDescent="0.2">
      <c r="B38" t="s">
        <v>145</v>
      </c>
      <c r="C38" s="1">
        <v>5.2</v>
      </c>
      <c r="D38" t="s">
        <v>14</v>
      </c>
      <c r="F38" t="s">
        <v>117</v>
      </c>
      <c r="G38" s="1">
        <v>1.524</v>
      </c>
      <c r="H38" t="s">
        <v>16</v>
      </c>
      <c r="AB38" s="14" t="s">
        <v>63</v>
      </c>
      <c r="AC38" s="14" t="s">
        <v>64</v>
      </c>
      <c r="AD38" s="14" t="s">
        <v>65</v>
      </c>
      <c r="AE38" s="14" t="s">
        <v>66</v>
      </c>
      <c r="AF38" s="14" t="s">
        <v>67</v>
      </c>
      <c r="AG38" s="14" t="s">
        <v>68</v>
      </c>
      <c r="AH38" s="14" t="s">
        <v>69</v>
      </c>
      <c r="AI38" s="14" t="s">
        <v>70</v>
      </c>
      <c r="AJ38" s="14" t="s">
        <v>71</v>
      </c>
      <c r="AK38" s="14" t="s">
        <v>72</v>
      </c>
    </row>
    <row r="39" spans="2:37" x14ac:dyDescent="0.2">
      <c r="B39" t="s">
        <v>146</v>
      </c>
      <c r="C39" s="1">
        <v>1.8</v>
      </c>
      <c r="D39" t="s">
        <v>14</v>
      </c>
      <c r="F39" t="s">
        <v>118</v>
      </c>
      <c r="G39" s="1">
        <v>152.4</v>
      </c>
      <c r="H39" t="s">
        <v>14</v>
      </c>
      <c r="AB39" s="7">
        <v>0</v>
      </c>
      <c r="AC39" s="8">
        <v>0</v>
      </c>
      <c r="AD39" s="7">
        <f t="shared" ref="AD39:AD69" si="9" xml:space="preserve"> $C$18 * TAN($O$16/180*PI()) + $O$19 / (2 * SQRT($C$18^2 + AC39^2)) - AC39</f>
        <v>4.4126346228955497E-2</v>
      </c>
      <c r="AE39" s="8">
        <v>1</v>
      </c>
      <c r="AF39" s="7">
        <f t="shared" ref="AF39:AF69" si="10" xml:space="preserve"> $C$18 * TAN($O$16/180*PI()) + $O$19 / (2 * SQRT($C$18^2 + AE39^2)) - AE39</f>
        <v>-0.96837194027135609</v>
      </c>
      <c r="AG39" s="7">
        <f xml:space="preserve"> (AC39 + AE39)/2</f>
        <v>0.5</v>
      </c>
      <c r="AH39" s="7">
        <f t="shared" ref="AH39:AH69" si="11" xml:space="preserve"> $C$18 * TAN($O$16/180*PI()) + $O$19 / (2 * SQRT($C$18^2 + AG39^2)) - AG39</f>
        <v>-0.46438828667942555</v>
      </c>
      <c r="AI39" s="7">
        <f>AD39*AH39</f>
        <v>-2.0491758322687775E-2</v>
      </c>
      <c r="AJ39" s="7">
        <f>AF39*AH39</f>
        <v>0.44970058621104608</v>
      </c>
      <c r="AK39" s="7">
        <f>AE39-AC39</f>
        <v>1</v>
      </c>
    </row>
    <row r="40" spans="2:37" x14ac:dyDescent="0.2">
      <c r="B40"/>
      <c r="C40"/>
      <c r="D40"/>
      <c r="F40" t="s">
        <v>119</v>
      </c>
      <c r="G40" s="11">
        <f xml:space="preserve"> 1/1000 * IF($G$38&gt;= 2*SQRT(($C$15*$C$26)/(2*$C$25*$C$5*PI()*$C$16*$C$16)), ($C$15*$C$26)/$C$7 * ( ($G$38/2) - SQRT( ($G$38/2)^2 - ($C$15*$C$26)/(2*$C$25*$C$5*PI()*$C$16*$C$16 ) ) ), 1/$C$7 * SQRT(($C$15*$C$26)^3/(2*$C$25*$C$5*PI()*$C$16*$C$16)) )</f>
        <v>160.64997144429074</v>
      </c>
      <c r="H40" t="s">
        <v>91</v>
      </c>
      <c r="AB40" s="7">
        <v>1</v>
      </c>
      <c r="AC40" s="7">
        <f>IF(AI39&gt;0, AG39, AC39)</f>
        <v>0</v>
      </c>
      <c r="AD40" s="7">
        <f t="shared" si="9"/>
        <v>4.4126346228955497E-2</v>
      </c>
      <c r="AE40" s="7">
        <f>IF(AJ39&gt;0, AG39, AE39)</f>
        <v>0.5</v>
      </c>
      <c r="AF40" s="7">
        <f t="shared" si="10"/>
        <v>-0.46438828667942555</v>
      </c>
      <c r="AG40" s="7">
        <f t="shared" ref="AG40:AG69" si="12" xml:space="preserve"> (AC40 + AE40)/2</f>
        <v>0.25</v>
      </c>
      <c r="AH40" s="7">
        <f t="shared" si="11"/>
        <v>-0.20993852187933565</v>
      </c>
      <c r="AI40" s="7">
        <f t="shared" ref="AI40:AI69" si="13">AD40*AH40</f>
        <v>-9.2638199032427145E-3</v>
      </c>
      <c r="AJ40" s="7">
        <f t="shared" ref="AJ40:AJ69" si="14">AF40*AH40</f>
        <v>9.749299048355578E-2</v>
      </c>
      <c r="AK40" s="7">
        <f t="shared" ref="AK40:AK69" si="15">AE40-AC40</f>
        <v>0.5</v>
      </c>
    </row>
    <row r="41" spans="2:37" x14ac:dyDescent="0.2">
      <c r="B41" s="20" t="s">
        <v>147</v>
      </c>
      <c r="C41" s="20"/>
      <c r="D41" s="20"/>
      <c r="F41" t="s">
        <v>30</v>
      </c>
      <c r="G41" s="11">
        <f xml:space="preserve"> $C$15 * $C$26 / $C$5</f>
        <v>2504.6907288372699</v>
      </c>
      <c r="H41" t="s">
        <v>31</v>
      </c>
      <c r="AB41" s="7">
        <v>2</v>
      </c>
      <c r="AC41" s="7">
        <f t="shared" ref="AC41:AC69" si="16">IF(AI40&gt;0, AG40, AC40)</f>
        <v>0</v>
      </c>
      <c r="AD41" s="7">
        <f t="shared" si="9"/>
        <v>4.4126346228955497E-2</v>
      </c>
      <c r="AE41" s="7">
        <f t="shared" ref="AE41:AE69" si="17">IF(AJ40&gt;0, AG40, AE40)</f>
        <v>0.25</v>
      </c>
      <c r="AF41" s="7">
        <f t="shared" si="10"/>
        <v>-0.20993852187933565</v>
      </c>
      <c r="AG41" s="7">
        <f t="shared" si="12"/>
        <v>0.125</v>
      </c>
      <c r="AH41" s="7">
        <f t="shared" si="11"/>
        <v>-8.2222708428146246E-2</v>
      </c>
      <c r="AI41" s="7">
        <f t="shared" si="13"/>
        <v>-3.6281876999828384E-3</v>
      </c>
      <c r="AJ41" s="7">
        <f t="shared" si="14"/>
        <v>1.7261713872320616E-2</v>
      </c>
      <c r="AK41" s="7">
        <f t="shared" si="15"/>
        <v>0.25</v>
      </c>
    </row>
    <row r="42" spans="2:37" x14ac:dyDescent="0.2">
      <c r="B42" t="s">
        <v>148</v>
      </c>
      <c r="C42" s="1">
        <v>0.3</v>
      </c>
      <c r="D42" t="s">
        <v>14</v>
      </c>
      <c r="F42" t="s">
        <v>120</v>
      </c>
      <c r="G42" s="16">
        <f>$G$39/$G$38</f>
        <v>100</v>
      </c>
      <c r="H42" t="s">
        <v>22</v>
      </c>
      <c r="AB42" s="7">
        <v>3</v>
      </c>
      <c r="AC42" s="7">
        <f t="shared" si="16"/>
        <v>0</v>
      </c>
      <c r="AD42" s="7">
        <f t="shared" si="9"/>
        <v>4.4126346228955497E-2</v>
      </c>
      <c r="AE42" s="7">
        <f t="shared" si="17"/>
        <v>0.125</v>
      </c>
      <c r="AF42" s="7">
        <f t="shared" si="10"/>
        <v>-8.2222708428146246E-2</v>
      </c>
      <c r="AG42" s="7">
        <f t="shared" si="12"/>
        <v>6.25E-2</v>
      </c>
      <c r="AH42" s="7">
        <f t="shared" si="11"/>
        <v>-1.8742289085407503E-2</v>
      </c>
      <c r="AI42" s="7">
        <f t="shared" si="13"/>
        <v>-8.2702873730586518E-4</v>
      </c>
      <c r="AJ42" s="7">
        <f t="shared" si="14"/>
        <v>1.5410417707454889E-3</v>
      </c>
      <c r="AK42" s="7">
        <f t="shared" si="15"/>
        <v>0.125</v>
      </c>
    </row>
    <row r="43" spans="2:37" x14ac:dyDescent="0.2">
      <c r="B43" t="s">
        <v>149</v>
      </c>
      <c r="C43" s="1">
        <v>5.7</v>
      </c>
      <c r="D43"/>
      <c r="AB43" s="7">
        <v>4</v>
      </c>
      <c r="AC43" s="7">
        <f t="shared" si="16"/>
        <v>0</v>
      </c>
      <c r="AD43" s="7">
        <f t="shared" si="9"/>
        <v>4.4126346228955497E-2</v>
      </c>
      <c r="AE43" s="7">
        <f t="shared" si="17"/>
        <v>6.25E-2</v>
      </c>
      <c r="AF43" s="7">
        <f t="shared" si="10"/>
        <v>-1.8742289085407503E-2</v>
      </c>
      <c r="AG43" s="7">
        <f t="shared" si="12"/>
        <v>3.125E-2</v>
      </c>
      <c r="AH43" s="7">
        <f t="shared" si="11"/>
        <v>1.2781965441824819E-2</v>
      </c>
      <c r="AI43" s="7">
        <f t="shared" si="13"/>
        <v>5.6402143257250608E-4</v>
      </c>
      <c r="AJ43" s="7">
        <f t="shared" si="14"/>
        <v>-2.395632913903692E-4</v>
      </c>
      <c r="AK43" s="7">
        <f t="shared" si="15"/>
        <v>6.25E-2</v>
      </c>
    </row>
    <row r="44" spans="2:37" x14ac:dyDescent="0.2">
      <c r="AB44" s="7">
        <v>5</v>
      </c>
      <c r="AC44" s="7">
        <f t="shared" si="16"/>
        <v>3.125E-2</v>
      </c>
      <c r="AD44" s="7">
        <f t="shared" si="9"/>
        <v>1.2781965441824819E-2</v>
      </c>
      <c r="AE44" s="7">
        <f t="shared" si="17"/>
        <v>6.25E-2</v>
      </c>
      <c r="AF44" s="7">
        <f t="shared" si="10"/>
        <v>-1.8742289085407503E-2</v>
      </c>
      <c r="AG44" s="7">
        <f t="shared" si="12"/>
        <v>4.6875E-2</v>
      </c>
      <c r="AH44" s="7">
        <f t="shared" si="11"/>
        <v>-2.9588952531088217E-3</v>
      </c>
      <c r="AI44" s="7">
        <f t="shared" si="13"/>
        <v>-3.782049687121646E-5</v>
      </c>
      <c r="AJ44" s="7">
        <f t="shared" si="14"/>
        <v>5.5456470207205541E-5</v>
      </c>
      <c r="AK44" s="7">
        <f t="shared" si="15"/>
        <v>3.125E-2</v>
      </c>
    </row>
    <row r="45" spans="2:37" x14ac:dyDescent="0.2">
      <c r="AB45" s="7">
        <v>6</v>
      </c>
      <c r="AC45" s="7">
        <f t="shared" si="16"/>
        <v>3.125E-2</v>
      </c>
      <c r="AD45" s="7">
        <f t="shared" si="9"/>
        <v>1.2781965441824819E-2</v>
      </c>
      <c r="AE45" s="7">
        <f t="shared" si="17"/>
        <v>4.6875E-2</v>
      </c>
      <c r="AF45" s="7">
        <f t="shared" si="10"/>
        <v>-2.9588952531088217E-3</v>
      </c>
      <c r="AG45" s="7">
        <f t="shared" si="12"/>
        <v>3.90625E-2</v>
      </c>
      <c r="AH45" s="7">
        <f t="shared" si="11"/>
        <v>4.9170413202903399E-3</v>
      </c>
      <c r="AI45" s="7">
        <f t="shared" si="13"/>
        <v>6.2849452231975806E-5</v>
      </c>
      <c r="AJ45" s="7">
        <f t="shared" si="14"/>
        <v>-1.454901022194702E-5</v>
      </c>
      <c r="AK45" s="7">
        <f t="shared" si="15"/>
        <v>1.5625E-2</v>
      </c>
    </row>
    <row r="46" spans="2:37" x14ac:dyDescent="0.2">
      <c r="AB46" s="7">
        <v>7</v>
      </c>
      <c r="AC46" s="7">
        <f t="shared" si="16"/>
        <v>3.90625E-2</v>
      </c>
      <c r="AD46" s="7">
        <f t="shared" si="9"/>
        <v>4.9170413202903399E-3</v>
      </c>
      <c r="AE46" s="7">
        <f t="shared" si="17"/>
        <v>4.6875E-2</v>
      </c>
      <c r="AF46" s="7">
        <f t="shared" si="10"/>
        <v>-2.9588952531088217E-3</v>
      </c>
      <c r="AG46" s="7">
        <f t="shared" si="12"/>
        <v>4.296875E-2</v>
      </c>
      <c r="AH46" s="7">
        <f t="shared" si="11"/>
        <v>9.8042800933836188E-4</v>
      </c>
      <c r="AI46" s="7">
        <f t="shared" si="13"/>
        <v>4.8208050334867284E-6</v>
      </c>
      <c r="AJ46" s="7">
        <f t="shared" si="14"/>
        <v>-2.9009837828462106E-6</v>
      </c>
      <c r="AK46" s="7">
        <f t="shared" si="15"/>
        <v>7.8125E-3</v>
      </c>
    </row>
    <row r="47" spans="2:37" x14ac:dyDescent="0.2">
      <c r="AB47" s="7">
        <v>8</v>
      </c>
      <c r="AC47" s="7">
        <f t="shared" si="16"/>
        <v>4.296875E-2</v>
      </c>
      <c r="AD47" s="7">
        <f t="shared" si="9"/>
        <v>9.8042800933836188E-4</v>
      </c>
      <c r="AE47" s="7">
        <f t="shared" si="17"/>
        <v>4.6875E-2</v>
      </c>
      <c r="AF47" s="7">
        <f t="shared" si="10"/>
        <v>-2.9588952531088217E-3</v>
      </c>
      <c r="AG47" s="7">
        <f t="shared" si="12"/>
        <v>4.4921875E-2</v>
      </c>
      <c r="AH47" s="7">
        <f t="shared" si="11"/>
        <v>-9.8889776979017158E-4</v>
      </c>
      <c r="AI47" s="7">
        <f t="shared" si="13"/>
        <v>-9.6954307187452367E-7</v>
      </c>
      <c r="AJ47" s="7">
        <f t="shared" si="14"/>
        <v>2.9260449168420392E-6</v>
      </c>
      <c r="AK47" s="7">
        <f t="shared" si="15"/>
        <v>3.90625E-3</v>
      </c>
    </row>
    <row r="48" spans="2:37" x14ac:dyDescent="0.2">
      <c r="AB48" s="7">
        <v>9</v>
      </c>
      <c r="AC48" s="7">
        <f t="shared" si="16"/>
        <v>4.296875E-2</v>
      </c>
      <c r="AD48" s="7">
        <f t="shared" si="9"/>
        <v>9.8042800933836188E-4</v>
      </c>
      <c r="AE48" s="7">
        <f t="shared" si="17"/>
        <v>4.4921875E-2</v>
      </c>
      <c r="AF48" s="7">
        <f t="shared" si="10"/>
        <v>-9.8889776979017158E-4</v>
      </c>
      <c r="AG48" s="7">
        <f t="shared" si="12"/>
        <v>4.39453125E-2</v>
      </c>
      <c r="AH48" s="7">
        <f t="shared" si="11"/>
        <v>-4.150547327066989E-6</v>
      </c>
      <c r="AI48" s="7">
        <f t="shared" si="13"/>
        <v>-4.0693128535409472E-9</v>
      </c>
      <c r="AJ48" s="7">
        <f t="shared" si="14"/>
        <v>4.1044669951451031E-9</v>
      </c>
      <c r="AK48" s="7">
        <f t="shared" si="15"/>
        <v>1.953125E-3</v>
      </c>
    </row>
    <row r="49" spans="28:37" x14ac:dyDescent="0.2">
      <c r="AB49" s="7">
        <v>10</v>
      </c>
      <c r="AC49" s="7">
        <f t="shared" si="16"/>
        <v>4.296875E-2</v>
      </c>
      <c r="AD49" s="7">
        <f t="shared" si="9"/>
        <v>9.8042800933836188E-4</v>
      </c>
      <c r="AE49" s="7">
        <f t="shared" si="17"/>
        <v>4.39453125E-2</v>
      </c>
      <c r="AF49" s="7">
        <f t="shared" si="10"/>
        <v>-4.150547327066989E-6</v>
      </c>
      <c r="AG49" s="7">
        <f t="shared" si="12"/>
        <v>4.345703125E-2</v>
      </c>
      <c r="AH49" s="7">
        <f t="shared" si="11"/>
        <v>4.8815985973886533E-4</v>
      </c>
      <c r="AI49" s="7">
        <f t="shared" si="13"/>
        <v>4.7860559952266967E-7</v>
      </c>
      <c r="AJ49" s="7">
        <f t="shared" si="14"/>
        <v>-2.0261306010205437E-9</v>
      </c>
      <c r="AK49" s="7">
        <f t="shared" si="15"/>
        <v>9.765625E-4</v>
      </c>
    </row>
    <row r="50" spans="28:37" x14ac:dyDescent="0.2">
      <c r="AB50" s="7">
        <v>11</v>
      </c>
      <c r="AC50" s="7">
        <f t="shared" si="16"/>
        <v>4.345703125E-2</v>
      </c>
      <c r="AD50" s="7">
        <f t="shared" si="9"/>
        <v>4.8815985973886533E-4</v>
      </c>
      <c r="AE50" s="7">
        <f t="shared" si="17"/>
        <v>4.39453125E-2</v>
      </c>
      <c r="AF50" s="7">
        <f t="shared" si="10"/>
        <v>-4.150547327066989E-6</v>
      </c>
      <c r="AG50" s="7">
        <f t="shared" si="12"/>
        <v>4.3701171875E-2</v>
      </c>
      <c r="AH50" s="7">
        <f t="shared" si="11"/>
        <v>2.420099327333225E-4</v>
      </c>
      <c r="AI50" s="7">
        <f t="shared" si="13"/>
        <v>1.1813953481851094E-7</v>
      </c>
      <c r="AJ50" s="7">
        <f t="shared" si="14"/>
        <v>-1.0044736794299534E-9</v>
      </c>
      <c r="AK50" s="7">
        <f t="shared" si="15"/>
        <v>4.8828125E-4</v>
      </c>
    </row>
    <row r="51" spans="28:37" x14ac:dyDescent="0.2">
      <c r="AB51" s="7">
        <v>12</v>
      </c>
      <c r="AC51" s="7">
        <f t="shared" si="16"/>
        <v>4.3701171875E-2</v>
      </c>
      <c r="AD51" s="7">
        <f t="shared" si="9"/>
        <v>2.420099327333225E-4</v>
      </c>
      <c r="AE51" s="7">
        <f t="shared" si="17"/>
        <v>4.39453125E-2</v>
      </c>
      <c r="AF51" s="7">
        <f t="shared" si="10"/>
        <v>-4.150547327066989E-6</v>
      </c>
      <c r="AG51" s="7">
        <f t="shared" si="12"/>
        <v>4.38232421875E-2</v>
      </c>
      <c r="AH51" s="7">
        <f t="shared" si="11"/>
        <v>1.1893101112513127E-4</v>
      </c>
      <c r="AI51" s="7">
        <f t="shared" si="13"/>
        <v>2.8782486002299048E-8</v>
      </c>
      <c r="AJ51" s="7">
        <f t="shared" si="14"/>
        <v>-4.9362879033078794E-10</v>
      </c>
      <c r="AK51" s="7">
        <f t="shared" si="15"/>
        <v>2.44140625E-4</v>
      </c>
    </row>
    <row r="52" spans="28:37" x14ac:dyDescent="0.2">
      <c r="AB52" s="7">
        <v>13</v>
      </c>
      <c r="AC52" s="7">
        <f t="shared" si="16"/>
        <v>4.38232421875E-2</v>
      </c>
      <c r="AD52" s="7">
        <f t="shared" si="9"/>
        <v>1.1893101112513127E-4</v>
      </c>
      <c r="AE52" s="7">
        <f t="shared" si="17"/>
        <v>4.39453125E-2</v>
      </c>
      <c r="AF52" s="7">
        <f t="shared" si="10"/>
        <v>-4.150547327066989E-6</v>
      </c>
      <c r="AG52" s="7">
        <f t="shared" si="12"/>
        <v>4.388427734375E-2</v>
      </c>
      <c r="AH52" s="7">
        <f t="shared" si="11"/>
        <v>5.7390561415626706E-5</v>
      </c>
      <c r="AI52" s="7">
        <f t="shared" si="13"/>
        <v>6.8255174981994291E-9</v>
      </c>
      <c r="AJ52" s="7">
        <f t="shared" si="14"/>
        <v>-2.3820224128250328E-10</v>
      </c>
      <c r="AK52" s="7">
        <f t="shared" si="15"/>
        <v>1.220703125E-4</v>
      </c>
    </row>
    <row r="53" spans="28:37" x14ac:dyDescent="0.2">
      <c r="AB53" s="7">
        <v>14</v>
      </c>
      <c r="AC53" s="7">
        <f t="shared" si="16"/>
        <v>4.388427734375E-2</v>
      </c>
      <c r="AD53" s="7">
        <f t="shared" si="9"/>
        <v>5.7390561415626706E-5</v>
      </c>
      <c r="AE53" s="7">
        <f t="shared" si="17"/>
        <v>4.39453125E-2</v>
      </c>
      <c r="AF53" s="7">
        <f t="shared" si="10"/>
        <v>-4.150547327066989E-6</v>
      </c>
      <c r="AG53" s="7">
        <f t="shared" si="12"/>
        <v>4.3914794921875E-2</v>
      </c>
      <c r="AH53" s="7">
        <f t="shared" si="11"/>
        <v>2.6620089412301984E-5</v>
      </c>
      <c r="AI53" s="7">
        <f t="shared" si="13"/>
        <v>1.5277418763061913E-9</v>
      </c>
      <c r="AJ53" s="7">
        <f t="shared" si="14"/>
        <v>-1.1048794095651425E-10</v>
      </c>
      <c r="AK53" s="7">
        <f t="shared" si="15"/>
        <v>6.103515625E-5</v>
      </c>
    </row>
    <row r="54" spans="28:37" x14ac:dyDescent="0.2">
      <c r="AB54" s="7">
        <v>15</v>
      </c>
      <c r="AC54" s="7">
        <f t="shared" si="16"/>
        <v>4.3914794921875E-2</v>
      </c>
      <c r="AD54" s="7">
        <f t="shared" si="9"/>
        <v>2.6620089412301984E-5</v>
      </c>
      <c r="AE54" s="7">
        <f t="shared" si="17"/>
        <v>4.39453125E-2</v>
      </c>
      <c r="AF54" s="7">
        <f t="shared" si="10"/>
        <v>-4.150547327066989E-6</v>
      </c>
      <c r="AG54" s="7">
        <f t="shared" si="12"/>
        <v>4.39300537109375E-2</v>
      </c>
      <c r="AH54" s="7">
        <f t="shared" si="11"/>
        <v>1.1234791633230046E-5</v>
      </c>
      <c r="AI54" s="7">
        <f t="shared" si="13"/>
        <v>2.9907115780516608E-10</v>
      </c>
      <c r="AJ54" s="7">
        <f t="shared" si="14"/>
        <v>-4.6630534383457541E-11</v>
      </c>
      <c r="AK54" s="7">
        <f t="shared" si="15"/>
        <v>3.0517578125E-5</v>
      </c>
    </row>
    <row r="55" spans="28:37" x14ac:dyDescent="0.2">
      <c r="AB55" s="7">
        <v>16</v>
      </c>
      <c r="AC55" s="7">
        <f t="shared" si="16"/>
        <v>4.39300537109375E-2</v>
      </c>
      <c r="AD55" s="7">
        <f t="shared" si="9"/>
        <v>1.1234791633230046E-5</v>
      </c>
      <c r="AE55" s="7">
        <f t="shared" si="17"/>
        <v>4.39453125E-2</v>
      </c>
      <c r="AF55" s="7">
        <f t="shared" si="10"/>
        <v>-4.150547327066989E-6</v>
      </c>
      <c r="AG55" s="7">
        <f t="shared" si="12"/>
        <v>4.393768310546875E-2</v>
      </c>
      <c r="AH55" s="7">
        <f t="shared" si="11"/>
        <v>3.5421273005611931E-6</v>
      </c>
      <c r="AI55" s="7">
        <f t="shared" si="13"/>
        <v>3.9795062160180618E-11</v>
      </c>
      <c r="AJ55" s="7">
        <f t="shared" si="14"/>
        <v>-1.4701766999475271E-11</v>
      </c>
      <c r="AK55" s="7">
        <f t="shared" si="15"/>
        <v>1.52587890625E-5</v>
      </c>
    </row>
    <row r="56" spans="28:37" x14ac:dyDescent="0.2">
      <c r="AB56" s="7">
        <v>17</v>
      </c>
      <c r="AC56" s="7">
        <f t="shared" si="16"/>
        <v>4.393768310546875E-2</v>
      </c>
      <c r="AD56" s="7">
        <f t="shared" si="9"/>
        <v>3.5421273005611931E-6</v>
      </c>
      <c r="AE56" s="7">
        <f t="shared" si="17"/>
        <v>4.39453125E-2</v>
      </c>
      <c r="AF56" s="7">
        <f t="shared" si="10"/>
        <v>-4.150547327066989E-6</v>
      </c>
      <c r="AG56" s="7">
        <f t="shared" si="12"/>
        <v>4.3941497802734375E-2</v>
      </c>
      <c r="AH56" s="7">
        <f t="shared" si="11"/>
        <v>-3.0420872640379848E-7</v>
      </c>
      <c r="AI56" s="7">
        <f t="shared" si="13"/>
        <v>-1.0775460348638452E-12</v>
      </c>
      <c r="AJ56" s="7">
        <f t="shared" si="14"/>
        <v>1.2626327162457388E-12</v>
      </c>
      <c r="AK56" s="7">
        <f t="shared" si="15"/>
        <v>7.62939453125E-6</v>
      </c>
    </row>
    <row r="57" spans="28:37" x14ac:dyDescent="0.2">
      <c r="AB57" s="7">
        <v>18</v>
      </c>
      <c r="AC57" s="7">
        <f t="shared" si="16"/>
        <v>4.393768310546875E-2</v>
      </c>
      <c r="AD57" s="7">
        <f t="shared" si="9"/>
        <v>3.5421273005611931E-6</v>
      </c>
      <c r="AE57" s="7">
        <f t="shared" si="17"/>
        <v>4.3941497802734375E-2</v>
      </c>
      <c r="AF57" s="7">
        <f t="shared" si="10"/>
        <v>-3.0420872640379848E-7</v>
      </c>
      <c r="AG57" s="7">
        <f t="shared" si="12"/>
        <v>4.3939590454101562E-2</v>
      </c>
      <c r="AH57" s="7">
        <f t="shared" si="11"/>
        <v>1.6189596087970437E-6</v>
      </c>
      <c r="AI57" s="7">
        <f t="shared" si="13"/>
        <v>5.7345610288258779E-12</v>
      </c>
      <c r="AJ57" s="7">
        <f t="shared" si="14"/>
        <v>-4.9250164069134046E-13</v>
      </c>
      <c r="AK57" s="7">
        <f t="shared" si="15"/>
        <v>3.814697265625E-6</v>
      </c>
    </row>
    <row r="58" spans="28:37" x14ac:dyDescent="0.2">
      <c r="AB58" s="7">
        <v>19</v>
      </c>
      <c r="AC58" s="7">
        <f t="shared" si="16"/>
        <v>4.3939590454101562E-2</v>
      </c>
      <c r="AD58" s="7">
        <f t="shared" si="9"/>
        <v>1.6189596087970437E-6</v>
      </c>
      <c r="AE58" s="7">
        <f t="shared" si="17"/>
        <v>4.3941497802734375E-2</v>
      </c>
      <c r="AF58" s="7">
        <f t="shared" si="10"/>
        <v>-3.0420872640379848E-7</v>
      </c>
      <c r="AG58" s="7">
        <f t="shared" si="12"/>
        <v>4.3940544128417969E-2</v>
      </c>
      <c r="AH58" s="7">
        <f t="shared" si="11"/>
        <v>6.573755216288113E-7</v>
      </c>
      <c r="AI58" s="7">
        <f t="shared" si="13"/>
        <v>1.0642644173289329E-12</v>
      </c>
      <c r="AJ58" s="7">
        <f t="shared" si="14"/>
        <v>-1.9997937020373336E-13</v>
      </c>
      <c r="AK58" s="7">
        <f t="shared" si="15"/>
        <v>1.9073486328125E-6</v>
      </c>
    </row>
    <row r="59" spans="28:37" x14ac:dyDescent="0.2">
      <c r="AB59" s="7">
        <v>20</v>
      </c>
      <c r="AC59" s="7">
        <f t="shared" si="16"/>
        <v>4.3940544128417969E-2</v>
      </c>
      <c r="AD59" s="7">
        <f t="shared" si="9"/>
        <v>6.573755216288113E-7</v>
      </c>
      <c r="AE59" s="7">
        <f t="shared" si="17"/>
        <v>4.3941497802734375E-2</v>
      </c>
      <c r="AF59" s="7">
        <f t="shared" si="10"/>
        <v>-3.0420872640379848E-7</v>
      </c>
      <c r="AG59" s="7">
        <f t="shared" si="12"/>
        <v>4.3941020965576172E-2</v>
      </c>
      <c r="AH59" s="7">
        <f t="shared" si="11"/>
        <v>1.7658341772142094E-7</v>
      </c>
      <c r="AI59" s="7">
        <f t="shared" si="13"/>
        <v>1.1608161633561738E-13</v>
      </c>
      <c r="AJ59" s="7">
        <f t="shared" si="14"/>
        <v>-5.3718216609063402E-14</v>
      </c>
      <c r="AK59" s="7">
        <f t="shared" si="15"/>
        <v>9.5367431640625E-7</v>
      </c>
    </row>
    <row r="60" spans="28:37" x14ac:dyDescent="0.2">
      <c r="AB60" s="7">
        <v>21</v>
      </c>
      <c r="AC60" s="7">
        <f t="shared" si="16"/>
        <v>4.3941020965576172E-2</v>
      </c>
      <c r="AD60" s="7">
        <f t="shared" si="9"/>
        <v>1.7658341772142094E-7</v>
      </c>
      <c r="AE60" s="7">
        <f t="shared" si="17"/>
        <v>4.3941497802734375E-2</v>
      </c>
      <c r="AF60" s="7">
        <f t="shared" si="10"/>
        <v>-3.0420872640379848E-7</v>
      </c>
      <c r="AG60" s="7">
        <f t="shared" si="12"/>
        <v>4.3941259384155273E-2</v>
      </c>
      <c r="AH60" s="7">
        <f t="shared" si="11"/>
        <v>-6.3812649317429582E-8</v>
      </c>
      <c r="AI60" s="7">
        <f t="shared" si="13"/>
        <v>-1.1268255710330215E-14</v>
      </c>
      <c r="AJ60" s="7">
        <f t="shared" si="14"/>
        <v>1.9412364777307472E-14</v>
      </c>
      <c r="AK60" s="7">
        <f t="shared" si="15"/>
        <v>4.76837158203125E-7</v>
      </c>
    </row>
    <row r="61" spans="28:37" x14ac:dyDescent="0.2">
      <c r="AB61" s="7">
        <v>22</v>
      </c>
      <c r="AC61" s="7">
        <f t="shared" si="16"/>
        <v>4.3941020965576172E-2</v>
      </c>
      <c r="AD61" s="7">
        <f t="shared" si="9"/>
        <v>1.7658341772142094E-7</v>
      </c>
      <c r="AE61" s="7">
        <f t="shared" si="17"/>
        <v>4.3941259384155273E-2</v>
      </c>
      <c r="AF61" s="7">
        <f t="shared" si="10"/>
        <v>-6.3812649317429582E-8</v>
      </c>
      <c r="AG61" s="7">
        <f t="shared" si="12"/>
        <v>4.3941140174865723E-2</v>
      </c>
      <c r="AH61" s="7">
        <f t="shared" si="11"/>
        <v>5.6385385457935477E-8</v>
      </c>
      <c r="AI61" s="7">
        <f t="shared" si="13"/>
        <v>9.9567240737019545E-15</v>
      </c>
      <c r="AJ61" s="7">
        <f t="shared" si="14"/>
        <v>-3.5981008288553302E-15</v>
      </c>
      <c r="AK61" s="7">
        <f t="shared" si="15"/>
        <v>2.384185791015625E-7</v>
      </c>
    </row>
    <row r="62" spans="28:37" x14ac:dyDescent="0.2">
      <c r="AB62" s="7">
        <v>23</v>
      </c>
      <c r="AC62" s="7">
        <f t="shared" si="16"/>
        <v>4.3941140174865723E-2</v>
      </c>
      <c r="AD62" s="7">
        <f t="shared" si="9"/>
        <v>5.6385385457935477E-8</v>
      </c>
      <c r="AE62" s="7">
        <f t="shared" si="17"/>
        <v>4.3941259384155273E-2</v>
      </c>
      <c r="AF62" s="7">
        <f t="shared" si="10"/>
        <v>-6.3812649317429582E-8</v>
      </c>
      <c r="AG62" s="7">
        <f t="shared" si="12"/>
        <v>4.3941199779510498E-2</v>
      </c>
      <c r="AH62" s="7">
        <f t="shared" si="11"/>
        <v>-3.7136316105579326E-9</v>
      </c>
      <c r="AI62" s="7">
        <f t="shared" si="13"/>
        <v>-2.0939454981008275E-16</v>
      </c>
      <c r="AJ62" s="7">
        <f t="shared" si="14"/>
        <v>2.3697667165865457E-16</v>
      </c>
      <c r="AK62" s="7">
        <f t="shared" si="15"/>
        <v>1.1920928955078125E-7</v>
      </c>
    </row>
    <row r="63" spans="28:37" x14ac:dyDescent="0.2">
      <c r="AB63" s="7">
        <v>24</v>
      </c>
      <c r="AC63" s="7">
        <f t="shared" si="16"/>
        <v>4.3941140174865723E-2</v>
      </c>
      <c r="AD63" s="7">
        <f t="shared" si="9"/>
        <v>5.6385385457935477E-8</v>
      </c>
      <c r="AE63" s="7">
        <f t="shared" si="17"/>
        <v>4.3941199779510498E-2</v>
      </c>
      <c r="AF63" s="7">
        <f t="shared" si="10"/>
        <v>-3.7136316105579326E-9</v>
      </c>
      <c r="AG63" s="7">
        <f t="shared" si="12"/>
        <v>4.394116997718811E-2</v>
      </c>
      <c r="AH63" s="7">
        <f t="shared" si="11"/>
        <v>2.6335877000016605E-8</v>
      </c>
      <c r="AI63" s="7">
        <f t="shared" si="13"/>
        <v>1.4849585760187137E-15</v>
      </c>
      <c r="AJ63" s="7">
        <f t="shared" si="14"/>
        <v>-9.7801745319027282E-17</v>
      </c>
      <c r="AK63" s="7">
        <f t="shared" si="15"/>
        <v>5.9604644775390625E-8</v>
      </c>
    </row>
    <row r="64" spans="28:37" x14ac:dyDescent="0.2">
      <c r="AB64" s="7">
        <v>25</v>
      </c>
      <c r="AC64" s="7">
        <f t="shared" si="16"/>
        <v>4.394116997718811E-2</v>
      </c>
      <c r="AD64" s="7">
        <f t="shared" si="9"/>
        <v>2.6335877000016605E-8</v>
      </c>
      <c r="AE64" s="7">
        <f t="shared" si="17"/>
        <v>4.3941199779510498E-2</v>
      </c>
      <c r="AF64" s="7">
        <f t="shared" si="10"/>
        <v>-3.7136316105579326E-9</v>
      </c>
      <c r="AG64" s="7">
        <f t="shared" si="12"/>
        <v>4.3941184878349304E-2</v>
      </c>
      <c r="AH64" s="7">
        <f t="shared" si="11"/>
        <v>1.1311122712076571E-8</v>
      </c>
      <c r="AI64" s="7">
        <f t="shared" si="13"/>
        <v>2.9788833647734281E-16</v>
      </c>
      <c r="AJ64" s="7">
        <f t="shared" si="14"/>
        <v>-4.2005342854467324E-17</v>
      </c>
      <c r="AK64" s="7">
        <f t="shared" si="15"/>
        <v>2.9802322387695312E-8</v>
      </c>
    </row>
    <row r="65" spans="28:37" x14ac:dyDescent="0.2">
      <c r="AB65" s="7">
        <v>26</v>
      </c>
      <c r="AC65" s="7">
        <f t="shared" si="16"/>
        <v>4.3941184878349304E-2</v>
      </c>
      <c r="AD65" s="7">
        <f t="shared" si="9"/>
        <v>1.1311122712076571E-8</v>
      </c>
      <c r="AE65" s="7">
        <f t="shared" si="17"/>
        <v>4.3941199779510498E-2</v>
      </c>
      <c r="AF65" s="7">
        <f t="shared" si="10"/>
        <v>-3.7136316105579326E-9</v>
      </c>
      <c r="AG65" s="7">
        <f t="shared" si="12"/>
        <v>4.3941192328929901E-2</v>
      </c>
      <c r="AH65" s="7">
        <f t="shared" si="11"/>
        <v>3.7987455542287663E-9</v>
      </c>
      <c r="AI65" s="7">
        <f t="shared" si="13"/>
        <v>4.2968077115836898E-17</v>
      </c>
      <c r="AJ65" s="7">
        <f t="shared" si="14"/>
        <v>-1.410714157065036E-17</v>
      </c>
      <c r="AK65" s="7">
        <f t="shared" si="15"/>
        <v>1.4901161193847656E-8</v>
      </c>
    </row>
    <row r="66" spans="28:37" x14ac:dyDescent="0.2">
      <c r="AB66" s="7">
        <v>27</v>
      </c>
      <c r="AC66" s="7">
        <f t="shared" si="16"/>
        <v>4.3941192328929901E-2</v>
      </c>
      <c r="AD66" s="7">
        <f t="shared" si="9"/>
        <v>3.7987455542287663E-9</v>
      </c>
      <c r="AE66" s="7">
        <f t="shared" si="17"/>
        <v>4.3941199779510498E-2</v>
      </c>
      <c r="AF66" s="7">
        <f t="shared" si="10"/>
        <v>-3.7136316105579326E-9</v>
      </c>
      <c r="AG66" s="7">
        <f t="shared" si="12"/>
        <v>4.39411960542202E-2</v>
      </c>
      <c r="AH66" s="7">
        <f t="shared" si="11"/>
        <v>4.2556971835416846E-11</v>
      </c>
      <c r="AI66" s="7">
        <f t="shared" si="13"/>
        <v>1.6166310756122856E-19</v>
      </c>
      <c r="AJ66" s="7">
        <f t="shared" si="14"/>
        <v>-1.5804091585762764E-19</v>
      </c>
      <c r="AK66" s="7">
        <f t="shared" si="15"/>
        <v>7.4505805969238281E-9</v>
      </c>
    </row>
    <row r="67" spans="28:37" x14ac:dyDescent="0.2">
      <c r="AB67" s="7">
        <v>28</v>
      </c>
      <c r="AC67" s="7">
        <f t="shared" si="16"/>
        <v>4.39411960542202E-2</v>
      </c>
      <c r="AD67" s="7">
        <f t="shared" si="9"/>
        <v>4.2556971835416846E-11</v>
      </c>
      <c r="AE67" s="7">
        <f t="shared" si="17"/>
        <v>4.3941199779510498E-2</v>
      </c>
      <c r="AF67" s="7">
        <f t="shared" si="10"/>
        <v>-3.7136316105579326E-9</v>
      </c>
      <c r="AG67" s="7">
        <f t="shared" si="12"/>
        <v>4.3941197916865349E-2</v>
      </c>
      <c r="AH67" s="7">
        <f t="shared" si="11"/>
        <v>-1.8355373193612579E-9</v>
      </c>
      <c r="AI67" s="7">
        <f t="shared" si="13"/>
        <v>-7.8114910002913587E-20</v>
      </c>
      <c r="AJ67" s="7">
        <f t="shared" si="14"/>
        <v>6.816509411538738E-18</v>
      </c>
      <c r="AK67" s="7">
        <f t="shared" si="15"/>
        <v>3.7252902984619141E-9</v>
      </c>
    </row>
    <row r="68" spans="28:37" x14ac:dyDescent="0.2">
      <c r="AB68" s="7">
        <v>29</v>
      </c>
      <c r="AC68" s="7">
        <f t="shared" si="16"/>
        <v>4.39411960542202E-2</v>
      </c>
      <c r="AD68" s="7">
        <f t="shared" si="9"/>
        <v>4.2556971835416846E-11</v>
      </c>
      <c r="AE68" s="7">
        <f t="shared" si="17"/>
        <v>4.3941197916865349E-2</v>
      </c>
      <c r="AF68" s="7">
        <f t="shared" si="10"/>
        <v>-1.8355373193612579E-9</v>
      </c>
      <c r="AG68" s="7">
        <f t="shared" si="12"/>
        <v>4.3941196985542774E-2</v>
      </c>
      <c r="AH68" s="7">
        <f t="shared" si="11"/>
        <v>-8.9649017376292051E-10</v>
      </c>
      <c r="AI68" s="7">
        <f t="shared" si="13"/>
        <v>-3.8151907075556562E-20</v>
      </c>
      <c r="AJ68" s="7">
        <f t="shared" si="14"/>
        <v>1.6455411703824994E-18</v>
      </c>
      <c r="AK68" s="7">
        <f t="shared" si="15"/>
        <v>1.862645149230957E-9</v>
      </c>
    </row>
    <row r="69" spans="28:37" x14ac:dyDescent="0.2">
      <c r="AB69" s="7">
        <v>30</v>
      </c>
      <c r="AC69" s="7">
        <f t="shared" si="16"/>
        <v>4.39411960542202E-2</v>
      </c>
      <c r="AD69" s="7">
        <f t="shared" si="9"/>
        <v>4.2556971835416846E-11</v>
      </c>
      <c r="AE69" s="7">
        <f t="shared" si="17"/>
        <v>4.3941196985542774E-2</v>
      </c>
      <c r="AF69" s="7">
        <f t="shared" si="10"/>
        <v>-8.9649017376292051E-10</v>
      </c>
      <c r="AG69" s="7">
        <f t="shared" si="12"/>
        <v>4.3941196519881487E-2</v>
      </c>
      <c r="AH69" s="7">
        <f t="shared" si="11"/>
        <v>-4.2696660096375183E-10</v>
      </c>
      <c r="AI69" s="7">
        <f t="shared" si="13"/>
        <v>-1.817040561187805E-20</v>
      </c>
      <c r="AJ69" s="7">
        <f t="shared" si="14"/>
        <v>3.8277136228895742E-19</v>
      </c>
      <c r="AK69" s="7">
        <f t="shared" si="15"/>
        <v>9.3132257461547852E-10</v>
      </c>
    </row>
    <row r="72" spans="28:37" x14ac:dyDescent="0.2">
      <c r="AB72" s="12" t="s">
        <v>121</v>
      </c>
    </row>
    <row r="73" spans="28:37" x14ac:dyDescent="0.2">
      <c r="AB73" s="14" t="s">
        <v>63</v>
      </c>
      <c r="AC73" s="14" t="s">
        <v>64</v>
      </c>
      <c r="AD73" s="14" t="s">
        <v>65</v>
      </c>
      <c r="AE73" s="14" t="s">
        <v>66</v>
      </c>
      <c r="AF73" s="14" t="s">
        <v>67</v>
      </c>
      <c r="AG73" s="14" t="s">
        <v>68</v>
      </c>
      <c r="AH73" s="14" t="s">
        <v>69</v>
      </c>
      <c r="AI73" s="14" t="s">
        <v>70</v>
      </c>
      <c r="AJ73" s="14" t="s">
        <v>71</v>
      </c>
      <c r="AK73" s="14" t="s">
        <v>72</v>
      </c>
    </row>
    <row r="74" spans="28:37" x14ac:dyDescent="0.2">
      <c r="AB74" s="7">
        <v>0</v>
      </c>
      <c r="AC74" s="8">
        <v>0</v>
      </c>
      <c r="AD74" s="7">
        <f t="shared" ref="AD74:AD104" si="18" xml:space="preserve"> $C$18 * TAN($W$16/180*PI()) + $W$19 / (2 * SQRT($C$18^2 + AC74^2)) - AC74</f>
        <v>1.9520103856136343E-2</v>
      </c>
      <c r="AE74" s="8">
        <v>1</v>
      </c>
      <c r="AF74" s="7">
        <f t="shared" ref="AF74:AF104" si="19" xml:space="preserve"> $C$18 * TAN($W$16/180*PI()) + $W$19 / (2 * SQRT($C$18^2 + AE74^2)) - AE74</f>
        <v>-0.99284354754816584</v>
      </c>
      <c r="AG74" s="7">
        <f xml:space="preserve"> (AC74 + AE74)/2</f>
        <v>0.5</v>
      </c>
      <c r="AH74" s="7">
        <f t="shared" ref="AH74:AH104" si="20" xml:space="preserve"> $C$18 * TAN($W$16/180*PI()) + $W$19 / (2 * SQRT($C$18^2 + AG74^2)) - AG74</f>
        <v>-0.48890280700546046</v>
      </c>
      <c r="AI74" s="7">
        <f>AD74*AH74</f>
        <v>-9.5434335683031706E-3</v>
      </c>
      <c r="AJ74" s="7">
        <f>AF74*AH74</f>
        <v>0.48540399731355766</v>
      </c>
      <c r="AK74" s="7">
        <f>AE74-AC74</f>
        <v>1</v>
      </c>
    </row>
    <row r="75" spans="28:37" x14ac:dyDescent="0.2">
      <c r="AB75" s="7">
        <v>1</v>
      </c>
      <c r="AC75" s="7">
        <f>IF(AI74&gt;0, AG74, AC74)</f>
        <v>0</v>
      </c>
      <c r="AD75" s="7">
        <f t="shared" si="18"/>
        <v>1.9520103856136343E-2</v>
      </c>
      <c r="AE75" s="7">
        <f>IF(AJ74&gt;0, AG74, AE74)</f>
        <v>0.5</v>
      </c>
      <c r="AF75" s="7">
        <f t="shared" si="19"/>
        <v>-0.48890280700546046</v>
      </c>
      <c r="AG75" s="7">
        <f t="shared" ref="AG75:AG104" si="21" xml:space="preserve"> (AC75 + AE75)/2</f>
        <v>0.25</v>
      </c>
      <c r="AH75" s="7">
        <f t="shared" si="20"/>
        <v>-0.23450097633706649</v>
      </c>
      <c r="AI75" s="7">
        <f t="shared" ref="AI75:AI104" si="22">AD75*AH75</f>
        <v>-4.5774834124649088E-3</v>
      </c>
      <c r="AJ75" s="7">
        <f t="shared" ref="AJ75:AJ104" si="23">AF75*AH75</f>
        <v>0.11464818557671287</v>
      </c>
      <c r="AK75" s="7">
        <f t="shared" ref="AK75:AK104" si="24">AE75-AC75</f>
        <v>0.5</v>
      </c>
    </row>
    <row r="76" spans="28:37" x14ac:dyDescent="0.2">
      <c r="AB76" s="7">
        <v>2</v>
      </c>
      <c r="AC76" s="7">
        <f t="shared" ref="AC76:AC104" si="25">IF(AI75&gt;0, AG75, AC75)</f>
        <v>0</v>
      </c>
      <c r="AD76" s="7">
        <f t="shared" si="18"/>
        <v>1.9520103856136343E-2</v>
      </c>
      <c r="AE76" s="7">
        <f t="shared" ref="AE76:AE104" si="26">IF(AJ75&gt;0, AG75, AE75)</f>
        <v>0.25</v>
      </c>
      <c r="AF76" s="7">
        <f t="shared" si="19"/>
        <v>-0.23450097633706649</v>
      </c>
      <c r="AG76" s="7">
        <f t="shared" si="21"/>
        <v>0.125</v>
      </c>
      <c r="AH76" s="7">
        <f t="shared" si="20"/>
        <v>-0.10681441840060185</v>
      </c>
      <c r="AI76" s="7">
        <f t="shared" si="22"/>
        <v>-2.0850285405125488E-3</v>
      </c>
      <c r="AJ76" s="7">
        <f t="shared" si="23"/>
        <v>2.5048085401817053E-2</v>
      </c>
      <c r="AK76" s="7">
        <f t="shared" si="24"/>
        <v>0.25</v>
      </c>
    </row>
    <row r="77" spans="28:37" x14ac:dyDescent="0.2">
      <c r="AB77" s="7">
        <v>3</v>
      </c>
      <c r="AC77" s="7">
        <f t="shared" si="25"/>
        <v>0</v>
      </c>
      <c r="AD77" s="7">
        <f t="shared" si="18"/>
        <v>1.9520103856136343E-2</v>
      </c>
      <c r="AE77" s="7">
        <f t="shared" si="26"/>
        <v>0.125</v>
      </c>
      <c r="AF77" s="7">
        <f t="shared" si="19"/>
        <v>-0.10681441840060185</v>
      </c>
      <c r="AG77" s="7">
        <f t="shared" si="21"/>
        <v>6.25E-2</v>
      </c>
      <c r="AH77" s="7">
        <f t="shared" si="20"/>
        <v>-4.3344560413800651E-2</v>
      </c>
      <c r="AI77" s="7">
        <f t="shared" si="22"/>
        <v>-8.4609032087596477E-4</v>
      </c>
      <c r="AJ77" s="7">
        <f t="shared" si="23"/>
        <v>4.6298240114298669E-3</v>
      </c>
      <c r="AK77" s="7">
        <f t="shared" si="24"/>
        <v>0.125</v>
      </c>
    </row>
    <row r="78" spans="28:37" x14ac:dyDescent="0.2">
      <c r="AB78" s="7">
        <v>4</v>
      </c>
      <c r="AC78" s="7">
        <f t="shared" si="25"/>
        <v>0</v>
      </c>
      <c r="AD78" s="7">
        <f t="shared" si="18"/>
        <v>1.9520103856136343E-2</v>
      </c>
      <c r="AE78" s="7">
        <f t="shared" si="26"/>
        <v>6.25E-2</v>
      </c>
      <c r="AF78" s="7">
        <f t="shared" si="19"/>
        <v>-4.3344560413800651E-2</v>
      </c>
      <c r="AG78" s="7">
        <f t="shared" si="21"/>
        <v>3.125E-2</v>
      </c>
      <c r="AH78" s="7">
        <f t="shared" si="20"/>
        <v>-1.1823260234318636E-2</v>
      </c>
      <c r="AI78" s="7">
        <f t="shared" si="22"/>
        <v>-2.3079126769202669E-4</v>
      </c>
      <c r="AJ78" s="7">
        <f t="shared" si="23"/>
        <v>5.1247401751451096E-4</v>
      </c>
      <c r="AK78" s="7">
        <f t="shared" si="24"/>
        <v>6.25E-2</v>
      </c>
    </row>
    <row r="79" spans="28:37" x14ac:dyDescent="0.2">
      <c r="AB79" s="7">
        <v>5</v>
      </c>
      <c r="AC79" s="7">
        <f t="shared" si="25"/>
        <v>0</v>
      </c>
      <c r="AD79" s="7">
        <f t="shared" si="18"/>
        <v>1.9520103856136343E-2</v>
      </c>
      <c r="AE79" s="7">
        <f t="shared" si="26"/>
        <v>3.125E-2</v>
      </c>
      <c r="AF79" s="7">
        <f t="shared" si="19"/>
        <v>-1.1823260234318636E-2</v>
      </c>
      <c r="AG79" s="7">
        <f t="shared" si="21"/>
        <v>1.5625E-2</v>
      </c>
      <c r="AH79" s="7">
        <f t="shared" si="20"/>
        <v>3.8716208201993382E-3</v>
      </c>
      <c r="AI79" s="7">
        <f t="shared" si="22"/>
        <v>7.5574440501870852E-5</v>
      </c>
      <c r="AJ79" s="7">
        <f t="shared" si="23"/>
        <v>-4.5775180485822937E-5</v>
      </c>
      <c r="AK79" s="7">
        <f t="shared" si="24"/>
        <v>3.125E-2</v>
      </c>
    </row>
    <row r="80" spans="28:37" x14ac:dyDescent="0.2">
      <c r="AB80" s="7">
        <v>6</v>
      </c>
      <c r="AC80" s="7">
        <f t="shared" si="25"/>
        <v>1.5625E-2</v>
      </c>
      <c r="AD80" s="7">
        <f t="shared" si="18"/>
        <v>3.8716208201993382E-3</v>
      </c>
      <c r="AE80" s="7">
        <f t="shared" si="26"/>
        <v>3.125E-2</v>
      </c>
      <c r="AF80" s="7">
        <f t="shared" si="19"/>
        <v>-1.1823260234318636E-2</v>
      </c>
      <c r="AG80" s="7">
        <f t="shared" si="21"/>
        <v>2.34375E-2</v>
      </c>
      <c r="AH80" s="7">
        <f t="shared" si="20"/>
        <v>-3.970099313633027E-3</v>
      </c>
      <c r="AI80" s="7">
        <f t="shared" si="22"/>
        <v>-1.5370719160920729E-5</v>
      </c>
      <c r="AJ80" s="7">
        <f t="shared" si="23"/>
        <v>4.693951734117308E-5</v>
      </c>
      <c r="AK80" s="7">
        <f t="shared" si="24"/>
        <v>1.5625E-2</v>
      </c>
    </row>
    <row r="81" spans="28:37" x14ac:dyDescent="0.2">
      <c r="AB81" s="7">
        <v>7</v>
      </c>
      <c r="AC81" s="7">
        <f t="shared" si="25"/>
        <v>1.5625E-2</v>
      </c>
      <c r="AD81" s="7">
        <f t="shared" si="18"/>
        <v>3.8716208201993382E-3</v>
      </c>
      <c r="AE81" s="7">
        <f t="shared" si="26"/>
        <v>2.34375E-2</v>
      </c>
      <c r="AF81" s="7">
        <f t="shared" si="19"/>
        <v>-3.970099313633027E-3</v>
      </c>
      <c r="AG81" s="7">
        <f t="shared" si="21"/>
        <v>1.953125E-2</v>
      </c>
      <c r="AH81" s="7">
        <f t="shared" si="20"/>
        <v>-4.779655377359221E-5</v>
      </c>
      <c r="AI81" s="7">
        <f t="shared" si="22"/>
        <v>-1.8505013272361684E-7</v>
      </c>
      <c r="AJ81" s="7">
        <f t="shared" si="23"/>
        <v>1.8975706533056249E-7</v>
      </c>
      <c r="AK81" s="7">
        <f t="shared" si="24"/>
        <v>7.8125E-3</v>
      </c>
    </row>
    <row r="82" spans="28:37" x14ac:dyDescent="0.2">
      <c r="AB82" s="7">
        <v>8</v>
      </c>
      <c r="AC82" s="7">
        <f t="shared" si="25"/>
        <v>1.5625E-2</v>
      </c>
      <c r="AD82" s="7">
        <f t="shared" si="18"/>
        <v>3.8716208201993382E-3</v>
      </c>
      <c r="AE82" s="7">
        <f t="shared" si="26"/>
        <v>1.953125E-2</v>
      </c>
      <c r="AF82" s="7">
        <f t="shared" si="19"/>
        <v>-4.779655377359221E-5</v>
      </c>
      <c r="AG82" s="7">
        <f t="shared" si="21"/>
        <v>1.7578125E-2</v>
      </c>
      <c r="AH82" s="7">
        <f t="shared" si="20"/>
        <v>1.9122741508881061E-3</v>
      </c>
      <c r="AI82" s="7">
        <f t="shared" si="22"/>
        <v>7.4036004165074028E-6</v>
      </c>
      <c r="AJ82" s="7">
        <f t="shared" si="23"/>
        <v>-9.1400114282773745E-8</v>
      </c>
      <c r="AK82" s="7">
        <f t="shared" si="24"/>
        <v>3.90625E-3</v>
      </c>
    </row>
    <row r="83" spans="28:37" x14ac:dyDescent="0.2">
      <c r="AB83" s="7">
        <v>9</v>
      </c>
      <c r="AC83" s="7">
        <f t="shared" si="25"/>
        <v>1.7578125E-2</v>
      </c>
      <c r="AD83" s="7">
        <f t="shared" si="18"/>
        <v>1.9122741508881061E-3</v>
      </c>
      <c r="AE83" s="7">
        <f t="shared" si="26"/>
        <v>1.953125E-2</v>
      </c>
      <c r="AF83" s="7">
        <f t="shared" si="19"/>
        <v>-4.779655377359221E-5</v>
      </c>
      <c r="AG83" s="7">
        <f t="shared" si="21"/>
        <v>1.85546875E-2</v>
      </c>
      <c r="AH83" s="7">
        <f t="shared" si="20"/>
        <v>9.32329145339552E-4</v>
      </c>
      <c r="AI83" s="7">
        <f t="shared" si="22"/>
        <v>1.7828689247524256E-6</v>
      </c>
      <c r="AJ83" s="7">
        <f t="shared" si="23"/>
        <v>-4.4562120129909163E-8</v>
      </c>
      <c r="AK83" s="7">
        <f t="shared" si="24"/>
        <v>1.953125E-3</v>
      </c>
    </row>
    <row r="84" spans="28:37" x14ac:dyDescent="0.2">
      <c r="AB84" s="7">
        <v>10</v>
      </c>
      <c r="AC84" s="7">
        <f t="shared" si="25"/>
        <v>1.85546875E-2</v>
      </c>
      <c r="AD84" s="7">
        <f t="shared" si="18"/>
        <v>9.32329145339552E-4</v>
      </c>
      <c r="AE84" s="7">
        <f t="shared" si="26"/>
        <v>1.953125E-2</v>
      </c>
      <c r="AF84" s="7">
        <f t="shared" si="19"/>
        <v>-4.779655377359221E-5</v>
      </c>
      <c r="AG84" s="7">
        <f t="shared" si="21"/>
        <v>1.904296875E-2</v>
      </c>
      <c r="AH84" s="7">
        <f t="shared" si="20"/>
        <v>4.4228886185808045E-4</v>
      </c>
      <c r="AI84" s="7">
        <f t="shared" si="22"/>
        <v>4.1235879656934733E-7</v>
      </c>
      <c r="AJ84" s="7">
        <f t="shared" si="23"/>
        <v>-2.1139883369260637E-8</v>
      </c>
      <c r="AK84" s="7">
        <f t="shared" si="24"/>
        <v>9.765625E-4</v>
      </c>
    </row>
    <row r="85" spans="28:37" x14ac:dyDescent="0.2">
      <c r="AB85" s="7">
        <v>11</v>
      </c>
      <c r="AC85" s="7">
        <f t="shared" si="25"/>
        <v>1.904296875E-2</v>
      </c>
      <c r="AD85" s="7">
        <f t="shared" si="18"/>
        <v>4.4228886185808045E-4</v>
      </c>
      <c r="AE85" s="7">
        <f t="shared" si="26"/>
        <v>1.953125E-2</v>
      </c>
      <c r="AF85" s="7">
        <f t="shared" si="19"/>
        <v>-4.779655377359221E-5</v>
      </c>
      <c r="AG85" s="7">
        <f t="shared" si="21"/>
        <v>1.9287109375E-2</v>
      </c>
      <c r="AH85" s="7">
        <f t="shared" si="20"/>
        <v>1.9725179292643183E-4</v>
      </c>
      <c r="AI85" s="7">
        <f t="shared" si="22"/>
        <v>8.7242270992897296E-8</v>
      </c>
      <c r="AJ85" s="7">
        <f t="shared" si="23"/>
        <v>-9.4279559275456745E-9</v>
      </c>
      <c r="AK85" s="7">
        <f t="shared" si="24"/>
        <v>4.8828125E-4</v>
      </c>
    </row>
    <row r="86" spans="28:37" x14ac:dyDescent="0.2">
      <c r="AB86" s="7">
        <v>12</v>
      </c>
      <c r="AC86" s="7">
        <f t="shared" si="25"/>
        <v>1.9287109375E-2</v>
      </c>
      <c r="AD86" s="7">
        <f t="shared" si="18"/>
        <v>1.9725179292643183E-4</v>
      </c>
      <c r="AE86" s="7">
        <f t="shared" si="26"/>
        <v>1.953125E-2</v>
      </c>
      <c r="AF86" s="7">
        <f t="shared" si="19"/>
        <v>-4.779655377359221E-5</v>
      </c>
      <c r="AG86" s="7">
        <f t="shared" si="21"/>
        <v>1.94091796875E-2</v>
      </c>
      <c r="AH86" s="7">
        <f t="shared" si="20"/>
        <v>7.4729028964586747E-5</v>
      </c>
      <c r="AI86" s="7">
        <f t="shared" si="22"/>
        <v>1.4740434946915992E-8</v>
      </c>
      <c r="AJ86" s="7">
        <f t="shared" si="23"/>
        <v>-3.5717900513542003E-9</v>
      </c>
      <c r="AK86" s="7">
        <f t="shared" si="24"/>
        <v>2.44140625E-4</v>
      </c>
    </row>
    <row r="87" spans="28:37" x14ac:dyDescent="0.2">
      <c r="AB87" s="7">
        <v>13</v>
      </c>
      <c r="AC87" s="7">
        <f t="shared" si="25"/>
        <v>1.94091796875E-2</v>
      </c>
      <c r="AD87" s="7">
        <f t="shared" si="18"/>
        <v>7.4729028964586747E-5</v>
      </c>
      <c r="AE87" s="7">
        <f t="shared" si="26"/>
        <v>1.953125E-2</v>
      </c>
      <c r="AF87" s="7">
        <f t="shared" si="19"/>
        <v>-4.779655377359221E-5</v>
      </c>
      <c r="AG87" s="7">
        <f t="shared" si="21"/>
        <v>1.947021484375E-2</v>
      </c>
      <c r="AH87" s="7">
        <f t="shared" si="20"/>
        <v>1.3466589900704845E-5</v>
      </c>
      <c r="AI87" s="7">
        <f t="shared" si="22"/>
        <v>1.0063451867439837E-9</v>
      </c>
      <c r="AJ87" s="7">
        <f t="shared" si="23"/>
        <v>-6.4365658833595294E-10</v>
      </c>
      <c r="AK87" s="7">
        <f t="shared" si="24"/>
        <v>1.220703125E-4</v>
      </c>
    </row>
    <row r="88" spans="28:37" x14ac:dyDescent="0.2">
      <c r="AB88" s="7">
        <v>14</v>
      </c>
      <c r="AC88" s="7">
        <f t="shared" si="25"/>
        <v>1.947021484375E-2</v>
      </c>
      <c r="AD88" s="7">
        <f t="shared" si="18"/>
        <v>1.3466589900704845E-5</v>
      </c>
      <c r="AE88" s="7">
        <f t="shared" si="26"/>
        <v>1.953125E-2</v>
      </c>
      <c r="AF88" s="7">
        <f t="shared" si="19"/>
        <v>-4.779655377359221E-5</v>
      </c>
      <c r="AG88" s="7">
        <f t="shared" si="21"/>
        <v>1.9500732421875E-2</v>
      </c>
      <c r="AH88" s="7">
        <f t="shared" si="20"/>
        <v>-1.7164893865381087E-5</v>
      </c>
      <c r="AI88" s="7">
        <f t="shared" si="22"/>
        <v>-2.311525863742115E-10</v>
      </c>
      <c r="AJ88" s="7">
        <f t="shared" si="23"/>
        <v>8.2042277265469016E-10</v>
      </c>
      <c r="AK88" s="7">
        <f t="shared" si="24"/>
        <v>6.103515625E-5</v>
      </c>
    </row>
    <row r="89" spans="28:37" x14ac:dyDescent="0.2">
      <c r="AB89" s="7">
        <v>15</v>
      </c>
      <c r="AC89" s="7">
        <f t="shared" si="25"/>
        <v>1.947021484375E-2</v>
      </c>
      <c r="AD89" s="7">
        <f t="shared" si="18"/>
        <v>1.3466589900704845E-5</v>
      </c>
      <c r="AE89" s="7">
        <f t="shared" si="26"/>
        <v>1.9500732421875E-2</v>
      </c>
      <c r="AF89" s="7">
        <f t="shared" si="19"/>
        <v>-1.7164893865381087E-5</v>
      </c>
      <c r="AG89" s="7">
        <f t="shared" si="21"/>
        <v>1.94854736328125E-2</v>
      </c>
      <c r="AH89" s="7">
        <f t="shared" si="20"/>
        <v>-1.8491299639163128E-6</v>
      </c>
      <c r="AI89" s="7">
        <f t="shared" si="22"/>
        <v>-2.4901474897166132E-11</v>
      </c>
      <c r="AJ89" s="7">
        <f t="shared" si="23"/>
        <v>3.174011957391947E-11</v>
      </c>
      <c r="AK89" s="7">
        <f t="shared" si="24"/>
        <v>3.0517578125E-5</v>
      </c>
    </row>
    <row r="90" spans="28:37" x14ac:dyDescent="0.2">
      <c r="AB90" s="7">
        <v>16</v>
      </c>
      <c r="AC90" s="7">
        <f t="shared" si="25"/>
        <v>1.947021484375E-2</v>
      </c>
      <c r="AD90" s="7">
        <f t="shared" si="18"/>
        <v>1.3466589900704845E-5</v>
      </c>
      <c r="AE90" s="7">
        <f t="shared" si="26"/>
        <v>1.94854736328125E-2</v>
      </c>
      <c r="AF90" s="7">
        <f t="shared" si="19"/>
        <v>-1.8491299639163128E-6</v>
      </c>
      <c r="AG90" s="7">
        <f t="shared" si="21"/>
        <v>1.947784423828125E-2</v>
      </c>
      <c r="AH90" s="7">
        <f t="shared" si="20"/>
        <v>5.8087354730812502E-6</v>
      </c>
      <c r="AI90" s="7">
        <f t="shared" si="22"/>
        <v>7.822385845766194E-11</v>
      </c>
      <c r="AJ90" s="7">
        <f t="shared" si="23"/>
        <v>-1.0741106815738138E-11</v>
      </c>
      <c r="AK90" s="7">
        <f t="shared" si="24"/>
        <v>1.52587890625E-5</v>
      </c>
    </row>
    <row r="91" spans="28:37" x14ac:dyDescent="0.2">
      <c r="AB91" s="7">
        <v>17</v>
      </c>
      <c r="AC91" s="7">
        <f t="shared" si="25"/>
        <v>1.947784423828125E-2</v>
      </c>
      <c r="AD91" s="7">
        <f t="shared" si="18"/>
        <v>5.8087354730812502E-6</v>
      </c>
      <c r="AE91" s="7">
        <f t="shared" si="26"/>
        <v>1.94854736328125E-2</v>
      </c>
      <c r="AF91" s="7">
        <f t="shared" si="19"/>
        <v>-1.8491299639163128E-6</v>
      </c>
      <c r="AG91" s="7">
        <f t="shared" si="21"/>
        <v>1.9481658935546875E-2</v>
      </c>
      <c r="AH91" s="7">
        <f t="shared" si="20"/>
        <v>1.9798041307438063E-6</v>
      </c>
      <c r="AI91" s="7">
        <f t="shared" si="22"/>
        <v>1.1500158484004337E-11</v>
      </c>
      <c r="AJ91" s="7">
        <f t="shared" si="23"/>
        <v>-3.6609151408436617E-12</v>
      </c>
      <c r="AK91" s="7">
        <f t="shared" si="24"/>
        <v>7.62939453125E-6</v>
      </c>
    </row>
    <row r="92" spans="28:37" x14ac:dyDescent="0.2">
      <c r="AB92" s="7">
        <v>18</v>
      </c>
      <c r="AC92" s="7">
        <f t="shared" si="25"/>
        <v>1.9481658935546875E-2</v>
      </c>
      <c r="AD92" s="7">
        <f t="shared" si="18"/>
        <v>1.9798041307438063E-6</v>
      </c>
      <c r="AE92" s="7">
        <f t="shared" si="26"/>
        <v>1.94854736328125E-2</v>
      </c>
      <c r="AF92" s="7">
        <f t="shared" si="19"/>
        <v>-1.8491299639163128E-6</v>
      </c>
      <c r="AG92" s="7">
        <f t="shared" si="21"/>
        <v>1.9483566284179688E-2</v>
      </c>
      <c r="AH92" s="7">
        <f t="shared" si="20"/>
        <v>6.5337427451045427E-8</v>
      </c>
      <c r="AI92" s="7">
        <f t="shared" si="22"/>
        <v>1.2935530875975351E-13</v>
      </c>
      <c r="AJ92" s="7">
        <f t="shared" si="23"/>
        <v>-1.2081739486493634E-13</v>
      </c>
      <c r="AK92" s="7">
        <f t="shared" si="24"/>
        <v>3.814697265625E-6</v>
      </c>
    </row>
    <row r="93" spans="28:37" x14ac:dyDescent="0.2">
      <c r="AB93" s="7">
        <v>19</v>
      </c>
      <c r="AC93" s="7">
        <f t="shared" si="25"/>
        <v>1.9483566284179688E-2</v>
      </c>
      <c r="AD93" s="7">
        <f t="shared" si="18"/>
        <v>6.5337427451045427E-8</v>
      </c>
      <c r="AE93" s="7">
        <f t="shared" si="26"/>
        <v>1.94854736328125E-2</v>
      </c>
      <c r="AF93" s="7">
        <f t="shared" si="19"/>
        <v>-1.8491299639163128E-6</v>
      </c>
      <c r="AG93" s="7">
        <f t="shared" si="21"/>
        <v>1.9484519958496094E-2</v>
      </c>
      <c r="AH93" s="7">
        <f t="shared" si="20"/>
        <v>-8.9189618222504374E-7</v>
      </c>
      <c r="AI93" s="7">
        <f t="shared" si="22"/>
        <v>-5.8274202099993182E-14</v>
      </c>
      <c r="AJ93" s="7">
        <f t="shared" si="23"/>
        <v>1.6492319552548922E-12</v>
      </c>
      <c r="AK93" s="7">
        <f t="shared" si="24"/>
        <v>1.9073486328125E-6</v>
      </c>
    </row>
    <row r="94" spans="28:37" x14ac:dyDescent="0.2">
      <c r="AB94" s="7">
        <v>20</v>
      </c>
      <c r="AC94" s="7">
        <f t="shared" si="25"/>
        <v>1.9483566284179688E-2</v>
      </c>
      <c r="AD94" s="7">
        <f t="shared" si="18"/>
        <v>6.5337427451045427E-8</v>
      </c>
      <c r="AE94" s="7">
        <f t="shared" si="26"/>
        <v>1.9484519958496094E-2</v>
      </c>
      <c r="AF94" s="7">
        <f t="shared" si="19"/>
        <v>-8.9189618222504374E-7</v>
      </c>
      <c r="AG94" s="7">
        <f t="shared" si="21"/>
        <v>1.9484043121337891E-2</v>
      </c>
      <c r="AH94" s="7">
        <f t="shared" si="20"/>
        <v>-4.1327935588336695E-7</v>
      </c>
      <c r="AI94" s="7">
        <f t="shared" si="22"/>
        <v>-2.7002609932044273E-14</v>
      </c>
      <c r="AJ94" s="7">
        <f t="shared" si="23"/>
        <v>3.6860227970480013E-13</v>
      </c>
      <c r="AK94" s="7">
        <f t="shared" si="24"/>
        <v>9.5367431640625E-7</v>
      </c>
    </row>
    <row r="95" spans="28:37" x14ac:dyDescent="0.2">
      <c r="AB95" s="7">
        <v>21</v>
      </c>
      <c r="AC95" s="7">
        <f t="shared" si="25"/>
        <v>1.9483566284179688E-2</v>
      </c>
      <c r="AD95" s="7">
        <f t="shared" si="18"/>
        <v>6.5337427451045427E-8</v>
      </c>
      <c r="AE95" s="7">
        <f t="shared" si="26"/>
        <v>1.9484043121337891E-2</v>
      </c>
      <c r="AF95" s="7">
        <f t="shared" si="19"/>
        <v>-4.1327935588336695E-7</v>
      </c>
      <c r="AG95" s="7">
        <f t="shared" si="21"/>
        <v>1.9483804702758789E-2</v>
      </c>
      <c r="AH95" s="7">
        <f t="shared" si="20"/>
        <v>-1.7397095883678326E-7</v>
      </c>
      <c r="AI95" s="7">
        <f t="shared" si="22"/>
        <v>-1.1366814901587137E-14</v>
      </c>
      <c r="AJ95" s="7">
        <f t="shared" si="23"/>
        <v>7.1898605810477531E-14</v>
      </c>
      <c r="AK95" s="7">
        <f t="shared" si="24"/>
        <v>4.76837158203125E-7</v>
      </c>
    </row>
    <row r="96" spans="28:37" x14ac:dyDescent="0.2">
      <c r="AB96" s="7">
        <v>22</v>
      </c>
      <c r="AC96" s="7">
        <f t="shared" si="25"/>
        <v>1.9483566284179688E-2</v>
      </c>
      <c r="AD96" s="7">
        <f t="shared" si="18"/>
        <v>6.5337427451045427E-8</v>
      </c>
      <c r="AE96" s="7">
        <f t="shared" si="26"/>
        <v>1.9483804702758789E-2</v>
      </c>
      <c r="AF96" s="7">
        <f t="shared" si="19"/>
        <v>-1.7397095883678326E-7</v>
      </c>
      <c r="AG96" s="7">
        <f t="shared" si="21"/>
        <v>1.9483685493469238E-2</v>
      </c>
      <c r="AH96" s="7">
        <f t="shared" si="20"/>
        <v>-5.4316764350192948E-8</v>
      </c>
      <c r="AI96" s="7">
        <f t="shared" si="22"/>
        <v>-3.5489176501062624E-15</v>
      </c>
      <c r="AJ96" s="7">
        <f t="shared" si="23"/>
        <v>9.4495395749146738E-15</v>
      </c>
      <c r="AK96" s="7">
        <f t="shared" si="24"/>
        <v>2.384185791015625E-7</v>
      </c>
    </row>
    <row r="97" spans="28:37" x14ac:dyDescent="0.2">
      <c r="AB97" s="7">
        <v>23</v>
      </c>
      <c r="AC97" s="7">
        <f t="shared" si="25"/>
        <v>1.9483566284179688E-2</v>
      </c>
      <c r="AD97" s="7">
        <f t="shared" si="18"/>
        <v>6.5337427451045427E-8</v>
      </c>
      <c r="AE97" s="7">
        <f t="shared" si="26"/>
        <v>1.9483685493469238E-2</v>
      </c>
      <c r="AF97" s="7">
        <f t="shared" si="19"/>
        <v>-5.4316764350192948E-8</v>
      </c>
      <c r="AG97" s="7">
        <f t="shared" si="21"/>
        <v>1.9483625888824463E-2</v>
      </c>
      <c r="AH97" s="7">
        <f t="shared" si="20"/>
        <v>5.5103318852278704E-9</v>
      </c>
      <c r="AI97" s="7">
        <f t="shared" si="22"/>
        <v>3.6003090978225836E-16</v>
      </c>
      <c r="AJ97" s="7">
        <f t="shared" si="23"/>
        <v>-2.9930339850127667E-16</v>
      </c>
      <c r="AK97" s="7">
        <f t="shared" si="24"/>
        <v>1.1920928955078125E-7</v>
      </c>
    </row>
    <row r="98" spans="28:37" x14ac:dyDescent="0.2">
      <c r="AB98" s="7">
        <v>24</v>
      </c>
      <c r="AC98" s="7">
        <f t="shared" si="25"/>
        <v>1.9483625888824463E-2</v>
      </c>
      <c r="AD98" s="7">
        <f t="shared" si="18"/>
        <v>5.5103318852278704E-9</v>
      </c>
      <c r="AE98" s="7">
        <f t="shared" si="26"/>
        <v>1.9483685493469238E-2</v>
      </c>
      <c r="AF98" s="7">
        <f t="shared" si="19"/>
        <v>-5.4316764350192948E-8</v>
      </c>
      <c r="AG98" s="7">
        <f t="shared" si="21"/>
        <v>1.9483655691146851E-2</v>
      </c>
      <c r="AH98" s="7">
        <f t="shared" si="20"/>
        <v>-2.4403216145746365E-8</v>
      </c>
      <c r="AI98" s="7">
        <f t="shared" si="22"/>
        <v>-1.3446982003001377E-16</v>
      </c>
      <c r="AJ98" s="7">
        <f t="shared" si="23"/>
        <v>1.325503740775329E-15</v>
      </c>
      <c r="AK98" s="7">
        <f t="shared" si="24"/>
        <v>5.9604644775390625E-8</v>
      </c>
    </row>
    <row r="99" spans="28:37" x14ac:dyDescent="0.2">
      <c r="AB99" s="7">
        <v>25</v>
      </c>
      <c r="AC99" s="7">
        <f t="shared" si="25"/>
        <v>1.9483625888824463E-2</v>
      </c>
      <c r="AD99" s="7">
        <f t="shared" si="18"/>
        <v>5.5103318852278704E-9</v>
      </c>
      <c r="AE99" s="7">
        <f t="shared" si="26"/>
        <v>1.9483655691146851E-2</v>
      </c>
      <c r="AF99" s="7">
        <f t="shared" si="19"/>
        <v>-2.4403216145746365E-8</v>
      </c>
      <c r="AG99" s="7">
        <f t="shared" si="21"/>
        <v>1.9483640789985657E-2</v>
      </c>
      <c r="AH99" s="7">
        <f t="shared" si="20"/>
        <v>-9.446442107707842E-9</v>
      </c>
      <c r="AI99" s="7">
        <f t="shared" si="22"/>
        <v>-5.2053031148061692E-17</v>
      </c>
      <c r="AJ99" s="7">
        <f t="shared" si="23"/>
        <v>2.3052356856267432E-16</v>
      </c>
      <c r="AK99" s="7">
        <f t="shared" si="24"/>
        <v>2.9802322387695312E-8</v>
      </c>
    </row>
    <row r="100" spans="28:37" x14ac:dyDescent="0.2">
      <c r="AB100" s="7">
        <v>26</v>
      </c>
      <c r="AC100" s="7">
        <f t="shared" si="25"/>
        <v>1.9483625888824463E-2</v>
      </c>
      <c r="AD100" s="7">
        <f t="shared" si="18"/>
        <v>5.5103318852278704E-9</v>
      </c>
      <c r="AE100" s="7">
        <f t="shared" si="26"/>
        <v>1.9483640789985657E-2</v>
      </c>
      <c r="AF100" s="7">
        <f t="shared" si="19"/>
        <v>-9.446442107707842E-9</v>
      </c>
      <c r="AG100" s="7">
        <f t="shared" si="21"/>
        <v>1.948363333940506E-2</v>
      </c>
      <c r="AH100" s="7">
        <f t="shared" si="20"/>
        <v>-1.9680551077705388E-9</v>
      </c>
      <c r="AI100" s="7">
        <f t="shared" si="22"/>
        <v>-1.0844636812233573E-17</v>
      </c>
      <c r="AJ100" s="7">
        <f t="shared" si="23"/>
        <v>1.8591118640333114E-17</v>
      </c>
      <c r="AK100" s="7">
        <f t="shared" si="24"/>
        <v>1.4901161193847656E-8</v>
      </c>
    </row>
    <row r="101" spans="28:37" x14ac:dyDescent="0.2">
      <c r="AB101" s="7">
        <v>27</v>
      </c>
      <c r="AC101" s="7">
        <f t="shared" si="25"/>
        <v>1.9483625888824463E-2</v>
      </c>
      <c r="AD101" s="7">
        <f t="shared" si="18"/>
        <v>5.5103318852278704E-9</v>
      </c>
      <c r="AE101" s="7">
        <f t="shared" si="26"/>
        <v>1.948363333940506E-2</v>
      </c>
      <c r="AF101" s="7">
        <f t="shared" si="19"/>
        <v>-1.9680551077705388E-9</v>
      </c>
      <c r="AG101" s="7">
        <f t="shared" si="21"/>
        <v>1.9483629614114761E-2</v>
      </c>
      <c r="AH101" s="7">
        <f t="shared" si="20"/>
        <v>1.7711383921981128E-9</v>
      </c>
      <c r="AI101" s="7">
        <f t="shared" si="22"/>
        <v>9.7595603556804859E-18</v>
      </c>
      <c r="AJ101" s="7">
        <f t="shared" si="23"/>
        <v>-3.4856979593339955E-18</v>
      </c>
      <c r="AK101" s="7">
        <f t="shared" si="24"/>
        <v>7.4505805969238281E-9</v>
      </c>
    </row>
    <row r="102" spans="28:37" x14ac:dyDescent="0.2">
      <c r="AB102" s="7">
        <v>28</v>
      </c>
      <c r="AC102" s="7">
        <f t="shared" si="25"/>
        <v>1.9483629614114761E-2</v>
      </c>
      <c r="AD102" s="7">
        <f t="shared" si="18"/>
        <v>1.7711383921981128E-9</v>
      </c>
      <c r="AE102" s="7">
        <f t="shared" si="26"/>
        <v>1.948363333940506E-2</v>
      </c>
      <c r="AF102" s="7">
        <f t="shared" si="19"/>
        <v>-1.9680551077705388E-9</v>
      </c>
      <c r="AG102" s="7">
        <f t="shared" si="21"/>
        <v>1.9483631476759911E-2</v>
      </c>
      <c r="AH102" s="7">
        <f t="shared" si="20"/>
        <v>-9.8458356051489559E-11</v>
      </c>
      <c r="AI102" s="7">
        <f t="shared" si="22"/>
        <v>-1.7438337443550453E-19</v>
      </c>
      <c r="AJ102" s="7">
        <f t="shared" si="23"/>
        <v>1.9377147052982437E-19</v>
      </c>
      <c r="AK102" s="7">
        <f t="shared" si="24"/>
        <v>3.7252902984619141E-9</v>
      </c>
    </row>
    <row r="103" spans="28:37" x14ac:dyDescent="0.2">
      <c r="AB103" s="7">
        <v>29</v>
      </c>
      <c r="AC103" s="7">
        <f t="shared" si="25"/>
        <v>1.9483629614114761E-2</v>
      </c>
      <c r="AD103" s="7">
        <f t="shared" si="18"/>
        <v>1.7711383921981128E-9</v>
      </c>
      <c r="AE103" s="7">
        <f t="shared" si="26"/>
        <v>1.9483631476759911E-2</v>
      </c>
      <c r="AF103" s="7">
        <f t="shared" si="19"/>
        <v>-9.8458356051489559E-11</v>
      </c>
      <c r="AG103" s="7">
        <f t="shared" si="21"/>
        <v>1.9483630545437336E-2</v>
      </c>
      <c r="AH103" s="7">
        <f t="shared" si="20"/>
        <v>8.363400180733116E-10</v>
      </c>
      <c r="AI103" s="7">
        <f t="shared" si="22"/>
        <v>1.4812739149413057E-18</v>
      </c>
      <c r="AJ103" s="7">
        <f t="shared" si="23"/>
        <v>-8.2344663279571326E-20</v>
      </c>
      <c r="AK103" s="7">
        <f t="shared" si="24"/>
        <v>1.862645149230957E-9</v>
      </c>
    </row>
    <row r="104" spans="28:37" x14ac:dyDescent="0.2">
      <c r="AB104" s="7">
        <v>30</v>
      </c>
      <c r="AC104" s="7">
        <f t="shared" si="25"/>
        <v>1.9483630545437336E-2</v>
      </c>
      <c r="AD104" s="7">
        <f t="shared" si="18"/>
        <v>8.363400180733116E-10</v>
      </c>
      <c r="AE104" s="7">
        <f t="shared" si="26"/>
        <v>1.9483631476759911E-2</v>
      </c>
      <c r="AF104" s="7">
        <f t="shared" si="19"/>
        <v>-9.8458356051489559E-11</v>
      </c>
      <c r="AG104" s="7">
        <f t="shared" si="21"/>
        <v>1.9483631011098623E-2</v>
      </c>
      <c r="AH104" s="7">
        <f t="shared" si="20"/>
        <v>3.6894083274563449E-10</v>
      </c>
      <c r="AI104" s="7">
        <f t="shared" si="22"/>
        <v>3.0855998272646656E-19</v>
      </c>
      <c r="AJ104" s="7">
        <f t="shared" si="23"/>
        <v>-3.632530787240274E-20</v>
      </c>
      <c r="AK104" s="7">
        <f t="shared" si="24"/>
        <v>9.3132257461547852E-10</v>
      </c>
    </row>
  </sheetData>
  <mergeCells count="26">
    <mergeCell ref="N15:P15"/>
    <mergeCell ref="R15:T15"/>
    <mergeCell ref="V15:X15"/>
    <mergeCell ref="B20:D20"/>
    <mergeCell ref="F37:H37"/>
    <mergeCell ref="F21:H21"/>
    <mergeCell ref="B24:D24"/>
    <mergeCell ref="F26:H26"/>
    <mergeCell ref="B29:D29"/>
    <mergeCell ref="B32:D32"/>
    <mergeCell ref="B36:D36"/>
    <mergeCell ref="N3:P3"/>
    <mergeCell ref="V3:X3"/>
    <mergeCell ref="J8:L8"/>
    <mergeCell ref="B9:D9"/>
    <mergeCell ref="F10:H10"/>
    <mergeCell ref="N10:P10"/>
    <mergeCell ref="R10:T10"/>
    <mergeCell ref="V10:X10"/>
    <mergeCell ref="R3:T3"/>
    <mergeCell ref="B41:D41"/>
    <mergeCell ref="B1:D1"/>
    <mergeCell ref="B3:D3"/>
    <mergeCell ref="F3:H3"/>
    <mergeCell ref="J3:L3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D22C-2729-244F-93D1-A98029DF7C83}">
  <dimension ref="B1:AK104"/>
  <sheetViews>
    <sheetView tabSelected="1" topLeftCell="B1" workbookViewId="0">
      <selection activeCell="J35" sqref="J35"/>
    </sheetView>
  </sheetViews>
  <sheetFormatPr baseColWidth="10" defaultRowHeight="16" x14ac:dyDescent="0.2"/>
  <cols>
    <col min="1" max="1" width="4.1640625" customWidth="1"/>
    <col min="2" max="2" width="20.5" customWidth="1"/>
    <col min="4" max="4" width="7.1640625" customWidth="1"/>
    <col min="5" max="5" width="5.6640625" customWidth="1"/>
    <col min="6" max="6" width="20.33203125" customWidth="1"/>
    <col min="7" max="7" width="13.1640625" customWidth="1"/>
    <col min="8" max="8" width="4.1640625" customWidth="1"/>
    <col min="9" max="9" width="6" customWidth="1"/>
    <col min="10" max="10" width="18.1640625" customWidth="1"/>
    <col min="11" max="11" width="14.33203125" customWidth="1"/>
    <col min="12" max="12" width="5" customWidth="1"/>
    <col min="13" max="13" width="6" customWidth="1"/>
    <col min="14" max="14" width="12.6640625" customWidth="1"/>
    <col min="15" max="15" width="11" customWidth="1"/>
    <col min="16" max="16" width="6.6640625" customWidth="1"/>
    <col min="17" max="17" width="6" customWidth="1"/>
    <col min="18" max="18" width="12" customWidth="1"/>
    <col min="20" max="20" width="6.33203125" customWidth="1"/>
    <col min="21" max="21" width="6.1640625" customWidth="1"/>
    <col min="22" max="22" width="12.83203125" customWidth="1"/>
    <col min="23" max="23" width="11.5" customWidth="1"/>
    <col min="24" max="24" width="6.33203125" customWidth="1"/>
    <col min="25" max="25" width="4" customWidth="1"/>
    <col min="26" max="27" width="3.83203125" customWidth="1"/>
    <col min="28" max="28" width="5.5" customWidth="1"/>
    <col min="29" max="30" width="6.1640625" customWidth="1"/>
    <col min="31" max="31" width="6.6640625" customWidth="1"/>
    <col min="32" max="32" width="7" customWidth="1"/>
    <col min="33" max="33" width="14.6640625" customWidth="1"/>
    <col min="34" max="34" width="7.83203125" customWidth="1"/>
    <col min="35" max="35" width="10" customWidth="1"/>
    <col min="36" max="36" width="9.5" customWidth="1"/>
    <col min="37" max="37" width="13.6640625" customWidth="1"/>
  </cols>
  <sheetData>
    <row r="1" spans="2:37" x14ac:dyDescent="0.2">
      <c r="B1" s="21" t="s">
        <v>0</v>
      </c>
      <c r="C1" s="21"/>
      <c r="D1" s="21"/>
    </row>
    <row r="2" spans="2:37" x14ac:dyDescent="0.2">
      <c r="AB2" s="5" t="s">
        <v>80</v>
      </c>
    </row>
    <row r="3" spans="2:37" x14ac:dyDescent="0.2">
      <c r="B3" s="24" t="s">
        <v>73</v>
      </c>
      <c r="C3" s="28"/>
      <c r="D3" s="28"/>
      <c r="F3" s="25" t="s">
        <v>81</v>
      </c>
      <c r="G3" s="26"/>
      <c r="H3" s="26"/>
      <c r="J3" s="24" t="s">
        <v>82</v>
      </c>
      <c r="K3" s="24"/>
      <c r="L3" s="24"/>
      <c r="N3" s="20" t="s">
        <v>83</v>
      </c>
      <c r="O3" s="20"/>
      <c r="P3" s="20"/>
      <c r="R3" s="20" t="s">
        <v>84</v>
      </c>
      <c r="S3" s="20"/>
      <c r="T3" s="20"/>
      <c r="V3" s="20" t="s">
        <v>85</v>
      </c>
      <c r="W3" s="20"/>
      <c r="X3" s="20"/>
      <c r="AB3" s="6" t="s">
        <v>63</v>
      </c>
      <c r="AC3" s="6" t="s">
        <v>64</v>
      </c>
      <c r="AD3" s="6" t="s">
        <v>65</v>
      </c>
      <c r="AE3" s="6" t="s">
        <v>66</v>
      </c>
      <c r="AF3" s="6" t="s">
        <v>67</v>
      </c>
      <c r="AG3" s="6" t="s">
        <v>68</v>
      </c>
      <c r="AH3" s="6" t="s">
        <v>69</v>
      </c>
      <c r="AI3" s="6" t="s">
        <v>70</v>
      </c>
      <c r="AJ3" s="6" t="s">
        <v>71</v>
      </c>
      <c r="AK3" s="6" t="s">
        <v>72</v>
      </c>
    </row>
    <row r="4" spans="2:37" x14ac:dyDescent="0.2">
      <c r="B4" t="s">
        <v>53</v>
      </c>
      <c r="C4" s="1" t="s">
        <v>1</v>
      </c>
      <c r="F4" t="s">
        <v>86</v>
      </c>
      <c r="G4" s="1">
        <v>2.54</v>
      </c>
      <c r="H4" t="s">
        <v>16</v>
      </c>
      <c r="J4" t="s">
        <v>87</v>
      </c>
      <c r="K4">
        <f>MAX(G6,G40)</f>
        <v>221.5892920895611</v>
      </c>
      <c r="L4" t="s">
        <v>91</v>
      </c>
      <c r="N4" t="s">
        <v>36</v>
      </c>
      <c r="O4">
        <f>$C$17*$C$31*COS(G16/180*PI())</f>
        <v>11197.066846327778</v>
      </c>
      <c r="P4" t="s">
        <v>31</v>
      </c>
      <c r="R4" t="s">
        <v>36</v>
      </c>
      <c r="S4">
        <f xml:space="preserve"> $C$17 * $C$31</f>
        <v>11211.542669319897</v>
      </c>
      <c r="T4" t="s">
        <v>31</v>
      </c>
      <c r="V4" t="s">
        <v>36</v>
      </c>
      <c r="W4">
        <f>$C$17*$C$31*COS(G32/180*PI())</f>
        <v>11206.333527190571</v>
      </c>
      <c r="X4" t="s">
        <v>31</v>
      </c>
      <c r="AB4" s="7">
        <v>0</v>
      </c>
      <c r="AC4" s="8">
        <v>0</v>
      </c>
      <c r="AD4" s="7">
        <f xml:space="preserve"> $S$18 * TAN($S$15/180*PI()) + $S$19 / (2 * SQRT($S$18^2 + AC4^2)) - AC4</f>
        <v>0.48409815410748491</v>
      </c>
      <c r="AE4" s="8">
        <v>1</v>
      </c>
      <c r="AF4" s="7">
        <f xml:space="preserve"> $S$18 * TAN($S$15/180*PI()) + $S$19 / (2 * SQRT($S$18^2 + AE4^2)) - AE4</f>
        <v>-0.67827017057270655</v>
      </c>
      <c r="AG4" s="7">
        <f xml:space="preserve"> (AC4 + AE4)/2</f>
        <v>0.5</v>
      </c>
      <c r="AH4" s="7">
        <f xml:space="preserve"> $S$18 * TAN($S$15/180*PI()) + $S$19 / (2 * SQRT($S$18^2 + AG4^2)) - AG4</f>
        <v>-0.17364962863874445</v>
      </c>
      <c r="AI4" s="7">
        <f>AD4*AH4</f>
        <v>-8.4063464685466438E-2</v>
      </c>
      <c r="AJ4" s="7">
        <f>AF4*AH4</f>
        <v>0.11778136323668835</v>
      </c>
      <c r="AK4" s="7">
        <f>AE4-AC4</f>
        <v>1</v>
      </c>
    </row>
    <row r="5" spans="2:37" x14ac:dyDescent="0.2">
      <c r="B5" t="s">
        <v>122</v>
      </c>
      <c r="C5" s="1">
        <v>8</v>
      </c>
      <c r="F5" t="s">
        <v>88</v>
      </c>
      <c r="G5" s="1">
        <v>152.4</v>
      </c>
      <c r="H5" t="s">
        <v>14</v>
      </c>
      <c r="J5" t="s">
        <v>89</v>
      </c>
      <c r="K5">
        <f>K4/$C$5</f>
        <v>27.698661511195137</v>
      </c>
      <c r="L5" t="s">
        <v>91</v>
      </c>
      <c r="N5" t="s">
        <v>37</v>
      </c>
      <c r="O5">
        <f>0.5*$C$30*$G$11^2</f>
        <v>1531.25</v>
      </c>
      <c r="P5" t="s">
        <v>38</v>
      </c>
      <c r="R5" t="s">
        <v>37</v>
      </c>
      <c r="S5">
        <f xml:space="preserve"> 0.5 * $C$30 * $C$20^2</f>
        <v>1531.25</v>
      </c>
      <c r="T5" t="s">
        <v>38</v>
      </c>
      <c r="V5" t="s">
        <v>37</v>
      </c>
      <c r="W5">
        <f>0.5*$C$30*$G$27^2</f>
        <v>1531.25</v>
      </c>
      <c r="X5" t="s">
        <v>38</v>
      </c>
      <c r="AB5" s="7">
        <v>1</v>
      </c>
      <c r="AC5" s="7">
        <f>IF(AI4&gt;0, AG4, AC4)</f>
        <v>0</v>
      </c>
      <c r="AD5" s="7">
        <f t="shared" ref="AD5:AD34" si="0" xml:space="preserve"> $S$18 * TAN($S$15/180*PI()) + $S$19 / (2 * SQRT($S$18^2 + AC5^2)) - AC5</f>
        <v>0.48409815410748491</v>
      </c>
      <c r="AE5" s="7">
        <f>IF(AJ4&gt;0, AG4, AE4)</f>
        <v>0.5</v>
      </c>
      <c r="AF5" s="7">
        <f t="shared" ref="AF5:AF34" si="1" xml:space="preserve"> $S$18 * TAN($S$15/180*PI()) + $S$19 / (2 * SQRT($S$18^2 + AE5^2)) - AE5</f>
        <v>-0.17364962863874445</v>
      </c>
      <c r="AG5" s="7">
        <f t="shared" ref="AG5:AG34" si="2" xml:space="preserve"> (AC5 + AE5)/2</f>
        <v>0.25</v>
      </c>
      <c r="AH5" s="7">
        <f t="shared" ref="AH5:AH34" si="3" xml:space="preserve"> $S$18 * TAN($S$15/180*PI()) + $S$19 / (2 * SQRT($S$18^2 + AG5^2)) - AG5</f>
        <v>8.5517520659467883E-2</v>
      </c>
      <c r="AI5" s="7">
        <f t="shared" ref="AI5:AI34" si="4">AD5*AH5</f>
        <v>4.139887389509711E-2</v>
      </c>
      <c r="AJ5" s="7">
        <f t="shared" ref="AJ5:AJ34" si="5">AF5*AH5</f>
        <v>-1.4850085704622753E-2</v>
      </c>
      <c r="AK5" s="7">
        <f t="shared" ref="AK5:AK34" si="6">AE5-AC5</f>
        <v>0.5</v>
      </c>
    </row>
    <row r="6" spans="2:37" x14ac:dyDescent="0.2">
      <c r="B6" t="s">
        <v>123</v>
      </c>
      <c r="C6" s="1">
        <v>1</v>
      </c>
      <c r="F6" t="s">
        <v>90</v>
      </c>
      <c r="G6">
        <f xml:space="preserve"> 1/1000 * ($C$17*$C$31)/$C$9 * ( ($G$4/2) + SQRT( ($G$4/2)^2 + ($C$17*$C$31)/(2*$C$30*$C$5*PI()*$C$18*$C$18 ) ) )</f>
        <v>221.5892920895611</v>
      </c>
      <c r="H6" t="s">
        <v>91</v>
      </c>
      <c r="J6" t="s">
        <v>124</v>
      </c>
      <c r="K6">
        <f>MAX(G18,G23,G34)</f>
        <v>81.17551749922265</v>
      </c>
      <c r="L6" t="s">
        <v>91</v>
      </c>
      <c r="N6" t="s">
        <v>56</v>
      </c>
      <c r="O6" s="1">
        <v>2.476619E-2</v>
      </c>
      <c r="R6" t="s">
        <v>56</v>
      </c>
      <c r="S6" s="1">
        <v>2.476619E-2</v>
      </c>
      <c r="V6" t="s">
        <v>56</v>
      </c>
      <c r="W6" s="1">
        <v>2.476619E-2</v>
      </c>
      <c r="AB6" s="7">
        <v>2</v>
      </c>
      <c r="AC6" s="7">
        <f t="shared" ref="AC6:AC34" si="7">IF(AI5&gt;0, AG5, AC5)</f>
        <v>0.25</v>
      </c>
      <c r="AD6" s="7">
        <f t="shared" si="0"/>
        <v>8.5517520659467883E-2</v>
      </c>
      <c r="AE6" s="7">
        <f t="shared" ref="AE6:AE34" si="8">IF(AJ5&gt;0, AG5, AE5)</f>
        <v>0.5</v>
      </c>
      <c r="AF6" s="7">
        <f t="shared" si="1"/>
        <v>-0.17364962863874445</v>
      </c>
      <c r="AG6" s="7">
        <f t="shared" si="2"/>
        <v>0.375</v>
      </c>
      <c r="AH6" s="7">
        <f t="shared" si="3"/>
        <v>-4.5580408843949982E-2</v>
      </c>
      <c r="AI6" s="7">
        <f t="shared" si="4"/>
        <v>-3.8979235549794853E-3</v>
      </c>
      <c r="AJ6" s="7">
        <f t="shared" si="5"/>
        <v>7.9150210689540573E-3</v>
      </c>
      <c r="AK6" s="7">
        <f t="shared" si="6"/>
        <v>0.25</v>
      </c>
    </row>
    <row r="7" spans="2:37" x14ac:dyDescent="0.2">
      <c r="B7" t="s">
        <v>2</v>
      </c>
      <c r="C7" s="1">
        <v>0.13</v>
      </c>
      <c r="F7" t="s">
        <v>30</v>
      </c>
      <c r="G7">
        <f xml:space="preserve"> $C$17 * $C$31 / $C$5</f>
        <v>1401.4428336649871</v>
      </c>
      <c r="H7" t="s">
        <v>31</v>
      </c>
      <c r="J7" t="s">
        <v>125</v>
      </c>
      <c r="K7">
        <f>K6/$C$6</f>
        <v>81.17551749922265</v>
      </c>
      <c r="L7" t="s">
        <v>91</v>
      </c>
      <c r="N7" t="s">
        <v>57</v>
      </c>
      <c r="O7">
        <f xml:space="preserve"> O5 * $C$21 * O6</f>
        <v>614.35630068750004</v>
      </c>
      <c r="P7" t="s">
        <v>31</v>
      </c>
      <c r="R7" t="s">
        <v>57</v>
      </c>
      <c r="S7">
        <f xml:space="preserve"> S5 * $C$21 * S6</f>
        <v>614.35630068750004</v>
      </c>
      <c r="T7" t="s">
        <v>31</v>
      </c>
      <c r="V7" t="s">
        <v>57</v>
      </c>
      <c r="W7">
        <f xml:space="preserve"> W5*W6*$C$21</f>
        <v>614.35630068750004</v>
      </c>
      <c r="X7" t="s">
        <v>31</v>
      </c>
      <c r="AB7" s="7">
        <v>3</v>
      </c>
      <c r="AC7" s="7">
        <f t="shared" si="7"/>
        <v>0.25</v>
      </c>
      <c r="AD7" s="7">
        <f t="shared" si="0"/>
        <v>8.5517520659467883E-2</v>
      </c>
      <c r="AE7" s="7">
        <f t="shared" si="8"/>
        <v>0.375</v>
      </c>
      <c r="AF7" s="7">
        <f t="shared" si="1"/>
        <v>-4.5580408843949982E-2</v>
      </c>
      <c r="AG7" s="7">
        <f t="shared" si="2"/>
        <v>0.3125</v>
      </c>
      <c r="AH7" s="7">
        <f t="shared" si="3"/>
        <v>1.9366111437140288E-2</v>
      </c>
      <c r="AI7" s="7">
        <f t="shared" si="4"/>
        <v>1.6561418349192018E-3</v>
      </c>
      <c r="AJ7" s="7">
        <f t="shared" si="5"/>
        <v>-8.8271527702235011E-4</v>
      </c>
      <c r="AK7" s="7">
        <f t="shared" si="6"/>
        <v>0.125</v>
      </c>
    </row>
    <row r="8" spans="2:37" x14ac:dyDescent="0.2">
      <c r="B8" t="s">
        <v>126</v>
      </c>
      <c r="C8" s="1">
        <v>0.13</v>
      </c>
      <c r="F8" t="s">
        <v>92</v>
      </c>
      <c r="G8">
        <f xml:space="preserve"> $G$5/$G$4</f>
        <v>60</v>
      </c>
      <c r="H8" t="s">
        <v>22</v>
      </c>
      <c r="N8" t="s">
        <v>58</v>
      </c>
      <c r="O8">
        <f xml:space="preserve"> 1.78 * (1 - 0.045 * $C$22^0.68) - 0.64</f>
        <v>0.82990122458567595</v>
      </c>
      <c r="R8" t="s">
        <v>58</v>
      </c>
      <c r="S8">
        <f xml:space="preserve"> 1.78 * (1 - 0.045 * $C$22^0.68) - 0.64</f>
        <v>0.82990122458567595</v>
      </c>
      <c r="V8" t="s">
        <v>58</v>
      </c>
      <c r="W8">
        <f xml:space="preserve"> 1.78 * (1 - 0.045 * $C$22^0.68) - 0.64</f>
        <v>0.82990122458567595</v>
      </c>
      <c r="AB8" s="7">
        <v>4</v>
      </c>
      <c r="AC8" s="7">
        <f t="shared" si="7"/>
        <v>0.3125</v>
      </c>
      <c r="AD8" s="7">
        <f t="shared" si="0"/>
        <v>1.9366111437140288E-2</v>
      </c>
      <c r="AE8" s="7">
        <f t="shared" si="8"/>
        <v>0.375</v>
      </c>
      <c r="AF8" s="7">
        <f t="shared" si="1"/>
        <v>-4.5580408843949982E-2</v>
      </c>
      <c r="AG8" s="7">
        <f t="shared" si="2"/>
        <v>0.34375</v>
      </c>
      <c r="AH8" s="7">
        <f t="shared" si="3"/>
        <v>-1.3217268782063807E-2</v>
      </c>
      <c r="AI8" s="7">
        <f t="shared" si="4"/>
        <v>-2.5596710012808319E-4</v>
      </c>
      <c r="AJ8" s="7">
        <f t="shared" si="5"/>
        <v>6.0244851488684519E-4</v>
      </c>
      <c r="AK8" s="7">
        <f t="shared" si="6"/>
        <v>6.25E-2</v>
      </c>
    </row>
    <row r="9" spans="2:37" x14ac:dyDescent="0.2">
      <c r="B9" t="s">
        <v>3</v>
      </c>
      <c r="C9" s="1">
        <v>0.75</v>
      </c>
      <c r="N9" t="s">
        <v>127</v>
      </c>
      <c r="O9">
        <f>O4/(O5*$C$21)</f>
        <v>0.45138087563931584</v>
      </c>
      <c r="R9" t="s">
        <v>39</v>
      </c>
      <c r="S9">
        <f xml:space="preserve"> S4 / (S5 * $C$21)</f>
        <v>0.45196443111392881</v>
      </c>
      <c r="V9" t="s">
        <v>127</v>
      </c>
      <c r="W9">
        <f>W4 / ( W5 * $C$21)</f>
        <v>0.45175443798198323</v>
      </c>
      <c r="AB9" s="7">
        <v>5</v>
      </c>
      <c r="AC9" s="7">
        <f t="shared" si="7"/>
        <v>0.3125</v>
      </c>
      <c r="AD9" s="7">
        <f t="shared" si="0"/>
        <v>1.9366111437140288E-2</v>
      </c>
      <c r="AE9" s="7">
        <f t="shared" si="8"/>
        <v>0.34375</v>
      </c>
      <c r="AF9" s="7">
        <f t="shared" si="1"/>
        <v>-1.3217268782063807E-2</v>
      </c>
      <c r="AG9" s="7">
        <f t="shared" si="2"/>
        <v>0.328125</v>
      </c>
      <c r="AH9" s="7">
        <f t="shared" si="3"/>
        <v>3.0430126852085126E-3</v>
      </c>
      <c r="AI9" s="7">
        <f t="shared" si="4"/>
        <v>5.8931322766379557E-5</v>
      </c>
      <c r="AJ9" s="7">
        <f t="shared" si="5"/>
        <v>-4.0220316567630634E-5</v>
      </c>
      <c r="AK9" s="7">
        <f t="shared" si="6"/>
        <v>3.125E-2</v>
      </c>
    </row>
    <row r="10" spans="2:37" x14ac:dyDescent="0.2">
      <c r="F10" s="25" t="s">
        <v>95</v>
      </c>
      <c r="G10" s="26"/>
      <c r="H10" s="26"/>
      <c r="J10" s="24" t="s">
        <v>34</v>
      </c>
      <c r="K10" s="24"/>
      <c r="L10" s="24"/>
      <c r="N10" t="s">
        <v>128</v>
      </c>
      <c r="O10">
        <f>O6+O9^2/(PI()*O8*$C$22)</f>
        <v>3.5441953645353366E-2</v>
      </c>
      <c r="R10" t="s">
        <v>59</v>
      </c>
      <c r="S10">
        <f xml:space="preserve"> S6 + S9^2 / ( PI() * S8 * $C$22 )</f>
        <v>3.5469575229411791E-2</v>
      </c>
      <c r="V10" t="s">
        <v>128</v>
      </c>
      <c r="W10">
        <f xml:space="preserve"> W6 + W9^2 / (PI() * W8 * $C$22)</f>
        <v>3.5459631459150764E-2</v>
      </c>
      <c r="AB10" s="7">
        <v>6</v>
      </c>
      <c r="AC10" s="7">
        <f t="shared" si="7"/>
        <v>0.328125</v>
      </c>
      <c r="AD10" s="7">
        <f t="shared" si="0"/>
        <v>3.0430126852085126E-3</v>
      </c>
      <c r="AE10" s="7">
        <f t="shared" si="8"/>
        <v>0.34375</v>
      </c>
      <c r="AF10" s="7">
        <f t="shared" si="1"/>
        <v>-1.3217268782063807E-2</v>
      </c>
      <c r="AG10" s="7">
        <f t="shared" si="2"/>
        <v>0.3359375</v>
      </c>
      <c r="AH10" s="7">
        <f t="shared" si="3"/>
        <v>-5.094439959954622E-3</v>
      </c>
      <c r="AI10" s="7">
        <f t="shared" si="4"/>
        <v>-1.550244542217506E-5</v>
      </c>
      <c r="AJ10" s="7">
        <f t="shared" si="5"/>
        <v>6.7334582244806611E-5</v>
      </c>
      <c r="AK10" s="7">
        <f t="shared" si="6"/>
        <v>1.5625E-2</v>
      </c>
    </row>
    <row r="11" spans="2:37" x14ac:dyDescent="0.2">
      <c r="B11" s="22" t="s">
        <v>6</v>
      </c>
      <c r="C11" s="23"/>
      <c r="D11" s="23"/>
      <c r="F11" s="3" t="s">
        <v>97</v>
      </c>
      <c r="G11" s="1">
        <f>$C$20</f>
        <v>50</v>
      </c>
      <c r="H11" t="s">
        <v>16</v>
      </c>
      <c r="J11" t="s">
        <v>93</v>
      </c>
      <c r="K11">
        <f xml:space="preserve"> (G6*G8 + G18*G19 + G23*G24 + G34*G35 + G40*G42)/3600</f>
        <v>35.464218537354647</v>
      </c>
      <c r="L11" t="s">
        <v>94</v>
      </c>
      <c r="N11" t="s">
        <v>129</v>
      </c>
      <c r="O11">
        <f>O5*O10*$C$21</f>
        <v>879.18196261504681</v>
      </c>
      <c r="P11" t="s">
        <v>31</v>
      </c>
      <c r="R11" t="s">
        <v>60</v>
      </c>
      <c r="S11">
        <f xml:space="preserve"> S5 * S10 * $C$21</f>
        <v>879.86715053459625</v>
      </c>
      <c r="T11" t="s">
        <v>31</v>
      </c>
      <c r="V11" t="s">
        <v>129</v>
      </c>
      <c r="W11">
        <f xml:space="preserve"> W5 * $C$21 * W10</f>
        <v>879.62048288355868</v>
      </c>
      <c r="X11" t="s">
        <v>31</v>
      </c>
      <c r="AB11" s="7">
        <v>7</v>
      </c>
      <c r="AC11" s="7">
        <f t="shared" si="7"/>
        <v>0.328125</v>
      </c>
      <c r="AD11" s="7">
        <f t="shared" si="0"/>
        <v>3.0430126852085126E-3</v>
      </c>
      <c r="AE11" s="7">
        <f t="shared" si="8"/>
        <v>0.3359375</v>
      </c>
      <c r="AF11" s="7">
        <f t="shared" si="1"/>
        <v>-5.094439959954622E-3</v>
      </c>
      <c r="AG11" s="7">
        <f t="shared" si="2"/>
        <v>0.33203125</v>
      </c>
      <c r="AH11" s="7">
        <f t="shared" si="3"/>
        <v>-1.0276052435843064E-3</v>
      </c>
      <c r="AI11" s="7">
        <f t="shared" si="4"/>
        <v>-3.1270157916138279E-6</v>
      </c>
      <c r="AJ11" s="7">
        <f t="shared" si="5"/>
        <v>5.2350732159747935E-6</v>
      </c>
      <c r="AK11" s="7">
        <f t="shared" si="6"/>
        <v>7.8125E-3</v>
      </c>
    </row>
    <row r="12" spans="2:37" x14ac:dyDescent="0.2">
      <c r="B12" t="s">
        <v>7</v>
      </c>
      <c r="C12" s="1">
        <v>250</v>
      </c>
      <c r="D12" t="s">
        <v>8</v>
      </c>
      <c r="F12" t="s">
        <v>98</v>
      </c>
      <c r="G12" s="1">
        <v>2.54</v>
      </c>
      <c r="H12" t="s">
        <v>16</v>
      </c>
      <c r="J12" t="s">
        <v>35</v>
      </c>
      <c r="K12">
        <f xml:space="preserve"> (G8 + G19 + G24 + G35 +G42)/60</f>
        <v>34.67079771753523</v>
      </c>
      <c r="L12" t="s">
        <v>96</v>
      </c>
      <c r="N12" t="s">
        <v>76</v>
      </c>
      <c r="O12">
        <f>O4/O11</f>
        <v>12.735778624282874</v>
      </c>
      <c r="R12" t="s">
        <v>76</v>
      </c>
      <c r="S12">
        <f>S9/S10</f>
        <v>12.742313044086149</v>
      </c>
      <c r="V12" t="s">
        <v>76</v>
      </c>
      <c r="W12">
        <f>W4/W11</f>
        <v>12.739964274654151</v>
      </c>
      <c r="AB12" s="7">
        <v>8</v>
      </c>
      <c r="AC12" s="7">
        <f t="shared" si="7"/>
        <v>0.328125</v>
      </c>
      <c r="AD12" s="7">
        <f t="shared" si="0"/>
        <v>3.0430126852085126E-3</v>
      </c>
      <c r="AE12" s="7">
        <f t="shared" si="8"/>
        <v>0.33203125</v>
      </c>
      <c r="AF12" s="7">
        <f t="shared" si="1"/>
        <v>-1.0276052435843064E-3</v>
      </c>
      <c r="AG12" s="7">
        <f t="shared" si="2"/>
        <v>0.330078125</v>
      </c>
      <c r="AH12" s="7">
        <f t="shared" si="3"/>
        <v>1.0072225420222902E-3</v>
      </c>
      <c r="AI12" s="7">
        <f t="shared" si="4"/>
        <v>3.0649909722017935E-6</v>
      </c>
      <c r="AJ12" s="7">
        <f t="shared" si="5"/>
        <v>-1.0350271656384198E-6</v>
      </c>
      <c r="AK12" s="7">
        <f t="shared" si="6"/>
        <v>3.90625E-3</v>
      </c>
    </row>
    <row r="13" spans="2:37" x14ac:dyDescent="0.2">
      <c r="B13" t="s">
        <v>9</v>
      </c>
      <c r="C13" s="1">
        <v>0.85</v>
      </c>
      <c r="F13" t="s">
        <v>99</v>
      </c>
      <c r="G13" s="1">
        <v>304.8</v>
      </c>
      <c r="H13" t="s">
        <v>14</v>
      </c>
      <c r="AB13" s="7">
        <v>9</v>
      </c>
      <c r="AC13" s="7">
        <f t="shared" si="7"/>
        <v>0.330078125</v>
      </c>
      <c r="AD13" s="7">
        <f t="shared" si="0"/>
        <v>1.0072225420222902E-3</v>
      </c>
      <c r="AE13" s="7">
        <f t="shared" si="8"/>
        <v>0.33203125</v>
      </c>
      <c r="AF13" s="7">
        <f t="shared" si="1"/>
        <v>-1.0276052435843064E-3</v>
      </c>
      <c r="AG13" s="7">
        <f t="shared" si="2"/>
        <v>0.3310546875</v>
      </c>
      <c r="AH13" s="7">
        <f t="shared" si="3"/>
        <v>-1.0310595830620439E-5</v>
      </c>
      <c r="AI13" s="7">
        <f t="shared" si="4"/>
        <v>-1.0385064542281947E-8</v>
      </c>
      <c r="AJ13" s="7">
        <f t="shared" si="5"/>
        <v>1.059522234002405E-8</v>
      </c>
      <c r="AK13" s="7">
        <f t="shared" si="6"/>
        <v>1.953125E-3</v>
      </c>
    </row>
    <row r="14" spans="2:37" x14ac:dyDescent="0.2">
      <c r="B14" t="s">
        <v>10</v>
      </c>
      <c r="C14" s="1">
        <v>0.8</v>
      </c>
      <c r="F14" t="s">
        <v>101</v>
      </c>
      <c r="G14">
        <f>SQRT($G$11^2-$G$12^2)</f>
        <v>49.935442323063484</v>
      </c>
      <c r="H14" t="s">
        <v>16</v>
      </c>
      <c r="N14" s="25" t="s">
        <v>130</v>
      </c>
      <c r="O14" s="29"/>
      <c r="P14" s="29"/>
      <c r="R14" s="25" t="s">
        <v>131</v>
      </c>
      <c r="S14" s="29"/>
      <c r="T14" s="29"/>
      <c r="V14" s="25" t="s">
        <v>132</v>
      </c>
      <c r="W14" s="29"/>
      <c r="X14" s="29"/>
      <c r="AB14" s="7">
        <v>10</v>
      </c>
      <c r="AC14" s="7">
        <f t="shared" si="7"/>
        <v>0.330078125</v>
      </c>
      <c r="AD14" s="7">
        <f t="shared" si="0"/>
        <v>1.0072225420222902E-3</v>
      </c>
      <c r="AE14" s="7">
        <f t="shared" si="8"/>
        <v>0.3310546875</v>
      </c>
      <c r="AF14" s="7">
        <f t="shared" si="1"/>
        <v>-1.0310595830620439E-5</v>
      </c>
      <c r="AG14" s="7">
        <f t="shared" si="2"/>
        <v>0.33056640625</v>
      </c>
      <c r="AH14" s="7">
        <f t="shared" si="3"/>
        <v>4.9842603157945753E-4</v>
      </c>
      <c r="AI14" s="7">
        <f t="shared" si="4"/>
        <v>5.0202593453754349E-7</v>
      </c>
      <c r="AJ14" s="7">
        <f t="shared" si="5"/>
        <v>-5.1390693630758465E-9</v>
      </c>
      <c r="AK14" s="7">
        <f t="shared" si="6"/>
        <v>9.765625E-4</v>
      </c>
    </row>
    <row r="15" spans="2:37" x14ac:dyDescent="0.2">
      <c r="F15" t="s">
        <v>102</v>
      </c>
      <c r="G15">
        <f>$G$14 * ($G$13/$G$12)</f>
        <v>5992.2530787676178</v>
      </c>
      <c r="H15" t="s">
        <v>14</v>
      </c>
      <c r="J15" t="s">
        <v>138</v>
      </c>
      <c r="K15" s="1">
        <v>1</v>
      </c>
      <c r="N15" t="s">
        <v>41</v>
      </c>
      <c r="O15">
        <f xml:space="preserve"> 90 - $C$32</f>
        <v>85</v>
      </c>
      <c r="P15" t="s">
        <v>62</v>
      </c>
      <c r="R15" t="s">
        <v>41</v>
      </c>
      <c r="S15">
        <f xml:space="preserve"> 90 - $C$32</f>
        <v>85</v>
      </c>
      <c r="T15" t="s">
        <v>62</v>
      </c>
      <c r="V15" t="s">
        <v>41</v>
      </c>
      <c r="W15">
        <f xml:space="preserve"> 90 - $C$32</f>
        <v>85</v>
      </c>
      <c r="X15" t="s">
        <v>62</v>
      </c>
      <c r="AB15" s="7">
        <v>11</v>
      </c>
      <c r="AC15" s="7">
        <f t="shared" si="7"/>
        <v>0.33056640625</v>
      </c>
      <c r="AD15" s="7">
        <f t="shared" si="0"/>
        <v>4.9842603157945753E-4</v>
      </c>
      <c r="AE15" s="7">
        <f t="shared" si="8"/>
        <v>0.3310546875</v>
      </c>
      <c r="AF15" s="7">
        <f t="shared" si="1"/>
        <v>-1.0310595830620439E-5</v>
      </c>
      <c r="AG15" s="7">
        <f t="shared" si="2"/>
        <v>0.330810546875</v>
      </c>
      <c r="AH15" s="7">
        <f t="shared" si="3"/>
        <v>2.4405024883611404E-4</v>
      </c>
      <c r="AI15" s="7">
        <f t="shared" si="4"/>
        <v>1.2164099703336345E-7</v>
      </c>
      <c r="AJ15" s="7">
        <f t="shared" si="5"/>
        <v>-2.516303478111518E-9</v>
      </c>
      <c r="AK15" s="7">
        <f t="shared" si="6"/>
        <v>4.8828125E-4</v>
      </c>
    </row>
    <row r="16" spans="2:37" x14ac:dyDescent="0.2">
      <c r="B16" s="24" t="s">
        <v>11</v>
      </c>
      <c r="C16" s="24"/>
      <c r="D16" s="24"/>
      <c r="F16" t="s">
        <v>103</v>
      </c>
      <c r="G16">
        <f>ATAN(G12/G14)/PI()*180</f>
        <v>2.9118789347687013</v>
      </c>
      <c r="H16" t="s">
        <v>62</v>
      </c>
      <c r="K16" s="1">
        <v>1</v>
      </c>
      <c r="N16" t="s">
        <v>30</v>
      </c>
      <c r="O16">
        <f>(O11+$C$17*$C$31*SIN(G16/180*PI()))/$C$6</f>
        <v>1448.7283302164976</v>
      </c>
      <c r="P16" t="s">
        <v>31</v>
      </c>
      <c r="R16" t="s">
        <v>30</v>
      </c>
      <c r="S16">
        <f xml:space="preserve"> S11 / $C$6</f>
        <v>879.86715053459625</v>
      </c>
      <c r="T16" t="s">
        <v>31</v>
      </c>
      <c r="V16" t="s">
        <v>30</v>
      </c>
      <c r="W16">
        <f>(W11-$C$17*$C$31*SIN(G32/180*PI()))/$C$6</f>
        <v>537.89266232268812</v>
      </c>
      <c r="X16" t="s">
        <v>31</v>
      </c>
      <c r="AB16" s="7">
        <v>12</v>
      </c>
      <c r="AC16" s="7">
        <f t="shared" si="7"/>
        <v>0.330810546875</v>
      </c>
      <c r="AD16" s="7">
        <f t="shared" si="0"/>
        <v>2.4405024883611404E-4</v>
      </c>
      <c r="AE16" s="7">
        <f t="shared" si="8"/>
        <v>0.3310546875</v>
      </c>
      <c r="AF16" s="7">
        <f t="shared" si="1"/>
        <v>-1.0310595830620439E-5</v>
      </c>
      <c r="AG16" s="7">
        <f t="shared" si="2"/>
        <v>0.3309326171875</v>
      </c>
      <c r="AH16" s="7">
        <f t="shared" si="3"/>
        <v>1.1686796128057564E-4</v>
      </c>
      <c r="AI16" s="7">
        <f t="shared" si="4"/>
        <v>2.8521655031493825E-8</v>
      </c>
      <c r="AJ16" s="7">
        <f t="shared" si="5"/>
        <v>-1.2049783143126141E-9</v>
      </c>
      <c r="AK16" s="7">
        <f t="shared" si="6"/>
        <v>2.44140625E-4</v>
      </c>
    </row>
    <row r="17" spans="2:37" x14ac:dyDescent="0.2">
      <c r="B17" s="2" t="s">
        <v>54</v>
      </c>
      <c r="C17" s="2">
        <v>1143.2591832399339</v>
      </c>
      <c r="D17" s="2" t="s">
        <v>12</v>
      </c>
      <c r="F17" t="s">
        <v>133</v>
      </c>
      <c r="G17">
        <f xml:space="preserve"> 1/1000 * (O21 + O16 * (O26 * O23 + $G$11 * SIN(O15/180*PI())))</f>
        <v>81.17551749922265</v>
      </c>
      <c r="H17" t="s">
        <v>91</v>
      </c>
      <c r="K17" s="1">
        <v>50</v>
      </c>
      <c r="N17" t="s">
        <v>42</v>
      </c>
      <c r="O17">
        <f xml:space="preserve"> PI() * $G$11 / ($C$19 * $C$23)</f>
        <v>157.07963267948966</v>
      </c>
      <c r="P17" t="s">
        <v>43</v>
      </c>
      <c r="R17" t="s">
        <v>42</v>
      </c>
      <c r="S17">
        <f xml:space="preserve"> PI() * $C$20 / ($C$19 * $C$23)</f>
        <v>157.07963267948966</v>
      </c>
      <c r="T17" t="s">
        <v>43</v>
      </c>
      <c r="V17" t="s">
        <v>42</v>
      </c>
      <c r="W17">
        <f xml:space="preserve"> PI() * $G$27 / ($C$19 * $C$23)</f>
        <v>157.07963267948966</v>
      </c>
      <c r="X17" t="s">
        <v>43</v>
      </c>
      <c r="AB17" s="7">
        <v>13</v>
      </c>
      <c r="AC17" s="7">
        <f t="shared" si="7"/>
        <v>0.3309326171875</v>
      </c>
      <c r="AD17" s="7">
        <f t="shared" si="0"/>
        <v>1.1686796128057564E-4</v>
      </c>
      <c r="AE17" s="7">
        <f t="shared" si="8"/>
        <v>0.3310546875</v>
      </c>
      <c r="AF17" s="7">
        <f t="shared" si="1"/>
        <v>-1.0310595830620439E-5</v>
      </c>
      <c r="AG17" s="7">
        <f t="shared" si="2"/>
        <v>0.33099365234375</v>
      </c>
      <c r="AH17" s="7">
        <f t="shared" si="3"/>
        <v>5.3278216673779966E-5</v>
      </c>
      <c r="AI17" s="7">
        <f t="shared" si="4"/>
        <v>6.2265165633294364E-9</v>
      </c>
      <c r="AJ17" s="7">
        <f t="shared" si="5"/>
        <v>-5.4933015869956805E-10</v>
      </c>
      <c r="AK17" s="7">
        <f t="shared" si="6"/>
        <v>1.220703125E-4</v>
      </c>
    </row>
    <row r="18" spans="2:37" x14ac:dyDescent="0.2">
      <c r="B18" t="s">
        <v>134</v>
      </c>
      <c r="C18" s="1">
        <v>1</v>
      </c>
      <c r="D18" t="s">
        <v>14</v>
      </c>
      <c r="F18" t="s">
        <v>105</v>
      </c>
      <c r="G18">
        <f>$C$6*G17</f>
        <v>81.17551749922265</v>
      </c>
      <c r="H18" t="s">
        <v>91</v>
      </c>
      <c r="K18" s="1">
        <v>16.2</v>
      </c>
      <c r="N18" t="s">
        <v>44</v>
      </c>
      <c r="O18">
        <f xml:space="preserve"> $G$11 * COS(O15/180*PI()) / (O17 * $C$19)</f>
        <v>2.7742534554270868E-2</v>
      </c>
      <c r="R18" t="s">
        <v>44</v>
      </c>
      <c r="S18">
        <f xml:space="preserve"> $C$20 * COS(S15/180*PI()) / (S17 * $C$19)</f>
        <v>2.7742534554270868E-2</v>
      </c>
      <c r="V18" t="s">
        <v>44</v>
      </c>
      <c r="W18">
        <f xml:space="preserve"> $G$27 * COS(W15/180*PI()) / (W17 * $C$19)</f>
        <v>2.7742534554270868E-2</v>
      </c>
      <c r="AB18" s="7">
        <v>14</v>
      </c>
      <c r="AC18" s="7">
        <f t="shared" si="7"/>
        <v>0.33099365234375</v>
      </c>
      <c r="AD18" s="7">
        <f t="shared" si="0"/>
        <v>5.3278216673779966E-5</v>
      </c>
      <c r="AE18" s="7">
        <f t="shared" si="8"/>
        <v>0.3310546875</v>
      </c>
      <c r="AF18" s="7">
        <f t="shared" si="1"/>
        <v>-1.0310595830620439E-5</v>
      </c>
      <c r="AG18" s="7">
        <f t="shared" si="2"/>
        <v>0.331024169921875</v>
      </c>
      <c r="AH18" s="7">
        <f t="shared" si="3"/>
        <v>2.1483693940560489E-5</v>
      </c>
      <c r="AI18" s="7">
        <f t="shared" si="4"/>
        <v>1.1446129007183554E-9</v>
      </c>
      <c r="AJ18" s="7">
        <f t="shared" si="5"/>
        <v>-2.2150968516986858E-10</v>
      </c>
      <c r="AK18" s="7">
        <f t="shared" si="6"/>
        <v>6.103515625E-5</v>
      </c>
    </row>
    <row r="19" spans="2:37" x14ac:dyDescent="0.2">
      <c r="B19" t="s">
        <v>135</v>
      </c>
      <c r="C19" s="1">
        <v>1</v>
      </c>
      <c r="D19" t="s">
        <v>14</v>
      </c>
      <c r="F19" t="s">
        <v>106</v>
      </c>
      <c r="G19">
        <f>$G$13/$G$12</f>
        <v>120</v>
      </c>
      <c r="H19" t="s">
        <v>22</v>
      </c>
      <c r="K19" s="1">
        <v>7.32</v>
      </c>
      <c r="N19" t="s">
        <v>45</v>
      </c>
      <c r="O19">
        <f xml:space="preserve"> O16 / ( $C$30 * PI() * $C$19^2 * O17^2 * $C$19^2)</f>
        <v>1.5256722163699256E-2</v>
      </c>
      <c r="R19" t="s">
        <v>45</v>
      </c>
      <c r="S19">
        <f xml:space="preserve"> S16 / ( $C$30 * PI() * $C$19^2 * S17^2 * $C$19^2)</f>
        <v>9.2659806374229044E-3</v>
      </c>
      <c r="V19" t="s">
        <v>45</v>
      </c>
      <c r="W19">
        <f xml:space="preserve"> W16 / ( $C$30 * PI() * $C$19^2 * W17^2 * $C$19^2)</f>
        <v>5.664608561719354E-3</v>
      </c>
      <c r="AB19" s="7">
        <v>15</v>
      </c>
      <c r="AC19" s="7">
        <f t="shared" si="7"/>
        <v>0.331024169921875</v>
      </c>
      <c r="AD19" s="7">
        <f t="shared" si="0"/>
        <v>2.1483693940560489E-5</v>
      </c>
      <c r="AE19" s="7">
        <f t="shared" si="8"/>
        <v>0.3310546875</v>
      </c>
      <c r="AF19" s="7">
        <f t="shared" si="1"/>
        <v>-1.0310595830620439E-5</v>
      </c>
      <c r="AG19" s="7">
        <f t="shared" si="2"/>
        <v>0.3310394287109375</v>
      </c>
      <c r="AH19" s="7">
        <f t="shared" si="3"/>
        <v>5.5865199387050701E-6</v>
      </c>
      <c r="AI19" s="7">
        <f t="shared" si="4"/>
        <v>1.2001908455597847E-10</v>
      </c>
      <c r="AJ19" s="7">
        <f t="shared" si="5"/>
        <v>-5.7600349187690449E-11</v>
      </c>
      <c r="AK19" s="7">
        <f t="shared" si="6"/>
        <v>3.0517578125E-5</v>
      </c>
    </row>
    <row r="20" spans="2:37" x14ac:dyDescent="0.2">
      <c r="B20" t="s">
        <v>15</v>
      </c>
      <c r="C20" s="1">
        <v>50</v>
      </c>
      <c r="D20" t="s">
        <v>16</v>
      </c>
      <c r="K20" s="1">
        <v>1</v>
      </c>
      <c r="N20" t="s">
        <v>4</v>
      </c>
      <c r="O20" s="1">
        <v>1.2E-2</v>
      </c>
      <c r="R20" t="s">
        <v>4</v>
      </c>
      <c r="S20" s="1">
        <v>1.2E-2</v>
      </c>
      <c r="V20" t="s">
        <v>4</v>
      </c>
      <c r="W20" s="1">
        <v>1.2E-2</v>
      </c>
      <c r="AB20" s="7">
        <v>16</v>
      </c>
      <c r="AC20" s="7">
        <f t="shared" si="7"/>
        <v>0.3310394287109375</v>
      </c>
      <c r="AD20" s="7">
        <f t="shared" si="0"/>
        <v>5.5865199387050701E-6</v>
      </c>
      <c r="AE20" s="7">
        <f t="shared" si="8"/>
        <v>0.3310546875</v>
      </c>
      <c r="AF20" s="7">
        <f t="shared" si="1"/>
        <v>-1.0310595830620439E-5</v>
      </c>
      <c r="AG20" s="7">
        <f t="shared" si="2"/>
        <v>0.33104705810546875</v>
      </c>
      <c r="AH20" s="7">
        <f t="shared" si="3"/>
        <v>-2.3620452245243229E-6</v>
      </c>
      <c r="AI20" s="7">
        <f t="shared" si="4"/>
        <v>-1.3195612742928224E-11</v>
      </c>
      <c r="AJ20" s="7">
        <f t="shared" si="5"/>
        <v>2.4354093643717403E-11</v>
      </c>
      <c r="AK20" s="7">
        <f t="shared" si="6"/>
        <v>1.52587890625E-5</v>
      </c>
    </row>
    <row r="21" spans="2:37" x14ac:dyDescent="0.2">
      <c r="B21" t="s">
        <v>17</v>
      </c>
      <c r="C21" s="1">
        <v>16.2</v>
      </c>
      <c r="D21" t="s">
        <v>18</v>
      </c>
      <c r="F21" s="25" t="s">
        <v>108</v>
      </c>
      <c r="G21" s="26"/>
      <c r="H21" s="26"/>
      <c r="N21" t="s">
        <v>46</v>
      </c>
      <c r="O21">
        <f xml:space="preserve"> ($C$8 * $O$20 / 8) * (1 + 4.65 * O18^2) * ( PI() * $C$30 * O17^3 * $C$19^ 5)</f>
        <v>2918.983971136362</v>
      </c>
      <c r="P21" t="s">
        <v>29</v>
      </c>
      <c r="R21" t="s">
        <v>46</v>
      </c>
      <c r="S21">
        <f xml:space="preserve"> ($C$8 * $S$20 / 8) * (1 + 4.65 * S18^2) * ( PI() * $C$30 * S17^3 * $C$19^5)</f>
        <v>2918.983971136362</v>
      </c>
      <c r="T21" t="s">
        <v>29</v>
      </c>
      <c r="V21" t="s">
        <v>46</v>
      </c>
      <c r="W21">
        <f xml:space="preserve"> ($C$8 * $W$20 / 8) * (1 + 4.65 * W18^2) * ( PI() * $C$30 * W17^3 * $C$19^ 5)</f>
        <v>2918.983971136362</v>
      </c>
      <c r="X21" t="s">
        <v>29</v>
      </c>
      <c r="AB21" s="7">
        <v>17</v>
      </c>
      <c r="AC21" s="7">
        <f t="shared" si="7"/>
        <v>0.3310394287109375</v>
      </c>
      <c r="AD21" s="7">
        <f t="shared" si="0"/>
        <v>5.5865199387050701E-6</v>
      </c>
      <c r="AE21" s="7">
        <f t="shared" si="8"/>
        <v>0.33104705810546875</v>
      </c>
      <c r="AF21" s="7">
        <f t="shared" si="1"/>
        <v>-2.3620452245243229E-6</v>
      </c>
      <c r="AG21" s="7">
        <f t="shared" si="2"/>
        <v>0.33104324340820312</v>
      </c>
      <c r="AH21" s="7">
        <f t="shared" si="3"/>
        <v>1.6122355374070807E-6</v>
      </c>
      <c r="AI21" s="7">
        <f t="shared" si="4"/>
        <v>9.0067859756135402E-12</v>
      </c>
      <c r="AJ21" s="7">
        <f t="shared" si="5"/>
        <v>-3.8081732519408006E-12</v>
      </c>
      <c r="AK21" s="7">
        <f t="shared" si="6"/>
        <v>7.62939453125E-6</v>
      </c>
    </row>
    <row r="22" spans="2:37" x14ac:dyDescent="0.2">
      <c r="B22" t="s">
        <v>5</v>
      </c>
      <c r="C22" s="1">
        <v>7.32</v>
      </c>
      <c r="F22" s="3" t="s">
        <v>136</v>
      </c>
      <c r="G22">
        <f xml:space="preserve"> 1/1000 * (S21 + S16 * (S26 * S23 + $C$20 * SIN(S15/180*PI())))</f>
        <v>48.962955359771151</v>
      </c>
      <c r="H22" t="s">
        <v>91</v>
      </c>
      <c r="J22" t="s">
        <v>139</v>
      </c>
      <c r="K22" s="1">
        <v>1.75</v>
      </c>
      <c r="N22" t="s">
        <v>47</v>
      </c>
      <c r="O22" s="4">
        <f>AG69</f>
        <v>0.33949378179386258</v>
      </c>
      <c r="R22" t="s">
        <v>47</v>
      </c>
      <c r="S22" s="4">
        <f>AG34</f>
        <v>0.33104479080066085</v>
      </c>
      <c r="V22" t="s">
        <v>47</v>
      </c>
      <c r="W22" s="4">
        <f>AG104</f>
        <v>0.32576166884973645</v>
      </c>
      <c r="AB22" s="7">
        <v>18</v>
      </c>
      <c r="AC22" s="7">
        <f t="shared" si="7"/>
        <v>0.33104324340820312</v>
      </c>
      <c r="AD22" s="7">
        <f t="shared" si="0"/>
        <v>1.6122355374070807E-6</v>
      </c>
      <c r="AE22" s="7">
        <f t="shared" si="8"/>
        <v>0.33104705810546875</v>
      </c>
      <c r="AF22" s="7">
        <f t="shared" si="1"/>
        <v>-2.3620452245243229E-6</v>
      </c>
      <c r="AG22" s="7">
        <f t="shared" si="2"/>
        <v>0.33104515075683594</v>
      </c>
      <c r="AH22" s="7">
        <f t="shared" si="3"/>
        <v>-3.7490529847250542E-7</v>
      </c>
      <c r="AI22" s="7">
        <f t="shared" si="4"/>
        <v>-6.044356453595818E-13</v>
      </c>
      <c r="AJ22" s="7">
        <f t="shared" si="5"/>
        <v>8.8554326990584733E-13</v>
      </c>
      <c r="AK22" s="7">
        <f t="shared" si="6"/>
        <v>3.814697265625E-6</v>
      </c>
    </row>
    <row r="23" spans="2:37" x14ac:dyDescent="0.2">
      <c r="B23" t="s">
        <v>19</v>
      </c>
      <c r="C23" s="1">
        <v>1</v>
      </c>
      <c r="F23" s="3" t="s">
        <v>137</v>
      </c>
      <c r="G23">
        <f xml:space="preserve"> $C$6 * G22</f>
        <v>48.962955359771151</v>
      </c>
      <c r="H23" t="s">
        <v>91</v>
      </c>
      <c r="K23" s="1">
        <v>0.87</v>
      </c>
      <c r="N23" t="s">
        <v>48</v>
      </c>
      <c r="O23">
        <f xml:space="preserve"> O17 * $C$19 * O22 - $G$11 * SIN(O15/180*PI())</f>
        <v>3.5178236365634703</v>
      </c>
      <c r="P23" t="s">
        <v>16</v>
      </c>
      <c r="R23" t="s">
        <v>48</v>
      </c>
      <c r="S23">
        <f xml:space="preserve"> S17 * $C$19 * S22 - $C$20 * SIN(S15/180*PI())</f>
        <v>2.1906592348390248</v>
      </c>
      <c r="T23" t="s">
        <v>16</v>
      </c>
      <c r="V23" t="s">
        <v>48</v>
      </c>
      <c r="W23">
        <f xml:space="preserve"> W17 * $C$19 * W22 - $G$27 * SIN(W15/180*PI())</f>
        <v>1.360788379386868</v>
      </c>
      <c r="X23" t="s">
        <v>16</v>
      </c>
      <c r="AB23" s="7">
        <v>19</v>
      </c>
      <c r="AC23" s="7">
        <f t="shared" si="7"/>
        <v>0.33104324340820312</v>
      </c>
      <c r="AD23" s="7">
        <f t="shared" si="0"/>
        <v>1.6122355374070807E-6</v>
      </c>
      <c r="AE23" s="7">
        <f t="shared" si="8"/>
        <v>0.33104515075683594</v>
      </c>
      <c r="AF23" s="7">
        <f t="shared" si="1"/>
        <v>-3.7490529847250542E-7</v>
      </c>
      <c r="AG23" s="7">
        <f t="shared" si="2"/>
        <v>0.33104419708251953</v>
      </c>
      <c r="AH23" s="7">
        <f t="shared" si="3"/>
        <v>6.1866500572493877E-7</v>
      </c>
      <c r="AI23" s="7">
        <f t="shared" si="4"/>
        <v>9.9743370797990127E-13</v>
      </c>
      <c r="AJ23" s="7">
        <f t="shared" si="5"/>
        <v>-2.3194078862580243E-13</v>
      </c>
      <c r="AK23" s="7">
        <f t="shared" si="6"/>
        <v>1.9073486328125E-6</v>
      </c>
    </row>
    <row r="24" spans="2:37" x14ac:dyDescent="0.2">
      <c r="F24" s="3" t="s">
        <v>110</v>
      </c>
      <c r="G24">
        <f xml:space="preserve"> ($C$27-G15-G31)/$C$20</f>
        <v>1600.2478630521136</v>
      </c>
      <c r="H24" t="s">
        <v>22</v>
      </c>
      <c r="K24" s="1">
        <v>40</v>
      </c>
      <c r="N24" t="s">
        <v>49</v>
      </c>
      <c r="O24">
        <f xml:space="preserve"> 1/$C$9 - O21 * SQRT( (2*$C$30*PI()*$C$19^2) / O16^3 )</f>
        <v>1.1864713938390095</v>
      </c>
      <c r="R24" t="s">
        <v>49</v>
      </c>
      <c r="S24">
        <f xml:space="preserve"> 1/$C$9 - S21 * SQRT( (2*$C$30*PI()*$C$19^2) / S16^3 )</f>
        <v>1.0230460100112975</v>
      </c>
      <c r="V24" t="s">
        <v>49</v>
      </c>
      <c r="W24">
        <f xml:space="preserve"> 1/$C$9 - W21 * SQRT( (2*$C$30*PI()*$C$19^2) / W16^3 )</f>
        <v>0.68418154347322513</v>
      </c>
      <c r="AB24" s="7">
        <v>20</v>
      </c>
      <c r="AC24" s="7">
        <f t="shared" si="7"/>
        <v>0.33104419708251953</v>
      </c>
      <c r="AD24" s="7">
        <f t="shared" si="0"/>
        <v>6.1866500572493877E-7</v>
      </c>
      <c r="AE24" s="7">
        <f t="shared" si="8"/>
        <v>0.33104515075683594</v>
      </c>
      <c r="AF24" s="7">
        <f t="shared" si="1"/>
        <v>-3.7490529847250542E-7</v>
      </c>
      <c r="AG24" s="7">
        <f t="shared" si="2"/>
        <v>0.33104467391967773</v>
      </c>
      <c r="AH24" s="7">
        <f t="shared" si="3"/>
        <v>1.2187982517675167E-7</v>
      </c>
      <c r="AI24" s="7">
        <f t="shared" si="4"/>
        <v>7.5402782740729602E-14</v>
      </c>
      <c r="AJ24" s="7">
        <f t="shared" si="5"/>
        <v>-4.5693392235666863E-14</v>
      </c>
      <c r="AK24" s="7">
        <f t="shared" si="6"/>
        <v>9.5367431640625E-7</v>
      </c>
    </row>
    <row r="25" spans="2:37" x14ac:dyDescent="0.2">
      <c r="B25" s="20" t="s">
        <v>20</v>
      </c>
      <c r="C25" s="20"/>
      <c r="D25" s="20"/>
      <c r="F25" s="3"/>
      <c r="K25" s="1">
        <v>20</v>
      </c>
      <c r="N25" t="s">
        <v>50</v>
      </c>
      <c r="O25" s="1">
        <v>1.1499999999999999</v>
      </c>
      <c r="R25" t="s">
        <v>50</v>
      </c>
      <c r="S25" s="1">
        <v>1.1499999999999999</v>
      </c>
      <c r="V25" t="s">
        <v>50</v>
      </c>
      <c r="W25" s="1">
        <v>1.1499999999999999</v>
      </c>
      <c r="AB25" s="7">
        <v>21</v>
      </c>
      <c r="AC25" s="7">
        <f t="shared" si="7"/>
        <v>0.33104467391967773</v>
      </c>
      <c r="AD25" s="7">
        <f t="shared" si="0"/>
        <v>1.2187982517675167E-7</v>
      </c>
      <c r="AE25" s="7">
        <f t="shared" si="8"/>
        <v>0.33104515075683594</v>
      </c>
      <c r="AF25" s="7">
        <f t="shared" si="1"/>
        <v>-3.7490529847250542E-7</v>
      </c>
      <c r="AG25" s="7">
        <f t="shared" si="2"/>
        <v>0.33104491233825684</v>
      </c>
      <c r="AH25" s="7">
        <f t="shared" si="3"/>
        <v>-1.2651274378105981E-7</v>
      </c>
      <c r="AI25" s="7">
        <f t="shared" si="4"/>
        <v>-1.5419351094666747E-14</v>
      </c>
      <c r="AJ25" s="7">
        <f t="shared" si="5"/>
        <v>4.7430297967813834E-14</v>
      </c>
      <c r="AK25" s="7">
        <f t="shared" si="6"/>
        <v>4.76837158203125E-7</v>
      </c>
    </row>
    <row r="26" spans="2:37" x14ac:dyDescent="0.2">
      <c r="B26" t="s">
        <v>107</v>
      </c>
      <c r="C26" s="1">
        <v>400</v>
      </c>
      <c r="D26" t="s">
        <v>12</v>
      </c>
      <c r="F26" s="25" t="s">
        <v>111</v>
      </c>
      <c r="G26" s="26"/>
      <c r="H26" s="26"/>
      <c r="K26" s="1">
        <v>6</v>
      </c>
      <c r="N26" t="s">
        <v>51</v>
      </c>
      <c r="O26">
        <f xml:space="preserve"> 1/$C$36 * LN( EXP($C$36 * O24) + EXP($C$36 * O25) )</f>
        <v>1.1960981126999453</v>
      </c>
      <c r="R26" t="s">
        <v>51</v>
      </c>
      <c r="S26">
        <f xml:space="preserve"> 1/$C$36 * LN( EXP($C$36 * S24) + EXP($C$36 * S25) )</f>
        <v>1.1507312133128274</v>
      </c>
      <c r="V26" t="s">
        <v>51</v>
      </c>
      <c r="W26">
        <f xml:space="preserve"> 1/$C$36 * LN( EXP($C$36 * W24) + EXP($C$36 * W25) )</f>
        <v>1.1500000284319731</v>
      </c>
      <c r="AB26" s="7">
        <v>22</v>
      </c>
      <c r="AC26" s="7">
        <f t="shared" si="7"/>
        <v>0.33104467391967773</v>
      </c>
      <c r="AD26" s="7">
        <f t="shared" si="0"/>
        <v>1.2187982517675167E-7</v>
      </c>
      <c r="AE26" s="7">
        <f t="shared" si="8"/>
        <v>0.33104491233825684</v>
      </c>
      <c r="AF26" s="7">
        <f t="shared" si="1"/>
        <v>-1.2651274378105981E-7</v>
      </c>
      <c r="AG26" s="7">
        <f t="shared" si="2"/>
        <v>0.33104479312896729</v>
      </c>
      <c r="AH26" s="7">
        <f t="shared" si="3"/>
        <v>-2.3164610785109119E-9</v>
      </c>
      <c r="AI26" s="7">
        <f t="shared" si="4"/>
        <v>-2.8232987127765955E-16</v>
      </c>
      <c r="AJ26" s="7">
        <f t="shared" si="5"/>
        <v>2.9306184690444846E-16</v>
      </c>
      <c r="AK26" s="7">
        <f t="shared" si="6"/>
        <v>2.384185791015625E-7</v>
      </c>
    </row>
    <row r="27" spans="2:37" x14ac:dyDescent="0.2">
      <c r="B27" t="s">
        <v>21</v>
      </c>
      <c r="C27" s="1">
        <v>96000</v>
      </c>
      <c r="D27" t="s">
        <v>14</v>
      </c>
      <c r="F27" s="3" t="s">
        <v>97</v>
      </c>
      <c r="G27" s="1">
        <f>$C$20</f>
        <v>50</v>
      </c>
      <c r="H27" t="s">
        <v>16</v>
      </c>
      <c r="K27" s="1">
        <v>1.3</v>
      </c>
      <c r="AB27" s="7">
        <v>23</v>
      </c>
      <c r="AC27" s="7">
        <f t="shared" si="7"/>
        <v>0.33104467391967773</v>
      </c>
      <c r="AD27" s="7">
        <f t="shared" si="0"/>
        <v>1.2187982517675167E-7</v>
      </c>
      <c r="AE27" s="7">
        <f t="shared" si="8"/>
        <v>0.33104479312896729</v>
      </c>
      <c r="AF27" s="7">
        <f t="shared" si="1"/>
        <v>-2.3164610785109119E-9</v>
      </c>
      <c r="AG27" s="7">
        <f t="shared" si="2"/>
        <v>0.33104473352432251</v>
      </c>
      <c r="AH27" s="7">
        <f t="shared" si="3"/>
        <v>5.9781681605031167E-8</v>
      </c>
      <c r="AI27" s="7">
        <f t="shared" si="4"/>
        <v>7.2861809027934301E-15</v>
      </c>
      <c r="AJ27" s="7">
        <f t="shared" si="5"/>
        <v>-1.3848193864598645E-16</v>
      </c>
      <c r="AK27" s="7">
        <f t="shared" si="6"/>
        <v>1.1920928955078125E-7</v>
      </c>
    </row>
    <row r="28" spans="2:37" x14ac:dyDescent="0.2">
      <c r="F28" t="s">
        <v>98</v>
      </c>
      <c r="G28" s="1">
        <v>1.524</v>
      </c>
      <c r="H28" t="s">
        <v>16</v>
      </c>
      <c r="AB28" s="7">
        <v>24</v>
      </c>
      <c r="AC28" s="7">
        <f t="shared" si="7"/>
        <v>0.33104473352432251</v>
      </c>
      <c r="AD28" s="7">
        <f t="shared" si="0"/>
        <v>5.9781681605031167E-8</v>
      </c>
      <c r="AE28" s="7">
        <f t="shared" si="8"/>
        <v>0.33104479312896729</v>
      </c>
      <c r="AF28" s="7">
        <f t="shared" si="1"/>
        <v>-2.3164610785109119E-9</v>
      </c>
      <c r="AG28" s="7">
        <f t="shared" si="2"/>
        <v>0.3310447633266449</v>
      </c>
      <c r="AH28" s="7">
        <f t="shared" si="3"/>
        <v>2.8732610179993401E-8</v>
      </c>
      <c r="AI28" s="7">
        <f t="shared" si="4"/>
        <v>1.7176837534618428E-15</v>
      </c>
      <c r="AJ28" s="7">
        <f t="shared" si="5"/>
        <v>-6.6557973165981113E-17</v>
      </c>
      <c r="AK28" s="7">
        <f t="shared" si="6"/>
        <v>5.9604644775390625E-8</v>
      </c>
    </row>
    <row r="29" spans="2:37" x14ac:dyDescent="0.2">
      <c r="B29" s="13" t="s">
        <v>109</v>
      </c>
      <c r="C29" s="13"/>
      <c r="D29" s="13"/>
      <c r="F29" t="s">
        <v>99</v>
      </c>
      <c r="G29" s="1">
        <v>304.8</v>
      </c>
      <c r="H29" t="s">
        <v>14</v>
      </c>
      <c r="AB29" s="7">
        <v>25</v>
      </c>
      <c r="AC29" s="7">
        <f t="shared" si="7"/>
        <v>0.3310447633266449</v>
      </c>
      <c r="AD29" s="7">
        <f t="shared" si="0"/>
        <v>2.8732610179993401E-8</v>
      </c>
      <c r="AE29" s="7">
        <f t="shared" si="8"/>
        <v>0.33104479312896729</v>
      </c>
      <c r="AF29" s="7">
        <f t="shared" si="1"/>
        <v>-2.3164610785109119E-9</v>
      </c>
      <c r="AG29" s="7">
        <f t="shared" si="2"/>
        <v>0.33104477822780609</v>
      </c>
      <c r="AH29" s="7">
        <f t="shared" si="3"/>
        <v>1.3208074522985669E-8</v>
      </c>
      <c r="AI29" s="7">
        <f t="shared" si="4"/>
        <v>3.7950245649724952E-16</v>
      </c>
      <c r="AJ29" s="7">
        <f t="shared" si="5"/>
        <v>-3.059599055456788E-17</v>
      </c>
      <c r="AK29" s="7">
        <f t="shared" si="6"/>
        <v>2.9802322387695312E-8</v>
      </c>
    </row>
    <row r="30" spans="2:37" x14ac:dyDescent="0.2">
      <c r="B30" t="s">
        <v>23</v>
      </c>
      <c r="C30" s="1">
        <v>1.2250000000000001</v>
      </c>
      <c r="D30" t="s">
        <v>24</v>
      </c>
      <c r="F30" t="s">
        <v>101</v>
      </c>
      <c r="G30">
        <f>SQRT($G$27^2-$G$28^2)</f>
        <v>49.976768843133506</v>
      </c>
      <c r="H30" t="s">
        <v>16</v>
      </c>
      <c r="AB30" s="7">
        <v>26</v>
      </c>
      <c r="AC30" s="7">
        <f>IF(AI29&gt;0, AG29, AC29)</f>
        <v>0.33104477822780609</v>
      </c>
      <c r="AD30" s="7">
        <f t="shared" si="0"/>
        <v>1.3208074522985669E-8</v>
      </c>
      <c r="AE30" s="7">
        <f t="shared" si="8"/>
        <v>0.33104479312896729</v>
      </c>
      <c r="AF30" s="7">
        <f t="shared" si="1"/>
        <v>-2.3164610785109119E-9</v>
      </c>
      <c r="AG30" s="7">
        <f t="shared" si="2"/>
        <v>0.33104478567838669</v>
      </c>
      <c r="AH30" s="7">
        <f t="shared" si="3"/>
        <v>5.4458066944818029E-9</v>
      </c>
      <c r="AI30" s="7">
        <f t="shared" si="4"/>
        <v>7.1928620658489901E-17</v>
      </c>
      <c r="AJ30" s="7">
        <f t="shared" si="5"/>
        <v>-1.2614999248861261E-17</v>
      </c>
      <c r="AK30" s="7">
        <f t="shared" si="6"/>
        <v>1.4901161193847656E-8</v>
      </c>
    </row>
    <row r="31" spans="2:37" x14ac:dyDescent="0.2">
      <c r="B31" t="s">
        <v>25</v>
      </c>
      <c r="C31" s="1">
        <v>9.8066499999999994</v>
      </c>
      <c r="D31" t="s">
        <v>26</v>
      </c>
      <c r="F31" t="s">
        <v>102</v>
      </c>
      <c r="G31">
        <f>$G$30 * ($G$29/$G$28)</f>
        <v>9995.3537686267009</v>
      </c>
      <c r="H31" t="s">
        <v>14</v>
      </c>
      <c r="AB31" s="7">
        <v>27</v>
      </c>
      <c r="AC31" s="7">
        <f t="shared" si="7"/>
        <v>0.33104478567838669</v>
      </c>
      <c r="AD31" s="7">
        <f t="shared" si="0"/>
        <v>5.4458066944818029E-9</v>
      </c>
      <c r="AE31" s="7">
        <f t="shared" si="8"/>
        <v>0.33104479312896729</v>
      </c>
      <c r="AF31" s="7">
        <f t="shared" si="1"/>
        <v>-2.3164610785109119E-9</v>
      </c>
      <c r="AG31" s="7">
        <f t="shared" si="2"/>
        <v>0.33104478940367699</v>
      </c>
      <c r="AH31" s="7">
        <f t="shared" si="3"/>
        <v>1.5646728357410211E-9</v>
      </c>
      <c r="AI31" s="7">
        <f t="shared" si="4"/>
        <v>8.5209058035522791E-18</v>
      </c>
      <c r="AJ31" s="7">
        <f t="shared" si="5"/>
        <v>-3.6245037245973726E-18</v>
      </c>
      <c r="AK31" s="7">
        <f t="shared" si="6"/>
        <v>7.4505805969238281E-9</v>
      </c>
    </row>
    <row r="32" spans="2:37" x14ac:dyDescent="0.2">
      <c r="B32" t="s">
        <v>61</v>
      </c>
      <c r="C32" s="1">
        <v>5</v>
      </c>
      <c r="D32" t="s">
        <v>62</v>
      </c>
      <c r="F32" t="s">
        <v>103</v>
      </c>
      <c r="G32">
        <f>ATAN(G28/G30)/PI()*180</f>
        <v>1.7466458786346903</v>
      </c>
      <c r="H32" t="s">
        <v>62</v>
      </c>
      <c r="AB32" s="7">
        <v>28</v>
      </c>
      <c r="AC32" s="7">
        <f t="shared" si="7"/>
        <v>0.33104478940367699</v>
      </c>
      <c r="AD32" s="7">
        <f t="shared" si="0"/>
        <v>1.5646728357410211E-9</v>
      </c>
      <c r="AE32" s="7">
        <f t="shared" si="8"/>
        <v>0.33104479312896729</v>
      </c>
      <c r="AF32" s="7">
        <f t="shared" si="1"/>
        <v>-2.3164610785109119E-9</v>
      </c>
      <c r="AG32" s="7">
        <f t="shared" si="2"/>
        <v>0.33104479126632214</v>
      </c>
      <c r="AH32" s="7">
        <f t="shared" si="3"/>
        <v>-3.7589414914052099E-10</v>
      </c>
      <c r="AI32" s="7">
        <f t="shared" si="4"/>
        <v>-5.881513642741573E-19</v>
      </c>
      <c r="AJ32" s="7">
        <f t="shared" si="5"/>
        <v>8.7074416612399282E-19</v>
      </c>
      <c r="AK32" s="7">
        <f t="shared" si="6"/>
        <v>3.7252902984619141E-9</v>
      </c>
    </row>
    <row r="33" spans="2:37" x14ac:dyDescent="0.2">
      <c r="B33" t="s">
        <v>112</v>
      </c>
      <c r="C33" s="1">
        <v>0.8</v>
      </c>
      <c r="F33" t="s">
        <v>133</v>
      </c>
      <c r="G33">
        <f>1/1000 * (W21 + W16 * (W26 * W23 + $G$27 * SIN(W15/180*PI())))</f>
        <v>30.553026706246261</v>
      </c>
      <c r="H33" t="s">
        <v>91</v>
      </c>
      <c r="AB33" s="7">
        <v>29</v>
      </c>
      <c r="AC33" s="7">
        <f t="shared" si="7"/>
        <v>0.33104478940367699</v>
      </c>
      <c r="AD33" s="7">
        <f t="shared" si="0"/>
        <v>1.5646728357410211E-9</v>
      </c>
      <c r="AE33" s="7">
        <f t="shared" si="8"/>
        <v>0.33104479126632214</v>
      </c>
      <c r="AF33" s="7">
        <f t="shared" si="1"/>
        <v>-3.7589414914052099E-10</v>
      </c>
      <c r="AG33" s="7">
        <f t="shared" si="2"/>
        <v>0.33104479033499956</v>
      </c>
      <c r="AH33" s="7">
        <f t="shared" si="3"/>
        <v>5.9438937105582568E-10</v>
      </c>
      <c r="AI33" s="7">
        <f t="shared" si="4"/>
        <v>9.3002490274424078E-19</v>
      </c>
      <c r="AJ33" s="7">
        <f t="shared" si="5"/>
        <v>-2.2342748689119901E-19</v>
      </c>
      <c r="AK33" s="7">
        <f t="shared" si="6"/>
        <v>1.862645149230957E-9</v>
      </c>
    </row>
    <row r="34" spans="2:37" x14ac:dyDescent="0.2">
      <c r="F34" t="s">
        <v>113</v>
      </c>
      <c r="G34">
        <f>$C$6*G33</f>
        <v>30.553026706246261</v>
      </c>
      <c r="H34" t="s">
        <v>91</v>
      </c>
      <c r="AB34" s="7">
        <v>30</v>
      </c>
      <c r="AC34" s="7">
        <f t="shared" si="7"/>
        <v>0.33104479033499956</v>
      </c>
      <c r="AD34" s="7">
        <f t="shared" si="0"/>
        <v>5.9438937105582568E-10</v>
      </c>
      <c r="AE34" s="7">
        <f t="shared" si="8"/>
        <v>0.33104479126632214</v>
      </c>
      <c r="AF34" s="7">
        <f t="shared" si="1"/>
        <v>-3.7589414914052099E-10</v>
      </c>
      <c r="AG34" s="7">
        <f t="shared" si="2"/>
        <v>0.33104479080066085</v>
      </c>
      <c r="AH34" s="7">
        <f t="shared" si="3"/>
        <v>1.0924761095765234E-10</v>
      </c>
      <c r="AI34" s="7">
        <f t="shared" si="4"/>
        <v>6.4935618766470505E-20</v>
      </c>
      <c r="AJ34" s="7">
        <f t="shared" si="5"/>
        <v>-4.1065537766561385E-20</v>
      </c>
      <c r="AK34" s="7">
        <f t="shared" si="6"/>
        <v>9.3132257461547852E-10</v>
      </c>
    </row>
    <row r="35" spans="2:37" x14ac:dyDescent="0.2">
      <c r="B35" s="24" t="s">
        <v>27</v>
      </c>
      <c r="C35" s="24"/>
      <c r="D35" s="24"/>
      <c r="F35" t="s">
        <v>114</v>
      </c>
      <c r="G35">
        <f>$G$29/$G$28</f>
        <v>200</v>
      </c>
      <c r="H35" t="s">
        <v>22</v>
      </c>
    </row>
    <row r="36" spans="2:37" x14ac:dyDescent="0.2">
      <c r="B36" t="s">
        <v>28</v>
      </c>
      <c r="C36" s="1">
        <v>30</v>
      </c>
    </row>
    <row r="37" spans="2:37" x14ac:dyDescent="0.2">
      <c r="F37" s="9" t="s">
        <v>115</v>
      </c>
      <c r="G37" s="10"/>
      <c r="H37" s="10"/>
      <c r="AB37" s="5" t="s">
        <v>116</v>
      </c>
    </row>
    <row r="38" spans="2:37" x14ac:dyDescent="0.2">
      <c r="B38" s="20" t="s">
        <v>140</v>
      </c>
      <c r="C38" s="20"/>
      <c r="D38" s="20"/>
      <c r="F38" t="s">
        <v>117</v>
      </c>
      <c r="G38" s="1">
        <v>1.524</v>
      </c>
      <c r="H38" t="s">
        <v>16</v>
      </c>
      <c r="AB38" s="6" t="s">
        <v>63</v>
      </c>
      <c r="AC38" s="6" t="s">
        <v>64</v>
      </c>
      <c r="AD38" s="6" t="s">
        <v>65</v>
      </c>
      <c r="AE38" s="6" t="s">
        <v>66</v>
      </c>
      <c r="AF38" s="6" t="s">
        <v>67</v>
      </c>
      <c r="AG38" s="6" t="s">
        <v>68</v>
      </c>
      <c r="AH38" s="6" t="s">
        <v>69</v>
      </c>
      <c r="AI38" s="6" t="s">
        <v>70</v>
      </c>
      <c r="AJ38" s="6" t="s">
        <v>71</v>
      </c>
      <c r="AK38" s="6" t="s">
        <v>72</v>
      </c>
    </row>
    <row r="39" spans="2:37" x14ac:dyDescent="0.2">
      <c r="B39" t="s">
        <v>141</v>
      </c>
      <c r="C39" s="1">
        <v>2</v>
      </c>
      <c r="F39" t="s">
        <v>118</v>
      </c>
      <c r="G39" s="1">
        <v>152.4</v>
      </c>
      <c r="H39" t="s">
        <v>14</v>
      </c>
      <c r="AB39" s="7">
        <v>0</v>
      </c>
      <c r="AC39" s="8">
        <v>0</v>
      </c>
      <c r="AD39" s="7">
        <f xml:space="preserve"> $O$18 * TAN($O$15/180*PI()) + $O$19 / (2 * SQRT($O$18^2 + AC39^2)) - AC39</f>
        <v>0.59206848959642633</v>
      </c>
      <c r="AE39" s="8">
        <v>1</v>
      </c>
      <c r="AF39" s="7">
        <f xml:space="preserve"> $O$18 * TAN($O$15/180*PI()) + $O$19 / (2 * SQRT($O$18^2 + AE39^2)) - AE39</f>
        <v>-0.67527595183551326</v>
      </c>
      <c r="AG39" s="7">
        <f xml:space="preserve"> (AC39 + AE39)/2</f>
        <v>0.5</v>
      </c>
      <c r="AH39" s="7">
        <f xml:space="preserve"> $O$18 * TAN($O$15/180*PI()) + $O$19 / (2 * SQRT($O$18^2 + AG39^2)) - AG39</f>
        <v>-0.16766808740209616</v>
      </c>
      <c r="AI39" s="7">
        <f>AD39*AH39</f>
        <v>-9.9270991261680666E-2</v>
      </c>
      <c r="AJ39" s="7">
        <f>AF39*AH39</f>
        <v>0.11322222731289051</v>
      </c>
      <c r="AK39" s="7">
        <f>AE39-AC39</f>
        <v>1</v>
      </c>
    </row>
    <row r="40" spans="2:37" x14ac:dyDescent="0.2">
      <c r="B40" t="s">
        <v>150</v>
      </c>
      <c r="C40" s="1">
        <v>4</v>
      </c>
      <c r="F40" t="s">
        <v>119</v>
      </c>
      <c r="G40">
        <f xml:space="preserve"> 1/1000 * IF( $G$38&gt;=2*SQRT(($C$17*$C$31)/(2*$C$30*$C$5*PI()*$C$18*$C$18)), ($C$17*$C$31)/$C$9 * ( ($G$38/2) - SQRT( ($G$38/2)^2 - ($C$17*$C$31)/(2*$C$30*$C$5*PI()*$C$18*$C$18 ) ) ), 1/$C$9 * SQRT(($C$17*$C$31)^3/(2*$C$30*$C$5*PI()*$C$18*$C$18)) )</f>
        <v>201.71297084757273</v>
      </c>
      <c r="H40" t="s">
        <v>91</v>
      </c>
      <c r="AB40" s="7">
        <v>1</v>
      </c>
      <c r="AC40" s="7">
        <f>IF(AI39&gt;0, AG39, AC39)</f>
        <v>0</v>
      </c>
      <c r="AD40" s="7">
        <f t="shared" ref="AD40:AD69" si="9" xml:space="preserve"> $O$18 * TAN($O$15/180*PI()) + $O$19 / (2 * SQRT($O$18^2 + AC40^2)) - AC40</f>
        <v>0.59206848959642633</v>
      </c>
      <c r="AE40" s="7">
        <f>IF(AJ39&gt;0, AG39, AE39)</f>
        <v>0.5</v>
      </c>
      <c r="AF40" s="7">
        <f t="shared" ref="AF40:AF69" si="10" xml:space="preserve"> $O$18 * TAN($O$15/180*PI()) + $O$19 / (2 * SQRT($O$18^2 + AE40^2)) - AE40</f>
        <v>-0.16766808740209616</v>
      </c>
      <c r="AG40" s="7">
        <f t="shared" ref="AG40:AG69" si="11" xml:space="preserve"> (AC40 + AE40)/2</f>
        <v>0.25</v>
      </c>
      <c r="AH40" s="7">
        <f t="shared" ref="AH40:AH69" si="12" xml:space="preserve"> $O$18 * TAN($O$15/180*PI()) + $O$19 / (2 * SQRT($O$18^2 + AG40^2)) - AG40</f>
        <v>9.7425905921299683E-2</v>
      </c>
      <c r="AI40" s="7">
        <f t="shared" ref="AI40:AI69" si="13">AD40*AH40</f>
        <v>5.768280896638743E-2</v>
      </c>
      <c r="AJ40" s="7">
        <f t="shared" ref="AJ40:AJ69" si="14">AF40*AH40</f>
        <v>-1.6335215309240873E-2</v>
      </c>
      <c r="AK40" s="7">
        <f t="shared" ref="AK40:AK69" si="15">AE40-AC40</f>
        <v>0.5</v>
      </c>
    </row>
    <row r="41" spans="2:37" x14ac:dyDescent="0.2">
      <c r="B41" t="s">
        <v>142</v>
      </c>
      <c r="C41" s="1">
        <v>0.14399999999999999</v>
      </c>
      <c r="F41" t="s">
        <v>30</v>
      </c>
      <c r="G41">
        <f xml:space="preserve"> $C$17 * $C$31 / $C$5</f>
        <v>1401.4428336649871</v>
      </c>
      <c r="H41" t="s">
        <v>31</v>
      </c>
      <c r="AB41" s="7">
        <v>2</v>
      </c>
      <c r="AC41" s="7">
        <f t="shared" ref="AC41:AC69" si="16">IF(AI40&gt;0, AG40, AC40)</f>
        <v>0.25</v>
      </c>
      <c r="AD41" s="7">
        <f t="shared" si="9"/>
        <v>9.7425905921299683E-2</v>
      </c>
      <c r="AE41" s="7">
        <f t="shared" ref="AE41:AE69" si="17">IF(AJ40&gt;0, AG40, AE40)</f>
        <v>0.5</v>
      </c>
      <c r="AF41" s="7">
        <f t="shared" si="10"/>
        <v>-0.16766808740209616</v>
      </c>
      <c r="AG41" s="7">
        <f t="shared" si="11"/>
        <v>0.375</v>
      </c>
      <c r="AH41" s="7">
        <f t="shared" si="12"/>
        <v>-3.7614522593274302E-2</v>
      </c>
      <c r="AI41" s="7">
        <f t="shared" si="13"/>
        <v>-3.6646289394469435E-3</v>
      </c>
      <c r="AJ41" s="7">
        <f t="shared" si="14"/>
        <v>6.3067550617572363E-3</v>
      </c>
      <c r="AK41" s="7">
        <f t="shared" si="15"/>
        <v>0.25</v>
      </c>
    </row>
    <row r="42" spans="2:37" x14ac:dyDescent="0.2">
      <c r="F42" t="s">
        <v>120</v>
      </c>
      <c r="G42">
        <f xml:space="preserve"> $G$39/$G$38</f>
        <v>100</v>
      </c>
      <c r="H42" t="s">
        <v>22</v>
      </c>
      <c r="AB42" s="7">
        <v>3</v>
      </c>
      <c r="AC42" s="7">
        <f>IF(AI41&gt;0, AG41, AC41)</f>
        <v>0.25</v>
      </c>
      <c r="AD42" s="7">
        <f t="shared" si="9"/>
        <v>9.7425905921299683E-2</v>
      </c>
      <c r="AE42" s="7">
        <f t="shared" si="17"/>
        <v>0.375</v>
      </c>
      <c r="AF42" s="7">
        <f t="shared" si="10"/>
        <v>-3.7614522593274302E-2</v>
      </c>
      <c r="AG42" s="7">
        <f t="shared" si="11"/>
        <v>0.3125</v>
      </c>
      <c r="AH42" s="7">
        <f t="shared" si="12"/>
        <v>2.8913748310476606E-2</v>
      </c>
      <c r="AI42" s="7">
        <f t="shared" si="13"/>
        <v>2.8169481227286316E-3</v>
      </c>
      <c r="AJ42" s="7">
        <f t="shared" si="14"/>
        <v>-1.0875768390806689E-3</v>
      </c>
      <c r="AK42" s="7">
        <f t="shared" si="15"/>
        <v>0.125</v>
      </c>
    </row>
    <row r="43" spans="2:37" x14ac:dyDescent="0.2">
      <c r="B43" s="20" t="s">
        <v>143</v>
      </c>
      <c r="C43" s="20"/>
      <c r="D43" s="20"/>
      <c r="AB43" s="7">
        <v>4</v>
      </c>
      <c r="AC43" s="7">
        <f t="shared" si="16"/>
        <v>0.3125</v>
      </c>
      <c r="AD43" s="7">
        <f t="shared" si="9"/>
        <v>2.8913748310476606E-2</v>
      </c>
      <c r="AE43" s="7">
        <f t="shared" si="17"/>
        <v>0.375</v>
      </c>
      <c r="AF43" s="7">
        <f t="shared" si="10"/>
        <v>-3.7614522593274302E-2</v>
      </c>
      <c r="AG43" s="7">
        <f t="shared" si="11"/>
        <v>0.34375</v>
      </c>
      <c r="AH43" s="7">
        <f t="shared" si="12"/>
        <v>-4.5317032384732392E-3</v>
      </c>
      <c r="AI43" s="7">
        <f t="shared" si="13"/>
        <v>-1.3102852685498699E-4</v>
      </c>
      <c r="AJ43" s="7">
        <f t="shared" si="14"/>
        <v>1.7045785384956597E-4</v>
      </c>
      <c r="AK43" s="7">
        <f t="shared" si="15"/>
        <v>6.25E-2</v>
      </c>
    </row>
    <row r="44" spans="2:37" x14ac:dyDescent="0.2">
      <c r="B44" t="s">
        <v>144</v>
      </c>
      <c r="C44" s="1">
        <v>4</v>
      </c>
      <c r="AB44" s="7">
        <v>5</v>
      </c>
      <c r="AC44" s="7">
        <f t="shared" si="16"/>
        <v>0.3125</v>
      </c>
      <c r="AD44" s="7">
        <f t="shared" si="9"/>
        <v>2.8913748310476606E-2</v>
      </c>
      <c r="AE44" s="7">
        <f t="shared" si="17"/>
        <v>0.34375</v>
      </c>
      <c r="AF44" s="7">
        <f t="shared" si="10"/>
        <v>-4.5317032384732392E-3</v>
      </c>
      <c r="AG44" s="7">
        <f t="shared" si="11"/>
        <v>0.328125</v>
      </c>
      <c r="AH44" s="7">
        <f t="shared" si="12"/>
        <v>1.2139307240199348E-2</v>
      </c>
      <c r="AI44" s="7">
        <f t="shared" si="13"/>
        <v>3.5099287420667033E-4</v>
      </c>
      <c r="AJ44" s="7">
        <f t="shared" si="14"/>
        <v>-5.5011737933233025E-5</v>
      </c>
      <c r="AK44" s="7">
        <f t="shared" si="15"/>
        <v>3.125E-2</v>
      </c>
    </row>
    <row r="45" spans="2:37" x14ac:dyDescent="0.2">
      <c r="B45" t="s">
        <v>145</v>
      </c>
      <c r="C45" s="1">
        <v>9</v>
      </c>
      <c r="D45" t="s">
        <v>14</v>
      </c>
      <c r="AB45" s="7">
        <v>6</v>
      </c>
      <c r="AC45" s="7">
        <f t="shared" si="16"/>
        <v>0.328125</v>
      </c>
      <c r="AD45" s="7">
        <f t="shared" si="9"/>
        <v>1.2139307240199348E-2</v>
      </c>
      <c r="AE45" s="7">
        <f t="shared" si="17"/>
        <v>0.34375</v>
      </c>
      <c r="AF45" s="7">
        <f t="shared" si="10"/>
        <v>-4.5317032384732392E-3</v>
      </c>
      <c r="AG45" s="7">
        <f t="shared" si="11"/>
        <v>0.3359375</v>
      </c>
      <c r="AH45" s="7">
        <f t="shared" si="12"/>
        <v>3.7917627136015986E-3</v>
      </c>
      <c r="AI45" s="7">
        <f t="shared" si="13"/>
        <v>4.6029372562341813E-5</v>
      </c>
      <c r="AJ45" s="7">
        <f t="shared" si="14"/>
        <v>-1.7183143368750443E-5</v>
      </c>
      <c r="AK45" s="7">
        <f t="shared" si="15"/>
        <v>1.5625E-2</v>
      </c>
    </row>
    <row r="46" spans="2:37" x14ac:dyDescent="0.2">
      <c r="B46" t="s">
        <v>146</v>
      </c>
      <c r="C46" s="1">
        <v>1.8</v>
      </c>
      <c r="D46" t="s">
        <v>14</v>
      </c>
      <c r="AB46" s="7">
        <v>7</v>
      </c>
      <c r="AC46" s="7">
        <f t="shared" si="16"/>
        <v>0.3359375</v>
      </c>
      <c r="AD46" s="7">
        <f t="shared" si="9"/>
        <v>3.7917627136015986E-3</v>
      </c>
      <c r="AE46" s="7">
        <f t="shared" si="17"/>
        <v>0.34375</v>
      </c>
      <c r="AF46" s="7">
        <f t="shared" si="10"/>
        <v>-4.5317032384732392E-3</v>
      </c>
      <c r="AG46" s="7">
        <f t="shared" si="11"/>
        <v>0.33984375</v>
      </c>
      <c r="AH46" s="7">
        <f t="shared" si="12"/>
        <v>-3.7287768612020988E-4</v>
      </c>
      <c r="AI46" s="7">
        <f t="shared" si="13"/>
        <v>-1.4138637069646521E-6</v>
      </c>
      <c r="AJ46" s="7">
        <f t="shared" si="14"/>
        <v>1.6897710177453631E-6</v>
      </c>
      <c r="AK46" s="7">
        <f t="shared" si="15"/>
        <v>7.8125E-3</v>
      </c>
    </row>
    <row r="47" spans="2:37" x14ac:dyDescent="0.2">
      <c r="AB47" s="7">
        <v>8</v>
      </c>
      <c r="AC47" s="7">
        <f t="shared" si="16"/>
        <v>0.3359375</v>
      </c>
      <c r="AD47" s="7">
        <f t="shared" si="9"/>
        <v>3.7917627136015986E-3</v>
      </c>
      <c r="AE47" s="7">
        <f t="shared" si="17"/>
        <v>0.33984375</v>
      </c>
      <c r="AF47" s="7">
        <f t="shared" si="10"/>
        <v>-3.7287768612020988E-4</v>
      </c>
      <c r="AG47" s="7">
        <f t="shared" si="11"/>
        <v>0.337890625</v>
      </c>
      <c r="AH47" s="7">
        <f t="shared" si="12"/>
        <v>1.708703221748098E-3</v>
      </c>
      <c r="AI47" s="7">
        <f t="shared" si="13"/>
        <v>6.4789971648353621E-6</v>
      </c>
      <c r="AJ47" s="7">
        <f t="shared" si="14"/>
        <v>-6.3713730359157862E-7</v>
      </c>
      <c r="AK47" s="7">
        <f t="shared" si="15"/>
        <v>3.90625E-3</v>
      </c>
    </row>
    <row r="48" spans="2:37" x14ac:dyDescent="0.2">
      <c r="B48" s="20" t="s">
        <v>147</v>
      </c>
      <c r="C48" s="20"/>
      <c r="D48" s="20"/>
      <c r="AB48" s="7">
        <v>9</v>
      </c>
      <c r="AC48" s="7">
        <f t="shared" si="16"/>
        <v>0.337890625</v>
      </c>
      <c r="AD48" s="7">
        <f t="shared" si="9"/>
        <v>1.708703221748098E-3</v>
      </c>
      <c r="AE48" s="7">
        <f t="shared" si="17"/>
        <v>0.33984375</v>
      </c>
      <c r="AF48" s="7">
        <f t="shared" si="10"/>
        <v>-3.7287768612020988E-4</v>
      </c>
      <c r="AG48" s="7">
        <f t="shared" si="11"/>
        <v>0.3388671875</v>
      </c>
      <c r="AH48" s="7">
        <f t="shared" si="12"/>
        <v>6.6772952134969144E-4</v>
      </c>
      <c r="AI48" s="7">
        <f t="shared" si="13"/>
        <v>1.1409515843865332E-6</v>
      </c>
      <c r="AJ48" s="7">
        <f t="shared" si="14"/>
        <v>-2.4898143887502821E-7</v>
      </c>
      <c r="AK48" s="7">
        <f t="shared" si="15"/>
        <v>1.953125E-3</v>
      </c>
    </row>
    <row r="49" spans="2:37" x14ac:dyDescent="0.2">
      <c r="B49" t="s">
        <v>148</v>
      </c>
      <c r="C49" s="1">
        <v>0.3</v>
      </c>
      <c r="D49" t="s">
        <v>14</v>
      </c>
      <c r="AB49" s="7">
        <v>10</v>
      </c>
      <c r="AC49" s="7">
        <f t="shared" si="16"/>
        <v>0.3388671875</v>
      </c>
      <c r="AD49" s="7">
        <f t="shared" si="9"/>
        <v>6.6772952134969144E-4</v>
      </c>
      <c r="AE49" s="7">
        <f t="shared" si="17"/>
        <v>0.33984375</v>
      </c>
      <c r="AF49" s="7">
        <f t="shared" si="10"/>
        <v>-3.7287768612020988E-4</v>
      </c>
      <c r="AG49" s="7">
        <f t="shared" si="11"/>
        <v>0.33935546875</v>
      </c>
      <c r="AH49" s="7">
        <f t="shared" si="12"/>
        <v>1.4738030111377531E-4</v>
      </c>
      <c r="AI49" s="7">
        <f t="shared" si="13"/>
        <v>9.8410177919074581E-8</v>
      </c>
      <c r="AJ49" s="7">
        <f t="shared" si="14"/>
        <v>-5.495482565900433E-8</v>
      </c>
      <c r="AK49" s="7">
        <f t="shared" si="15"/>
        <v>9.765625E-4</v>
      </c>
    </row>
    <row r="50" spans="2:37" x14ac:dyDescent="0.2">
      <c r="B50" t="s">
        <v>149</v>
      </c>
      <c r="C50" s="1">
        <v>5.7</v>
      </c>
      <c r="AB50" s="7">
        <v>11</v>
      </c>
      <c r="AC50" s="7">
        <f t="shared" si="16"/>
        <v>0.33935546875</v>
      </c>
      <c r="AD50" s="7">
        <f t="shared" si="9"/>
        <v>1.4738030111377531E-4</v>
      </c>
      <c r="AE50" s="7">
        <f t="shared" si="17"/>
        <v>0.33984375</v>
      </c>
      <c r="AF50" s="7">
        <f t="shared" si="10"/>
        <v>-3.7287768612020988E-4</v>
      </c>
      <c r="AG50" s="7">
        <f t="shared" si="11"/>
        <v>0.339599609375</v>
      </c>
      <c r="AH50" s="7">
        <f t="shared" si="12"/>
        <v>-1.1276007235977437E-4</v>
      </c>
      <c r="AI50" s="7">
        <f t="shared" si="13"/>
        <v>-1.661861341799464E-8</v>
      </c>
      <c r="AJ50" s="7">
        <f t="shared" si="14"/>
        <v>4.2045714868260102E-8</v>
      </c>
      <c r="AK50" s="7">
        <f t="shared" si="15"/>
        <v>4.8828125E-4</v>
      </c>
    </row>
    <row r="51" spans="2:37" x14ac:dyDescent="0.2">
      <c r="AB51" s="7">
        <v>12</v>
      </c>
      <c r="AC51" s="7">
        <f t="shared" si="16"/>
        <v>0.33935546875</v>
      </c>
      <c r="AD51" s="7">
        <f t="shared" si="9"/>
        <v>1.4738030111377531E-4</v>
      </c>
      <c r="AE51" s="7">
        <f t="shared" si="17"/>
        <v>0.339599609375</v>
      </c>
      <c r="AF51" s="7">
        <f t="shared" si="10"/>
        <v>-1.1276007235977437E-4</v>
      </c>
      <c r="AG51" s="7">
        <f t="shared" si="11"/>
        <v>0.3394775390625</v>
      </c>
      <c r="AH51" s="7">
        <f t="shared" si="12"/>
        <v>1.7307266384658515E-5</v>
      </c>
      <c r="AI51" s="7">
        <f t="shared" si="13"/>
        <v>2.5507501312272933E-9</v>
      </c>
      <c r="AJ51" s="7">
        <f t="shared" si="14"/>
        <v>-1.9515686098839845E-9</v>
      </c>
      <c r="AK51" s="7">
        <f t="shared" si="15"/>
        <v>2.44140625E-4</v>
      </c>
    </row>
    <row r="52" spans="2:37" x14ac:dyDescent="0.2">
      <c r="B52" s="20" t="s">
        <v>151</v>
      </c>
      <c r="C52" s="20"/>
      <c r="D52" s="20"/>
      <c r="AB52" s="7">
        <v>13</v>
      </c>
      <c r="AC52" s="7">
        <f t="shared" si="16"/>
        <v>0.3394775390625</v>
      </c>
      <c r="AD52" s="7">
        <f t="shared" si="9"/>
        <v>1.7307266384658515E-5</v>
      </c>
      <c r="AE52" s="7">
        <f t="shared" si="17"/>
        <v>0.339599609375</v>
      </c>
      <c r="AF52" s="7">
        <f t="shared" si="10"/>
        <v>-1.1276007235977437E-4</v>
      </c>
      <c r="AG52" s="7">
        <f t="shared" si="11"/>
        <v>0.33953857421875</v>
      </c>
      <c r="AH52" s="7">
        <f t="shared" si="12"/>
        <v>-4.772711460676593E-5</v>
      </c>
      <c r="AI52" s="7">
        <f t="shared" si="13"/>
        <v>-8.2602588627042437E-10</v>
      </c>
      <c r="AJ52" s="7">
        <f t="shared" si="14"/>
        <v>5.3817128965821701E-9</v>
      </c>
      <c r="AK52" s="7">
        <f t="shared" si="15"/>
        <v>1.220703125E-4</v>
      </c>
    </row>
    <row r="53" spans="2:37" x14ac:dyDescent="0.2">
      <c r="B53" t="s">
        <v>149</v>
      </c>
      <c r="C53" s="1">
        <v>3</v>
      </c>
      <c r="AB53" s="7">
        <v>14</v>
      </c>
      <c r="AC53" s="7">
        <f t="shared" si="16"/>
        <v>0.3394775390625</v>
      </c>
      <c r="AD53" s="7">
        <f t="shared" si="9"/>
        <v>1.7307266384658515E-5</v>
      </c>
      <c r="AE53" s="7">
        <f t="shared" si="17"/>
        <v>0.33953857421875</v>
      </c>
      <c r="AF53" s="7">
        <f t="shared" si="10"/>
        <v>-4.772711460676593E-5</v>
      </c>
      <c r="AG53" s="7">
        <f t="shared" si="11"/>
        <v>0.339508056640625</v>
      </c>
      <c r="AH53" s="7">
        <f t="shared" si="12"/>
        <v>-1.5210102063178965E-5</v>
      </c>
      <c r="AI53" s="7">
        <f t="shared" si="13"/>
        <v>-2.6324528814528245E-10</v>
      </c>
      <c r="AJ53" s="7">
        <f t="shared" si="14"/>
        <v>7.2593428434994942E-10</v>
      </c>
      <c r="AK53" s="7">
        <f t="shared" si="15"/>
        <v>6.103515625E-5</v>
      </c>
    </row>
    <row r="54" spans="2:37" x14ac:dyDescent="0.2">
      <c r="AB54" s="7">
        <v>15</v>
      </c>
      <c r="AC54" s="7">
        <f t="shared" si="16"/>
        <v>0.3394775390625</v>
      </c>
      <c r="AD54" s="7">
        <f t="shared" si="9"/>
        <v>1.7307266384658515E-5</v>
      </c>
      <c r="AE54" s="7">
        <f t="shared" si="17"/>
        <v>0.339508056640625</v>
      </c>
      <c r="AF54" s="7">
        <f t="shared" si="10"/>
        <v>-1.5210102063178965E-5</v>
      </c>
      <c r="AG54" s="7">
        <f t="shared" si="11"/>
        <v>0.3394927978515625</v>
      </c>
      <c r="AH54" s="7">
        <f t="shared" si="12"/>
        <v>1.0485376667479507E-6</v>
      </c>
      <c r="AI54" s="7">
        <f t="shared" si="13"/>
        <v>1.8147320712755081E-11</v>
      </c>
      <c r="AJ54" s="7">
        <f t="shared" si="14"/>
        <v>-1.5948364928323863E-11</v>
      </c>
      <c r="AK54" s="7">
        <f t="shared" si="15"/>
        <v>3.0517578125E-5</v>
      </c>
    </row>
    <row r="55" spans="2:37" x14ac:dyDescent="0.2">
      <c r="B55" s="20" t="s">
        <v>152</v>
      </c>
      <c r="C55" s="20"/>
      <c r="D55" s="20"/>
      <c r="AB55" s="7">
        <v>16</v>
      </c>
      <c r="AC55" s="7">
        <f t="shared" si="16"/>
        <v>0.3394927978515625</v>
      </c>
      <c r="AD55" s="7">
        <f t="shared" si="9"/>
        <v>1.0485376667479507E-6</v>
      </c>
      <c r="AE55" s="7">
        <f t="shared" si="17"/>
        <v>0.339508056640625</v>
      </c>
      <c r="AF55" s="7">
        <f t="shared" si="10"/>
        <v>-1.5210102063178965E-5</v>
      </c>
      <c r="AG55" s="7">
        <f t="shared" si="11"/>
        <v>0.33950042724609375</v>
      </c>
      <c r="AH55" s="7">
        <f t="shared" si="12"/>
        <v>-7.0807933209571239E-6</v>
      </c>
      <c r="AI55" s="7">
        <f t="shared" si="13"/>
        <v>-7.4244785074808557E-12</v>
      </c>
      <c r="AJ55" s="7">
        <f t="shared" si="14"/>
        <v>1.0769958910003378E-10</v>
      </c>
      <c r="AK55" s="7">
        <f t="shared" si="15"/>
        <v>1.52587890625E-5</v>
      </c>
    </row>
    <row r="56" spans="2:37" x14ac:dyDescent="0.2">
      <c r="B56" t="s">
        <v>153</v>
      </c>
      <c r="C56" s="1">
        <v>2</v>
      </c>
      <c r="AB56" s="7">
        <v>17</v>
      </c>
      <c r="AC56" s="7">
        <f t="shared" si="16"/>
        <v>0.3394927978515625</v>
      </c>
      <c r="AD56" s="7">
        <f t="shared" si="9"/>
        <v>1.0485376667479507E-6</v>
      </c>
      <c r="AE56" s="7">
        <f t="shared" si="17"/>
        <v>0.33950042724609375</v>
      </c>
      <c r="AF56" s="7">
        <f t="shared" si="10"/>
        <v>-7.0807933209571239E-6</v>
      </c>
      <c r="AG56" s="7">
        <f t="shared" si="11"/>
        <v>0.33949661254882812</v>
      </c>
      <c r="AH56" s="7">
        <f t="shared" si="12"/>
        <v>-3.0161306078801964E-6</v>
      </c>
      <c r="AI56" s="7">
        <f t="shared" si="13"/>
        <v>-3.1625265501937795E-12</v>
      </c>
      <c r="AJ56" s="7">
        <f t="shared" si="14"/>
        <v>2.1356597463412446E-11</v>
      </c>
      <c r="AK56" s="7">
        <f t="shared" si="15"/>
        <v>7.62939453125E-6</v>
      </c>
    </row>
    <row r="57" spans="2:37" x14ac:dyDescent="0.2">
      <c r="B57" t="s">
        <v>154</v>
      </c>
      <c r="C57" s="1">
        <v>2</v>
      </c>
      <c r="D57" t="s">
        <v>18</v>
      </c>
      <c r="AB57" s="7">
        <v>18</v>
      </c>
      <c r="AC57" s="7">
        <f t="shared" si="16"/>
        <v>0.3394927978515625</v>
      </c>
      <c r="AD57" s="7">
        <f t="shared" si="9"/>
        <v>1.0485376667479507E-6</v>
      </c>
      <c r="AE57" s="7">
        <f t="shared" si="17"/>
        <v>0.33949661254882812</v>
      </c>
      <c r="AF57" s="7">
        <f t="shared" si="10"/>
        <v>-3.0161306078801964E-6</v>
      </c>
      <c r="AG57" s="7">
        <f t="shared" si="11"/>
        <v>0.33949470520019531</v>
      </c>
      <c r="AH57" s="7">
        <f t="shared" si="12"/>
        <v>-9.8379716573226972E-7</v>
      </c>
      <c r="AI57" s="7">
        <f t="shared" si="13"/>
        <v>-1.031548384710161E-12</v>
      </c>
      <c r="AJ57" s="7">
        <f t="shared" si="14"/>
        <v>2.9672607435108849E-12</v>
      </c>
      <c r="AK57" s="7">
        <f t="shared" si="15"/>
        <v>3.814697265625E-6</v>
      </c>
    </row>
    <row r="58" spans="2:37" x14ac:dyDescent="0.2">
      <c r="B58" t="s">
        <v>155</v>
      </c>
      <c r="C58" s="1">
        <f>0.15*1.25</f>
        <v>0.1875</v>
      </c>
      <c r="D58" t="s">
        <v>14</v>
      </c>
      <c r="AB58" s="7">
        <v>19</v>
      </c>
      <c r="AC58" s="7">
        <f t="shared" si="16"/>
        <v>0.3394927978515625</v>
      </c>
      <c r="AD58" s="7">
        <f t="shared" si="9"/>
        <v>1.0485376667479507E-6</v>
      </c>
      <c r="AE58" s="7">
        <f t="shared" si="17"/>
        <v>0.33949470520019531</v>
      </c>
      <c r="AF58" s="7">
        <f t="shared" si="10"/>
        <v>-9.8379716573226972E-7</v>
      </c>
      <c r="AG58" s="7">
        <f t="shared" si="11"/>
        <v>0.33949375152587891</v>
      </c>
      <c r="AH58" s="7">
        <f t="shared" si="12"/>
        <v>3.2370076730181552E-8</v>
      </c>
      <c r="AI58" s="7">
        <f t="shared" si="13"/>
        <v>3.3941244727116694E-14</v>
      </c>
      <c r="AJ58" s="7">
        <f t="shared" si="14"/>
        <v>-3.1845589741688705E-14</v>
      </c>
      <c r="AK58" s="7">
        <f t="shared" si="15"/>
        <v>1.9073486328125E-6</v>
      </c>
    </row>
    <row r="59" spans="2:37" x14ac:dyDescent="0.2">
      <c r="AB59" s="7">
        <v>20</v>
      </c>
      <c r="AC59" s="7">
        <f t="shared" si="16"/>
        <v>0.33949375152587891</v>
      </c>
      <c r="AD59" s="7">
        <f t="shared" si="9"/>
        <v>3.2370076730181552E-8</v>
      </c>
      <c r="AE59" s="7">
        <f t="shared" si="17"/>
        <v>0.33949470520019531</v>
      </c>
      <c r="AF59" s="7">
        <f t="shared" si="10"/>
        <v>-9.8379716573226972E-7</v>
      </c>
      <c r="AG59" s="7">
        <f t="shared" si="11"/>
        <v>0.33949422836303711</v>
      </c>
      <c r="AH59" s="7">
        <f t="shared" si="12"/>
        <v>-4.757135879662755E-7</v>
      </c>
      <c r="AI59" s="7">
        <f t="shared" si="13"/>
        <v>-1.5398885344058309E-14</v>
      </c>
      <c r="AJ59" s="7">
        <f t="shared" si="14"/>
        <v>4.6800567954155061E-13</v>
      </c>
      <c r="AK59" s="7">
        <f t="shared" si="15"/>
        <v>9.5367431640625E-7</v>
      </c>
    </row>
    <row r="60" spans="2:37" x14ac:dyDescent="0.2">
      <c r="B60" s="20" t="s">
        <v>156</v>
      </c>
      <c r="C60" s="20"/>
      <c r="D60" s="20"/>
      <c r="AB60" s="7">
        <v>21</v>
      </c>
      <c r="AC60" s="7">
        <f t="shared" si="16"/>
        <v>0.33949375152587891</v>
      </c>
      <c r="AD60" s="7">
        <f t="shared" si="9"/>
        <v>3.2370076730181552E-8</v>
      </c>
      <c r="AE60" s="7">
        <f t="shared" si="17"/>
        <v>0.33949422836303711</v>
      </c>
      <c r="AF60" s="7">
        <f t="shared" si="10"/>
        <v>-4.757135879662755E-7</v>
      </c>
      <c r="AG60" s="7">
        <f t="shared" si="11"/>
        <v>0.33949398994445801</v>
      </c>
      <c r="AH60" s="7">
        <f t="shared" si="12"/>
        <v>-2.2167176649823261E-7</v>
      </c>
      <c r="AI60" s="7">
        <f t="shared" si="13"/>
        <v>-7.1755320904626784E-15</v>
      </c>
      <c r="AJ60" s="7">
        <f t="shared" si="14"/>
        <v>1.0545227139169666E-13</v>
      </c>
      <c r="AK60" s="7">
        <f t="shared" si="15"/>
        <v>4.76837158203125E-7</v>
      </c>
    </row>
    <row r="61" spans="2:37" x14ac:dyDescent="0.2">
      <c r="B61" t="s">
        <v>157</v>
      </c>
      <c r="C61" s="1">
        <v>1.2</v>
      </c>
      <c r="AB61" s="7">
        <v>22</v>
      </c>
      <c r="AC61" s="7">
        <f t="shared" si="16"/>
        <v>0.33949375152587891</v>
      </c>
      <c r="AD61" s="7">
        <f t="shared" si="9"/>
        <v>3.2370076730181552E-8</v>
      </c>
      <c r="AE61" s="7">
        <f t="shared" si="17"/>
        <v>0.33949398994445801</v>
      </c>
      <c r="AF61" s="7">
        <f t="shared" si="10"/>
        <v>-2.2167176649823261E-7</v>
      </c>
      <c r="AG61" s="7">
        <f t="shared" si="11"/>
        <v>0.33949387073516846</v>
      </c>
      <c r="AH61" s="7">
        <f t="shared" si="12"/>
        <v>-9.4650847604071942E-8</v>
      </c>
      <c r="AI61" s="7">
        <f t="shared" si="13"/>
        <v>-3.0638551995205293E-15</v>
      </c>
      <c r="AJ61" s="7">
        <f t="shared" si="14"/>
        <v>2.0981420588949636E-14</v>
      </c>
      <c r="AK61" s="7">
        <f t="shared" si="15"/>
        <v>2.384185791015625E-7</v>
      </c>
    </row>
    <row r="62" spans="2:37" x14ac:dyDescent="0.2">
      <c r="B62" t="s">
        <v>158</v>
      </c>
      <c r="C62" s="1">
        <v>2.5</v>
      </c>
      <c r="D62" t="s">
        <v>18</v>
      </c>
      <c r="AB62" s="7">
        <v>23</v>
      </c>
      <c r="AC62" s="7">
        <f t="shared" si="16"/>
        <v>0.33949375152587891</v>
      </c>
      <c r="AD62" s="7">
        <f t="shared" si="9"/>
        <v>3.2370076730181552E-8</v>
      </c>
      <c r="AE62" s="7">
        <f t="shared" si="17"/>
        <v>0.33949387073516846</v>
      </c>
      <c r="AF62" s="7">
        <f t="shared" si="10"/>
        <v>-9.4650847604071942E-8</v>
      </c>
      <c r="AG62" s="7">
        <f t="shared" si="11"/>
        <v>0.33949381113052368</v>
      </c>
      <c r="AH62" s="7">
        <f t="shared" si="12"/>
        <v>-3.1140386158590161E-8</v>
      </c>
      <c r="AI62" s="7">
        <f t="shared" si="13"/>
        <v>-1.0080166893610471E-15</v>
      </c>
      <c r="AJ62" s="7">
        <f t="shared" si="14"/>
        <v>2.9474639446286686E-15</v>
      </c>
      <c r="AK62" s="7">
        <f t="shared" si="15"/>
        <v>1.1920928955078125E-7</v>
      </c>
    </row>
    <row r="63" spans="2:37" x14ac:dyDescent="0.2">
      <c r="B63" t="s">
        <v>159</v>
      </c>
      <c r="C63" s="1">
        <f>0.12*2.92</f>
        <v>0.35039999999999999</v>
      </c>
      <c r="D63" t="s">
        <v>14</v>
      </c>
      <c r="AB63" s="7">
        <v>24</v>
      </c>
      <c r="AC63" s="7">
        <f t="shared" si="16"/>
        <v>0.33949375152587891</v>
      </c>
      <c r="AD63" s="7">
        <f t="shared" si="9"/>
        <v>3.2370076730181552E-8</v>
      </c>
      <c r="AE63" s="7">
        <f t="shared" si="17"/>
        <v>0.33949381113052368</v>
      </c>
      <c r="AF63" s="7">
        <f t="shared" si="10"/>
        <v>-3.1140386158590161E-8</v>
      </c>
      <c r="AG63" s="7">
        <f t="shared" si="11"/>
        <v>0.33949378132820129</v>
      </c>
      <c r="AH63" s="7">
        <f t="shared" si="12"/>
        <v>6.1484511926224172E-10</v>
      </c>
      <c r="AI63" s="7">
        <f t="shared" si="13"/>
        <v>1.9902583687696392E-17</v>
      </c>
      <c r="AJ63" s="7">
        <f t="shared" si="14"/>
        <v>-1.9146514441550629E-17</v>
      </c>
      <c r="AK63" s="7">
        <f t="shared" si="15"/>
        <v>5.9604644775390625E-8</v>
      </c>
    </row>
    <row r="64" spans="2:37" x14ac:dyDescent="0.2">
      <c r="B64" t="s">
        <v>160</v>
      </c>
      <c r="C64" s="1">
        <v>35</v>
      </c>
      <c r="D64" t="s">
        <v>62</v>
      </c>
      <c r="AB64" s="7">
        <v>25</v>
      </c>
      <c r="AC64" s="7">
        <f t="shared" si="16"/>
        <v>0.33949378132820129</v>
      </c>
      <c r="AD64" s="7">
        <f t="shared" si="9"/>
        <v>6.1484511926224172E-10</v>
      </c>
      <c r="AE64" s="7">
        <f t="shared" si="17"/>
        <v>0.33949381113052368</v>
      </c>
      <c r="AF64" s="7">
        <f t="shared" si="10"/>
        <v>-3.1140386158590161E-8</v>
      </c>
      <c r="AG64" s="7">
        <f t="shared" si="11"/>
        <v>0.33949379622936249</v>
      </c>
      <c r="AH64" s="7">
        <f t="shared" si="12"/>
        <v>-1.5262770547419535E-8</v>
      </c>
      <c r="AI64" s="7">
        <f t="shared" si="13"/>
        <v>-9.3842399775003945E-18</v>
      </c>
      <c r="AJ64" s="7">
        <f t="shared" si="14"/>
        <v>4.7528856869660086E-16</v>
      </c>
      <c r="AK64" s="7">
        <f t="shared" si="15"/>
        <v>2.9802322387695312E-8</v>
      </c>
    </row>
    <row r="65" spans="28:37" x14ac:dyDescent="0.2">
      <c r="AB65" s="7">
        <v>26</v>
      </c>
      <c r="AC65" s="7">
        <f t="shared" si="16"/>
        <v>0.33949378132820129</v>
      </c>
      <c r="AD65" s="7">
        <f t="shared" si="9"/>
        <v>6.1484511926224172E-10</v>
      </c>
      <c r="AE65" s="7">
        <f t="shared" si="17"/>
        <v>0.33949379622936249</v>
      </c>
      <c r="AF65" s="7">
        <f t="shared" si="10"/>
        <v>-1.5262770547419535E-8</v>
      </c>
      <c r="AG65" s="7">
        <f t="shared" si="11"/>
        <v>0.33949378877878189</v>
      </c>
      <c r="AH65" s="7">
        <f t="shared" si="12"/>
        <v>-7.3239627140786467E-9</v>
      </c>
      <c r="AI65" s="7">
        <f t="shared" si="13"/>
        <v>-4.5031027284098971E-18</v>
      </c>
      <c r="AJ65" s="7">
        <f t="shared" si="14"/>
        <v>1.1178396240283841E-16</v>
      </c>
      <c r="AK65" s="7">
        <f t="shared" si="15"/>
        <v>1.4901161193847656E-8</v>
      </c>
    </row>
    <row r="66" spans="28:37" x14ac:dyDescent="0.2">
      <c r="AB66" s="7">
        <v>27</v>
      </c>
      <c r="AC66" s="7">
        <f t="shared" si="16"/>
        <v>0.33949378132820129</v>
      </c>
      <c r="AD66" s="7">
        <f t="shared" si="9"/>
        <v>6.1484511926224172E-10</v>
      </c>
      <c r="AE66" s="7">
        <f t="shared" si="17"/>
        <v>0.33949378877878189</v>
      </c>
      <c r="AF66" s="7">
        <f t="shared" si="10"/>
        <v>-7.3239627140786467E-9</v>
      </c>
      <c r="AG66" s="7">
        <f t="shared" si="11"/>
        <v>0.33949378505349159</v>
      </c>
      <c r="AH66" s="7">
        <f t="shared" si="12"/>
        <v>-3.3545587974082025E-9</v>
      </c>
      <c r="AI66" s="7">
        <f t="shared" si="13"/>
        <v>-2.0625341038646484E-18</v>
      </c>
      <c r="AJ66" s="7">
        <f t="shared" si="14"/>
        <v>2.456866355440218E-17</v>
      </c>
      <c r="AK66" s="7">
        <f t="shared" si="15"/>
        <v>7.4505805969238281E-9</v>
      </c>
    </row>
    <row r="67" spans="28:37" x14ac:dyDescent="0.2">
      <c r="AB67" s="7">
        <v>28</v>
      </c>
      <c r="AC67" s="7">
        <f t="shared" si="16"/>
        <v>0.33949378132820129</v>
      </c>
      <c r="AD67" s="7">
        <f t="shared" si="9"/>
        <v>6.1484511926224172E-10</v>
      </c>
      <c r="AE67" s="7">
        <f t="shared" si="17"/>
        <v>0.33949378505349159</v>
      </c>
      <c r="AF67" s="7">
        <f t="shared" si="10"/>
        <v>-3.3545587974082025E-9</v>
      </c>
      <c r="AG67" s="7">
        <f t="shared" si="11"/>
        <v>0.33949378319084644</v>
      </c>
      <c r="AH67" s="7">
        <f t="shared" si="12"/>
        <v>-1.3698568390729804E-9</v>
      </c>
      <c r="AI67" s="7">
        <f t="shared" si="13"/>
        <v>-8.422497915920241E-19</v>
      </c>
      <c r="AJ67" s="7">
        <f t="shared" si="14"/>
        <v>4.5952653107020587E-18</v>
      </c>
      <c r="AK67" s="7">
        <f t="shared" si="15"/>
        <v>3.7252902984619141E-9</v>
      </c>
    </row>
    <row r="68" spans="28:37" x14ac:dyDescent="0.2">
      <c r="AB68" s="7">
        <v>29</v>
      </c>
      <c r="AC68" s="7">
        <f t="shared" si="16"/>
        <v>0.33949378132820129</v>
      </c>
      <c r="AD68" s="7">
        <f t="shared" si="9"/>
        <v>6.1484511926224172E-10</v>
      </c>
      <c r="AE68" s="7">
        <f t="shared" si="17"/>
        <v>0.33949378319084644</v>
      </c>
      <c r="AF68" s="7">
        <f t="shared" si="10"/>
        <v>-1.3698568390729804E-9</v>
      </c>
      <c r="AG68" s="7">
        <f t="shared" si="11"/>
        <v>0.33949378225952387</v>
      </c>
      <c r="AH68" s="7">
        <f t="shared" si="12"/>
        <v>-3.7750585990536933E-10</v>
      </c>
      <c r="AI68" s="7">
        <f t="shared" si="13"/>
        <v>-2.3210763545571192E-19</v>
      </c>
      <c r="AJ68" s="7">
        <f t="shared" si="14"/>
        <v>5.171289839814966E-19</v>
      </c>
      <c r="AK68" s="7">
        <f t="shared" si="15"/>
        <v>1.862645149230957E-9</v>
      </c>
    </row>
    <row r="69" spans="28:37" x14ac:dyDescent="0.2">
      <c r="AB69" s="7">
        <v>30</v>
      </c>
      <c r="AC69" s="7">
        <f t="shared" si="16"/>
        <v>0.33949378132820129</v>
      </c>
      <c r="AD69" s="7">
        <f t="shared" si="9"/>
        <v>6.1484511926224172E-10</v>
      </c>
      <c r="AE69" s="7">
        <f t="shared" si="17"/>
        <v>0.33949378225952387</v>
      </c>
      <c r="AF69" s="7">
        <f t="shared" si="10"/>
        <v>-3.7750585990536933E-10</v>
      </c>
      <c r="AG69" s="7">
        <f t="shared" si="11"/>
        <v>0.33949378179386258</v>
      </c>
      <c r="AH69" s="7">
        <f t="shared" si="12"/>
        <v>1.1866962967843619E-10</v>
      </c>
      <c r="AI69" s="7">
        <f t="shared" si="13"/>
        <v>7.2963442612444162E-20</v>
      </c>
      <c r="AJ69" s="7">
        <f t="shared" si="14"/>
        <v>-4.4798480596409793E-20</v>
      </c>
      <c r="AK69" s="7">
        <f t="shared" si="15"/>
        <v>9.3132257461547852E-10</v>
      </c>
    </row>
    <row r="72" spans="28:37" x14ac:dyDescent="0.2">
      <c r="AB72" s="5" t="s">
        <v>121</v>
      </c>
    </row>
    <row r="73" spans="28:37" x14ac:dyDescent="0.2">
      <c r="AB73" s="6" t="s">
        <v>63</v>
      </c>
      <c r="AC73" s="6" t="s">
        <v>64</v>
      </c>
      <c r="AD73" s="6" t="s">
        <v>65</v>
      </c>
      <c r="AE73" s="6" t="s">
        <v>66</v>
      </c>
      <c r="AF73" s="6" t="s">
        <v>67</v>
      </c>
      <c r="AG73" s="6" t="s">
        <v>68</v>
      </c>
      <c r="AH73" s="6" t="s">
        <v>69</v>
      </c>
      <c r="AI73" s="6" t="s">
        <v>70</v>
      </c>
      <c r="AJ73" s="6" t="s">
        <v>71</v>
      </c>
      <c r="AK73" s="6" t="s">
        <v>72</v>
      </c>
    </row>
    <row r="74" spans="28:37" x14ac:dyDescent="0.2">
      <c r="AB74" s="7">
        <v>0</v>
      </c>
      <c r="AC74" s="8">
        <v>0</v>
      </c>
      <c r="AD74" s="7">
        <f xml:space="preserve"> $W$18 * TAN($W$15/180*PI()) + $W$19 / (2 * SQRT($W$18^2 + AC74^2)) - AC74</f>
        <v>0.41919110553449984</v>
      </c>
      <c r="AE74" s="8">
        <v>1</v>
      </c>
      <c r="AF74" s="7">
        <f xml:space="preserve"> $W$18 * TAN($W$15/180*PI()) + $W$19 / (2 * SQRT($W$18^2 + AE74^2)) - AE74</f>
        <v>-0.68007016406289122</v>
      </c>
      <c r="AG74" s="7">
        <f xml:space="preserve"> (AC74 + AE74)/2</f>
        <v>0.5</v>
      </c>
      <c r="AH74" s="7">
        <f xml:space="preserve"> $W$18 * TAN($W$15/180*PI()) + $W$19 / (2 * SQRT($W$18^2 + AG74^2)) - AG74</f>
        <v>-0.17724546990227569</v>
      </c>
      <c r="AI74" s="7">
        <f>AD74*AH74</f>
        <v>-7.4299724479316862E-2</v>
      </c>
      <c r="AJ74" s="7">
        <f>AF74*AH74</f>
        <v>0.12053935579584488</v>
      </c>
      <c r="AK74" s="7">
        <f>AE74-AC74</f>
        <v>1</v>
      </c>
    </row>
    <row r="75" spans="28:37" x14ac:dyDescent="0.2">
      <c r="AB75" s="7">
        <v>1</v>
      </c>
      <c r="AC75" s="7">
        <f>IF(AI74&gt;0, AG74, AC74)</f>
        <v>0</v>
      </c>
      <c r="AD75" s="7">
        <f t="shared" ref="AD75:AD104" si="18" xml:space="preserve"> $W$18 * TAN($W$15/180*PI()) + $W$19 / (2 * SQRT($W$18^2 + AC75^2)) - AC75</f>
        <v>0.41919110553449984</v>
      </c>
      <c r="AE75" s="7">
        <f>IF(AJ74&gt;0, AG74, AE74)</f>
        <v>0.5</v>
      </c>
      <c r="AF75" s="7">
        <f t="shared" ref="AF75:AF104" si="19" xml:space="preserve"> $W$18 * TAN($W$15/180*PI()) + $W$19 / (2 * SQRT($W$18^2 + AE75^2)) - AE75</f>
        <v>-0.17724546990227569</v>
      </c>
      <c r="AG75" s="7">
        <f t="shared" ref="AG75:AG104" si="20" xml:space="preserve"> (AC75 + AE75)/2</f>
        <v>0.25</v>
      </c>
      <c r="AH75" s="7">
        <f t="shared" ref="AH75:AH104" si="21" xml:space="preserve"> $W$18 * TAN($W$15/180*PI()) + $W$19 / (2 * SQRT($W$18^2 + AG75^2)) - AG75</f>
        <v>7.8358719706268065E-2</v>
      </c>
      <c r="AI75" s="7">
        <f t="shared" ref="AI75:AI104" si="22">AD75*AH75</f>
        <v>3.2847278341938506E-2</v>
      </c>
      <c r="AJ75" s="7">
        <f t="shared" ref="AJ75:AJ104" si="23">AF75*AH75</f>
        <v>-1.3888728095278193E-2</v>
      </c>
      <c r="AK75" s="7">
        <f t="shared" ref="AK75:AK104" si="24">AE75-AC75</f>
        <v>0.5</v>
      </c>
    </row>
    <row r="76" spans="28:37" x14ac:dyDescent="0.2">
      <c r="AB76" s="7">
        <v>2</v>
      </c>
      <c r="AC76" s="7">
        <f t="shared" ref="AC76:AC104" si="25">IF(AI75&gt;0, AG75, AC75)</f>
        <v>0.25</v>
      </c>
      <c r="AD76" s="7">
        <f t="shared" si="18"/>
        <v>7.8358719706268065E-2</v>
      </c>
      <c r="AE76" s="7">
        <f t="shared" ref="AE76:AE104" si="26">IF(AJ75&gt;0, AG75, AE75)</f>
        <v>0.5</v>
      </c>
      <c r="AF76" s="7">
        <f t="shared" si="19"/>
        <v>-0.17724546990227569</v>
      </c>
      <c r="AG76" s="7">
        <f t="shared" si="20"/>
        <v>0.375</v>
      </c>
      <c r="AH76" s="7">
        <f t="shared" si="21"/>
        <v>-5.0369151635736908E-2</v>
      </c>
      <c r="AI76" s="7">
        <f t="shared" si="22"/>
        <v>-3.9468622348672218E-3</v>
      </c>
      <c r="AJ76" s="7">
        <f t="shared" si="23"/>
        <v>8.9277039502551666E-3</v>
      </c>
      <c r="AK76" s="7">
        <f t="shared" si="24"/>
        <v>0.25</v>
      </c>
    </row>
    <row r="77" spans="28:37" x14ac:dyDescent="0.2">
      <c r="AB77" s="7">
        <v>3</v>
      </c>
      <c r="AC77" s="7">
        <f t="shared" si="25"/>
        <v>0.25</v>
      </c>
      <c r="AD77" s="7">
        <f t="shared" si="18"/>
        <v>7.8358719706268065E-2</v>
      </c>
      <c r="AE77" s="7">
        <f t="shared" si="26"/>
        <v>0.375</v>
      </c>
      <c r="AF77" s="7">
        <f t="shared" si="19"/>
        <v>-5.0369151635736908E-2</v>
      </c>
      <c r="AG77" s="7">
        <f t="shared" si="20"/>
        <v>0.3125</v>
      </c>
      <c r="AH77" s="7">
        <f t="shared" si="21"/>
        <v>1.3626489276215015E-2</v>
      </c>
      <c r="AI77" s="7">
        <f t="shared" si="22"/>
        <v>1.0677542537754E-3</v>
      </c>
      <c r="AJ77" s="7">
        <f t="shared" si="23"/>
        <v>-6.8635470461641699E-4</v>
      </c>
      <c r="AK77" s="7">
        <f t="shared" si="24"/>
        <v>0.125</v>
      </c>
    </row>
    <row r="78" spans="28:37" x14ac:dyDescent="0.2">
      <c r="AB78" s="7">
        <v>4</v>
      </c>
      <c r="AC78" s="7">
        <f t="shared" si="25"/>
        <v>0.3125</v>
      </c>
      <c r="AD78" s="7">
        <f t="shared" si="18"/>
        <v>1.3626489276215015E-2</v>
      </c>
      <c r="AE78" s="7">
        <f t="shared" si="26"/>
        <v>0.375</v>
      </c>
      <c r="AF78" s="7">
        <f t="shared" si="19"/>
        <v>-5.0369151635736908E-2</v>
      </c>
      <c r="AG78" s="7">
        <f t="shared" si="20"/>
        <v>0.34375</v>
      </c>
      <c r="AH78" s="7">
        <f t="shared" si="21"/>
        <v>-1.8438651322636002E-2</v>
      </c>
      <c r="AI78" s="7">
        <f t="shared" si="22"/>
        <v>-2.5125408451576729E-4</v>
      </c>
      <c r="AJ78" s="7">
        <f t="shared" si="23"/>
        <v>9.287392244283337E-4</v>
      </c>
      <c r="AK78" s="7">
        <f t="shared" si="24"/>
        <v>6.25E-2</v>
      </c>
    </row>
    <row r="79" spans="28:37" x14ac:dyDescent="0.2">
      <c r="AB79" s="7">
        <v>5</v>
      </c>
      <c r="AC79" s="7">
        <f t="shared" si="25"/>
        <v>0.3125</v>
      </c>
      <c r="AD79" s="7">
        <f t="shared" si="18"/>
        <v>1.3626489276215015E-2</v>
      </c>
      <c r="AE79" s="7">
        <f t="shared" si="26"/>
        <v>0.34375</v>
      </c>
      <c r="AF79" s="7">
        <f t="shared" si="19"/>
        <v>-1.8438651322636002E-2</v>
      </c>
      <c r="AG79" s="7">
        <f t="shared" si="20"/>
        <v>0.328125</v>
      </c>
      <c r="AH79" s="7">
        <f t="shared" si="21"/>
        <v>-2.4252821926511459E-3</v>
      </c>
      <c r="AI79" s="7">
        <f t="shared" si="22"/>
        <v>-3.3048081789956074E-5</v>
      </c>
      <c r="AJ79" s="7">
        <f t="shared" si="23"/>
        <v>4.4718932709292594E-5</v>
      </c>
      <c r="AK79" s="7">
        <f t="shared" si="24"/>
        <v>3.125E-2</v>
      </c>
    </row>
    <row r="80" spans="28:37" x14ac:dyDescent="0.2">
      <c r="AB80" s="7">
        <v>6</v>
      </c>
      <c r="AC80" s="7">
        <f t="shared" si="25"/>
        <v>0.3125</v>
      </c>
      <c r="AD80" s="7">
        <f t="shared" si="18"/>
        <v>1.3626489276215015E-2</v>
      </c>
      <c r="AE80" s="7">
        <f t="shared" si="26"/>
        <v>0.328125</v>
      </c>
      <c r="AF80" s="7">
        <f t="shared" si="19"/>
        <v>-2.4252821926511459E-3</v>
      </c>
      <c r="AG80" s="7">
        <f t="shared" si="20"/>
        <v>0.3203125</v>
      </c>
      <c r="AH80" s="7">
        <f t="shared" si="21"/>
        <v>5.5954571606177117E-3</v>
      </c>
      <c r="AI80" s="7">
        <f t="shared" si="22"/>
        <v>7.6246436994677764E-5</v>
      </c>
      <c r="AJ80" s="7">
        <f t="shared" si="23"/>
        <v>-1.3570562611388479E-5</v>
      </c>
      <c r="AK80" s="7">
        <f t="shared" si="24"/>
        <v>1.5625E-2</v>
      </c>
    </row>
    <row r="81" spans="28:37" x14ac:dyDescent="0.2">
      <c r="AB81" s="7">
        <v>7</v>
      </c>
      <c r="AC81" s="7">
        <f t="shared" si="25"/>
        <v>0.3203125</v>
      </c>
      <c r="AD81" s="7">
        <f t="shared" si="18"/>
        <v>5.5954571606177117E-3</v>
      </c>
      <c r="AE81" s="7">
        <f t="shared" si="26"/>
        <v>0.328125</v>
      </c>
      <c r="AF81" s="7">
        <f t="shared" si="19"/>
        <v>-2.4252821926511459E-3</v>
      </c>
      <c r="AG81" s="7">
        <f t="shared" si="20"/>
        <v>0.32421875</v>
      </c>
      <c r="AH81" s="7">
        <f t="shared" si="21"/>
        <v>1.5838467084482999E-3</v>
      </c>
      <c r="AI81" s="7">
        <f t="shared" si="22"/>
        <v>8.862346406107833E-6</v>
      </c>
      <c r="AJ81" s="7">
        <f t="shared" si="23"/>
        <v>-3.8412752178887927E-6</v>
      </c>
      <c r="AK81" s="7">
        <f t="shared" si="24"/>
        <v>7.8125E-3</v>
      </c>
    </row>
    <row r="82" spans="28:37" x14ac:dyDescent="0.2">
      <c r="AB82" s="7">
        <v>8</v>
      </c>
      <c r="AC82" s="7">
        <f t="shared" si="25"/>
        <v>0.32421875</v>
      </c>
      <c r="AD82" s="7">
        <f t="shared" si="18"/>
        <v>1.5838467084482999E-3</v>
      </c>
      <c r="AE82" s="7">
        <f t="shared" si="26"/>
        <v>0.328125</v>
      </c>
      <c r="AF82" s="7">
        <f t="shared" si="19"/>
        <v>-2.4252821926511459E-3</v>
      </c>
      <c r="AG82" s="7">
        <f t="shared" si="20"/>
        <v>0.326171875</v>
      </c>
      <c r="AH82" s="7">
        <f t="shared" si="21"/>
        <v>-4.2102244420016977E-4</v>
      </c>
      <c r="AI82" s="7">
        <f t="shared" si="22"/>
        <v>-6.6683501242929691E-7</v>
      </c>
      <c r="AJ82" s="7">
        <f t="shared" si="23"/>
        <v>1.0210982366251323E-6</v>
      </c>
      <c r="AK82" s="7">
        <f t="shared" si="24"/>
        <v>3.90625E-3</v>
      </c>
    </row>
    <row r="83" spans="28:37" x14ac:dyDescent="0.2">
      <c r="AB83" s="7">
        <v>9</v>
      </c>
      <c r="AC83" s="7">
        <f t="shared" si="25"/>
        <v>0.32421875</v>
      </c>
      <c r="AD83" s="7">
        <f t="shared" si="18"/>
        <v>1.5838467084482999E-3</v>
      </c>
      <c r="AE83" s="7">
        <f t="shared" si="26"/>
        <v>0.326171875</v>
      </c>
      <c r="AF83" s="7">
        <f t="shared" si="19"/>
        <v>-4.2102244420016977E-4</v>
      </c>
      <c r="AG83" s="7">
        <f t="shared" si="20"/>
        <v>0.3251953125</v>
      </c>
      <c r="AH83" s="7">
        <f t="shared" si="21"/>
        <v>5.8133528024623127E-4</v>
      </c>
      <c r="AI83" s="7">
        <f t="shared" si="22"/>
        <v>9.2074597012286332E-7</v>
      </c>
      <c r="AJ83" s="7">
        <f t="shared" si="23"/>
        <v>-2.4475520058905893E-7</v>
      </c>
      <c r="AK83" s="7">
        <f t="shared" si="24"/>
        <v>1.953125E-3</v>
      </c>
    </row>
    <row r="84" spans="28:37" x14ac:dyDescent="0.2">
      <c r="AB84" s="7">
        <v>10</v>
      </c>
      <c r="AC84" s="7">
        <f t="shared" si="25"/>
        <v>0.3251953125</v>
      </c>
      <c r="AD84" s="7">
        <f t="shared" si="18"/>
        <v>5.8133528024623127E-4</v>
      </c>
      <c r="AE84" s="7">
        <f t="shared" si="26"/>
        <v>0.326171875</v>
      </c>
      <c r="AF84" s="7">
        <f t="shared" si="19"/>
        <v>-4.2102244420016977E-4</v>
      </c>
      <c r="AG84" s="7">
        <f t="shared" si="20"/>
        <v>0.32568359375</v>
      </c>
      <c r="AH84" s="7">
        <f t="shared" si="21"/>
        <v>8.0137290219994828E-5</v>
      </c>
      <c r="AI84" s="7">
        <f t="shared" si="22"/>
        <v>4.6586634068214264E-8</v>
      </c>
      <c r="AJ84" s="7">
        <f t="shared" si="23"/>
        <v>-3.373959780000058E-8</v>
      </c>
      <c r="AK84" s="7">
        <f t="shared" si="24"/>
        <v>9.765625E-4</v>
      </c>
    </row>
    <row r="85" spans="28:37" x14ac:dyDescent="0.2">
      <c r="AB85" s="7">
        <v>11</v>
      </c>
      <c r="AC85" s="7">
        <f t="shared" si="25"/>
        <v>0.32568359375</v>
      </c>
      <c r="AD85" s="7">
        <f t="shared" si="18"/>
        <v>8.0137290219994828E-5</v>
      </c>
      <c r="AE85" s="7">
        <f t="shared" si="26"/>
        <v>0.326171875</v>
      </c>
      <c r="AF85" s="7">
        <f t="shared" si="19"/>
        <v>-4.2102244420016977E-4</v>
      </c>
      <c r="AG85" s="7">
        <f t="shared" si="20"/>
        <v>0.325927734375</v>
      </c>
      <c r="AH85" s="7">
        <f t="shared" si="21"/>
        <v>-1.7044734834986697E-4</v>
      </c>
      <c r="AI85" s="7">
        <f t="shared" si="22"/>
        <v>-1.3659188621941845E-8</v>
      </c>
      <c r="AJ85" s="7">
        <f t="shared" si="23"/>
        <v>7.1762159209698768E-8</v>
      </c>
      <c r="AK85" s="7">
        <f t="shared" si="24"/>
        <v>4.8828125E-4</v>
      </c>
    </row>
    <row r="86" spans="28:37" x14ac:dyDescent="0.2">
      <c r="AB86" s="7">
        <v>12</v>
      </c>
      <c r="AC86" s="7">
        <f t="shared" si="25"/>
        <v>0.32568359375</v>
      </c>
      <c r="AD86" s="7">
        <f t="shared" si="18"/>
        <v>8.0137290219994828E-5</v>
      </c>
      <c r="AE86" s="7">
        <f t="shared" si="26"/>
        <v>0.325927734375</v>
      </c>
      <c r="AF86" s="7">
        <f t="shared" si="19"/>
        <v>-1.7044734834986697E-4</v>
      </c>
      <c r="AG86" s="7">
        <f t="shared" si="20"/>
        <v>0.3258056640625</v>
      </c>
      <c r="AH86" s="7">
        <f t="shared" si="21"/>
        <v>-4.5156223226316961E-5</v>
      </c>
      <c r="AI86" s="7">
        <f t="shared" si="22"/>
        <v>-3.6186973659262335E-9</v>
      </c>
      <c r="AJ86" s="7">
        <f t="shared" si="23"/>
        <v>7.6967585104204013E-9</v>
      </c>
      <c r="AK86" s="7">
        <f t="shared" si="24"/>
        <v>2.44140625E-4</v>
      </c>
    </row>
    <row r="87" spans="28:37" x14ac:dyDescent="0.2">
      <c r="AB87" s="7">
        <v>13</v>
      </c>
      <c r="AC87" s="7">
        <f t="shared" si="25"/>
        <v>0.32568359375</v>
      </c>
      <c r="AD87" s="7">
        <f t="shared" si="18"/>
        <v>8.0137290219994828E-5</v>
      </c>
      <c r="AE87" s="7">
        <f t="shared" si="26"/>
        <v>0.3258056640625</v>
      </c>
      <c r="AF87" s="7">
        <f t="shared" si="19"/>
        <v>-4.5156223226316961E-5</v>
      </c>
      <c r="AG87" s="7">
        <f t="shared" si="20"/>
        <v>0.32574462890625</v>
      </c>
      <c r="AH87" s="7">
        <f t="shared" si="21"/>
        <v>1.7490234791084358E-5</v>
      </c>
      <c r="AI87" s="7">
        <f t="shared" si="22"/>
        <v>1.4016200214689779E-9</v>
      </c>
      <c r="AJ87" s="7">
        <f t="shared" si="23"/>
        <v>-7.8979294650690047E-10</v>
      </c>
      <c r="AK87" s="7">
        <f t="shared" si="24"/>
        <v>1.220703125E-4</v>
      </c>
    </row>
    <row r="88" spans="28:37" x14ac:dyDescent="0.2">
      <c r="AB88" s="7">
        <v>14</v>
      </c>
      <c r="AC88" s="7">
        <f t="shared" si="25"/>
        <v>0.32574462890625</v>
      </c>
      <c r="AD88" s="7">
        <f t="shared" si="18"/>
        <v>1.7490234791084358E-5</v>
      </c>
      <c r="AE88" s="7">
        <f t="shared" si="26"/>
        <v>0.3258056640625</v>
      </c>
      <c r="AF88" s="7">
        <f t="shared" si="19"/>
        <v>-4.5156223226316961E-5</v>
      </c>
      <c r="AG88" s="7">
        <f t="shared" si="20"/>
        <v>0.325775146484375</v>
      </c>
      <c r="AH88" s="7">
        <f t="shared" si="21"/>
        <v>-1.3833068873370102E-5</v>
      </c>
      <c r="AI88" s="7">
        <f t="shared" si="22"/>
        <v>-2.4194362247648388E-10</v>
      </c>
      <c r="AJ88" s="7">
        <f t="shared" si="23"/>
        <v>6.2464914595091724E-10</v>
      </c>
      <c r="AK88" s="7">
        <f t="shared" si="24"/>
        <v>6.103515625E-5</v>
      </c>
    </row>
    <row r="89" spans="28:37" x14ac:dyDescent="0.2">
      <c r="AB89" s="7">
        <v>15</v>
      </c>
      <c r="AC89" s="7">
        <f t="shared" si="25"/>
        <v>0.32574462890625</v>
      </c>
      <c r="AD89" s="7">
        <f t="shared" si="18"/>
        <v>1.7490234791084358E-5</v>
      </c>
      <c r="AE89" s="7">
        <f t="shared" si="26"/>
        <v>0.325775146484375</v>
      </c>
      <c r="AF89" s="7">
        <f t="shared" si="19"/>
        <v>-1.3833068873370102E-5</v>
      </c>
      <c r="AG89" s="7">
        <f t="shared" si="20"/>
        <v>0.3257598876953125</v>
      </c>
      <c r="AH89" s="7">
        <f t="shared" si="21"/>
        <v>1.8285642923721035E-6</v>
      </c>
      <c r="AI89" s="7">
        <f t="shared" si="22"/>
        <v>3.1982018804181112E-11</v>
      </c>
      <c r="AJ89" s="7">
        <f t="shared" si="23"/>
        <v>-2.5294655795768574E-11</v>
      </c>
      <c r="AK89" s="7">
        <f t="shared" si="24"/>
        <v>3.0517578125E-5</v>
      </c>
    </row>
    <row r="90" spans="28:37" x14ac:dyDescent="0.2">
      <c r="AB90" s="7">
        <v>16</v>
      </c>
      <c r="AC90" s="7">
        <f t="shared" si="25"/>
        <v>0.3257598876953125</v>
      </c>
      <c r="AD90" s="7">
        <f t="shared" si="18"/>
        <v>1.8285642923721035E-6</v>
      </c>
      <c r="AE90" s="7">
        <f t="shared" si="26"/>
        <v>0.325775146484375</v>
      </c>
      <c r="AF90" s="7">
        <f t="shared" si="19"/>
        <v>-1.3833068873370102E-5</v>
      </c>
      <c r="AG90" s="7">
        <f t="shared" si="20"/>
        <v>0.32576751708984375</v>
      </c>
      <c r="AH90" s="7">
        <f t="shared" si="21"/>
        <v>-6.0022569567941275E-6</v>
      </c>
      <c r="AI90" s="7">
        <f t="shared" si="22"/>
        <v>-1.0975512744835789E-11</v>
      </c>
      <c r="AJ90" s="7">
        <f t="shared" si="23"/>
        <v>8.3029633878997996E-11</v>
      </c>
      <c r="AK90" s="7">
        <f t="shared" si="24"/>
        <v>1.52587890625E-5</v>
      </c>
    </row>
    <row r="91" spans="28:37" x14ac:dyDescent="0.2">
      <c r="AB91" s="7">
        <v>17</v>
      </c>
      <c r="AC91" s="7">
        <f t="shared" si="25"/>
        <v>0.3257598876953125</v>
      </c>
      <c r="AD91" s="7">
        <f t="shared" si="18"/>
        <v>1.8285642923721035E-6</v>
      </c>
      <c r="AE91" s="7">
        <f t="shared" si="26"/>
        <v>0.32576751708984375</v>
      </c>
      <c r="AF91" s="7">
        <f t="shared" si="19"/>
        <v>-6.0022569567941275E-6</v>
      </c>
      <c r="AG91" s="7">
        <f t="shared" si="20"/>
        <v>0.32576370239257812</v>
      </c>
      <c r="AH91" s="7">
        <f t="shared" si="21"/>
        <v>-2.0868474988611219E-6</v>
      </c>
      <c r="AI91" s="7">
        <f t="shared" si="22"/>
        <v>-3.8159348200434815E-12</v>
      </c>
      <c r="AJ91" s="7">
        <f t="shared" si="23"/>
        <v>1.2525794917807594E-11</v>
      </c>
      <c r="AK91" s="7">
        <f t="shared" si="24"/>
        <v>7.62939453125E-6</v>
      </c>
    </row>
    <row r="92" spans="28:37" x14ac:dyDescent="0.2">
      <c r="AB92" s="7">
        <v>18</v>
      </c>
      <c r="AC92" s="7">
        <f t="shared" si="25"/>
        <v>0.3257598876953125</v>
      </c>
      <c r="AD92" s="7">
        <f t="shared" si="18"/>
        <v>1.8285642923721035E-6</v>
      </c>
      <c r="AE92" s="7">
        <f t="shared" si="26"/>
        <v>0.32576370239257812</v>
      </c>
      <c r="AF92" s="7">
        <f t="shared" si="19"/>
        <v>-2.0868474988611219E-6</v>
      </c>
      <c r="AG92" s="7">
        <f t="shared" si="20"/>
        <v>0.32576179504394531</v>
      </c>
      <c r="AH92" s="7">
        <f t="shared" si="21"/>
        <v>-1.2914189490009775E-7</v>
      </c>
      <c r="AI92" s="7">
        <f t="shared" si="22"/>
        <v>-2.3614425766358979E-13</v>
      </c>
      <c r="AJ92" s="7">
        <f t="shared" si="23"/>
        <v>2.6949944037045485E-13</v>
      </c>
      <c r="AK92" s="7">
        <f t="shared" si="24"/>
        <v>3.814697265625E-6</v>
      </c>
    </row>
    <row r="93" spans="28:37" x14ac:dyDescent="0.2">
      <c r="AB93" s="7">
        <v>19</v>
      </c>
      <c r="AC93" s="7">
        <f t="shared" si="25"/>
        <v>0.3257598876953125</v>
      </c>
      <c r="AD93" s="7">
        <f t="shared" si="18"/>
        <v>1.8285642923721035E-6</v>
      </c>
      <c r="AE93" s="7">
        <f t="shared" si="26"/>
        <v>0.32576179504394531</v>
      </c>
      <c r="AF93" s="7">
        <f t="shared" si="19"/>
        <v>-1.2914189490009775E-7</v>
      </c>
      <c r="AG93" s="7">
        <f t="shared" si="20"/>
        <v>0.32576084136962891</v>
      </c>
      <c r="AH93" s="7">
        <f t="shared" si="21"/>
        <v>8.4971112579435015E-7</v>
      </c>
      <c r="AI93" s="7">
        <f t="shared" si="22"/>
        <v>1.5537514234588494E-12</v>
      </c>
      <c r="AJ93" s="7">
        <f t="shared" si="23"/>
        <v>-1.0973330490277771E-13</v>
      </c>
      <c r="AK93" s="7">
        <f t="shared" si="24"/>
        <v>1.9073486328125E-6</v>
      </c>
    </row>
    <row r="94" spans="28:37" x14ac:dyDescent="0.2">
      <c r="AB94" s="7">
        <v>20</v>
      </c>
      <c r="AC94" s="7">
        <f t="shared" si="25"/>
        <v>0.32576084136962891</v>
      </c>
      <c r="AD94" s="7">
        <f t="shared" si="18"/>
        <v>8.4971112579435015E-7</v>
      </c>
      <c r="AE94" s="7">
        <f t="shared" si="26"/>
        <v>0.32576179504394531</v>
      </c>
      <c r="AF94" s="7">
        <f t="shared" si="19"/>
        <v>-1.2914189490009775E-7</v>
      </c>
      <c r="AG94" s="7">
        <f t="shared" si="20"/>
        <v>0.32576131820678711</v>
      </c>
      <c r="AH94" s="7">
        <f t="shared" si="21"/>
        <v>3.6028459721171302E-7</v>
      </c>
      <c r="AI94" s="7">
        <f t="shared" si="22"/>
        <v>3.0613783070312866E-13</v>
      </c>
      <c r="AJ94" s="7">
        <f t="shared" si="23"/>
        <v>-4.6527835587239092E-14</v>
      </c>
      <c r="AK94" s="7">
        <f t="shared" si="24"/>
        <v>9.5367431640625E-7</v>
      </c>
    </row>
    <row r="95" spans="28:37" x14ac:dyDescent="0.2">
      <c r="AB95" s="7">
        <v>21</v>
      </c>
      <c r="AC95" s="7">
        <f t="shared" si="25"/>
        <v>0.32576131820678711</v>
      </c>
      <c r="AD95" s="7">
        <f t="shared" si="18"/>
        <v>3.6028459721171302E-7</v>
      </c>
      <c r="AE95" s="7">
        <f t="shared" si="26"/>
        <v>0.32576179504394531</v>
      </c>
      <c r="AF95" s="7">
        <f t="shared" si="19"/>
        <v>-1.2914189490009775E-7</v>
      </c>
      <c r="AG95" s="7">
        <f t="shared" si="20"/>
        <v>0.32576155662536621</v>
      </c>
      <c r="AH95" s="7">
        <f t="shared" si="21"/>
        <v>1.1557134660389323E-7</v>
      </c>
      <c r="AI95" s="7">
        <f t="shared" si="22"/>
        <v>4.163857606039895E-14</v>
      </c>
      <c r="AJ95" s="7">
        <f t="shared" si="23"/>
        <v>-1.492510269658275E-14</v>
      </c>
      <c r="AK95" s="7">
        <f t="shared" si="24"/>
        <v>4.76837158203125E-7</v>
      </c>
    </row>
    <row r="96" spans="28:37" x14ac:dyDescent="0.2">
      <c r="AB96" s="7">
        <v>22</v>
      </c>
      <c r="AC96" s="7">
        <f t="shared" si="25"/>
        <v>0.32576155662536621</v>
      </c>
      <c r="AD96" s="7">
        <f t="shared" si="18"/>
        <v>1.1557134660389323E-7</v>
      </c>
      <c r="AE96" s="7">
        <f t="shared" si="26"/>
        <v>0.32576179504394531</v>
      </c>
      <c r="AF96" s="7">
        <f t="shared" si="19"/>
        <v>-1.2914189490009775E-7</v>
      </c>
      <c r="AG96" s="7">
        <f t="shared" si="20"/>
        <v>0.32576167583465576</v>
      </c>
      <c r="AH96" s="7">
        <f t="shared" si="21"/>
        <v>-6.7852752860808607E-9</v>
      </c>
      <c r="AI96" s="7">
        <f t="shared" si="22"/>
        <v>-7.8418340189048192E-16</v>
      </c>
      <c r="AJ96" s="7">
        <f t="shared" si="23"/>
        <v>8.762633078632852E-16</v>
      </c>
      <c r="AK96" s="7">
        <f t="shared" si="24"/>
        <v>2.384185791015625E-7</v>
      </c>
    </row>
    <row r="97" spans="28:37" x14ac:dyDescent="0.2">
      <c r="AB97" s="7">
        <v>23</v>
      </c>
      <c r="AC97" s="7">
        <f t="shared" si="25"/>
        <v>0.32576155662536621</v>
      </c>
      <c r="AD97" s="7">
        <f t="shared" si="18"/>
        <v>1.1557134660389323E-7</v>
      </c>
      <c r="AE97" s="7">
        <f t="shared" si="26"/>
        <v>0.32576167583465576</v>
      </c>
      <c r="AF97" s="7">
        <f t="shared" si="19"/>
        <v>-6.7852752860808607E-9</v>
      </c>
      <c r="AG97" s="7">
        <f t="shared" si="20"/>
        <v>0.32576161623001099</v>
      </c>
      <c r="AH97" s="7">
        <f t="shared" si="21"/>
        <v>5.4393035353594854E-8</v>
      </c>
      <c r="AI97" s="7">
        <f t="shared" si="22"/>
        <v>6.2862763416881291E-15</v>
      </c>
      <c r="AJ97" s="7">
        <f t="shared" si="23"/>
        <v>-3.6907171851966971E-16</v>
      </c>
      <c r="AK97" s="7">
        <f t="shared" si="24"/>
        <v>1.1920928955078125E-7</v>
      </c>
    </row>
    <row r="98" spans="28:37" x14ac:dyDescent="0.2">
      <c r="AB98" s="7">
        <v>24</v>
      </c>
      <c r="AC98" s="7">
        <f t="shared" si="25"/>
        <v>0.32576161623001099</v>
      </c>
      <c r="AD98" s="7">
        <f t="shared" si="18"/>
        <v>5.4393035353594854E-8</v>
      </c>
      <c r="AE98" s="7">
        <f t="shared" si="26"/>
        <v>0.32576167583465576</v>
      </c>
      <c r="AF98" s="7">
        <f t="shared" si="19"/>
        <v>-6.7852752860808607E-9</v>
      </c>
      <c r="AG98" s="7">
        <f t="shared" si="20"/>
        <v>0.32576164603233337</v>
      </c>
      <c r="AH98" s="7">
        <f t="shared" si="21"/>
        <v>2.3803879978245845E-8</v>
      </c>
      <c r="AI98" s="7">
        <f t="shared" si="22"/>
        <v>1.294765285209455E-15</v>
      </c>
      <c r="AJ98" s="7">
        <f t="shared" si="23"/>
        <v>-1.6151587852922654E-16</v>
      </c>
      <c r="AK98" s="7">
        <f t="shared" si="24"/>
        <v>5.9604644775390625E-8</v>
      </c>
    </row>
    <row r="99" spans="28:37" x14ac:dyDescent="0.2">
      <c r="AB99" s="7">
        <v>25</v>
      </c>
      <c r="AC99" s="7">
        <f t="shared" si="25"/>
        <v>0.32576164603233337</v>
      </c>
      <c r="AD99" s="7">
        <f t="shared" si="18"/>
        <v>2.3803879978245845E-8</v>
      </c>
      <c r="AE99" s="7">
        <f t="shared" si="26"/>
        <v>0.32576167583465576</v>
      </c>
      <c r="AF99" s="7">
        <f t="shared" si="19"/>
        <v>-6.7852752860808607E-9</v>
      </c>
      <c r="AG99" s="7">
        <f t="shared" si="20"/>
        <v>0.32576166093349457</v>
      </c>
      <c r="AH99" s="7">
        <f t="shared" si="21"/>
        <v>8.5093023183269167E-9</v>
      </c>
      <c r="AI99" s="7">
        <f t="shared" si="22"/>
        <v>2.0255441108406306E-16</v>
      </c>
      <c r="AJ99" s="7">
        <f t="shared" si="23"/>
        <v>-5.7737958722334205E-17</v>
      </c>
      <c r="AK99" s="7">
        <f t="shared" si="24"/>
        <v>2.9802322387695312E-8</v>
      </c>
    </row>
    <row r="100" spans="28:37" x14ac:dyDescent="0.2">
      <c r="AB100" s="7">
        <v>26</v>
      </c>
      <c r="AC100" s="7">
        <f t="shared" si="25"/>
        <v>0.32576166093349457</v>
      </c>
      <c r="AD100" s="7">
        <f t="shared" si="18"/>
        <v>8.5093023183269167E-9</v>
      </c>
      <c r="AE100" s="7">
        <f t="shared" si="26"/>
        <v>0.32576167583465576</v>
      </c>
      <c r="AF100" s="7">
        <f t="shared" si="19"/>
        <v>-6.7852752860808607E-9</v>
      </c>
      <c r="AG100" s="7">
        <f t="shared" si="20"/>
        <v>0.32576166838407516</v>
      </c>
      <c r="AH100" s="7">
        <f t="shared" si="21"/>
        <v>8.6201351612302801E-10</v>
      </c>
      <c r="AI100" s="7">
        <f t="shared" si="22"/>
        <v>7.3351336111748193E-18</v>
      </c>
      <c r="AJ100" s="7">
        <f t="shared" si="23"/>
        <v>-5.8489990072172475E-18</v>
      </c>
      <c r="AK100" s="7">
        <f t="shared" si="24"/>
        <v>1.4901161193847656E-8</v>
      </c>
    </row>
    <row r="101" spans="28:37" x14ac:dyDescent="0.2">
      <c r="AB101" s="7">
        <v>27</v>
      </c>
      <c r="AC101" s="7">
        <f t="shared" si="25"/>
        <v>0.32576166838407516</v>
      </c>
      <c r="AD101" s="7">
        <f t="shared" si="18"/>
        <v>8.6201351612302801E-10</v>
      </c>
      <c r="AE101" s="7">
        <f t="shared" si="26"/>
        <v>0.32576167583465576</v>
      </c>
      <c r="AF101" s="7">
        <f t="shared" si="19"/>
        <v>-6.7852752860808607E-9</v>
      </c>
      <c r="AG101" s="7">
        <f t="shared" si="20"/>
        <v>0.32576167210936546</v>
      </c>
      <c r="AH101" s="7">
        <f t="shared" si="21"/>
        <v>-2.9616308849789164E-9</v>
      </c>
      <c r="AI101" s="7">
        <f t="shared" si="22"/>
        <v>-2.5529658526192308E-18</v>
      </c>
      <c r="AJ101" s="7">
        <f t="shared" si="23"/>
        <v>2.0095480850341229E-17</v>
      </c>
      <c r="AK101" s="7">
        <f t="shared" si="24"/>
        <v>7.4505805969238281E-9</v>
      </c>
    </row>
    <row r="102" spans="28:37" x14ac:dyDescent="0.2">
      <c r="AB102" s="7">
        <v>28</v>
      </c>
      <c r="AC102" s="7">
        <f t="shared" si="25"/>
        <v>0.32576166838407516</v>
      </c>
      <c r="AD102" s="7">
        <f t="shared" si="18"/>
        <v>8.6201351612302801E-10</v>
      </c>
      <c r="AE102" s="7">
        <f t="shared" si="26"/>
        <v>0.32576167210936546</v>
      </c>
      <c r="AF102" s="7">
        <f t="shared" si="19"/>
        <v>-2.9616308849789164E-9</v>
      </c>
      <c r="AG102" s="7">
        <f t="shared" si="20"/>
        <v>0.32576167024672031</v>
      </c>
      <c r="AH102" s="7">
        <f t="shared" si="21"/>
        <v>-1.0498086844279442E-9</v>
      </c>
      <c r="AI102" s="7">
        <f t="shared" si="22"/>
        <v>-9.0494927532022248E-19</v>
      </c>
      <c r="AJ102" s="7">
        <f t="shared" si="23"/>
        <v>3.1091458231208842E-18</v>
      </c>
      <c r="AK102" s="7">
        <f t="shared" si="24"/>
        <v>3.7252902984619141E-9</v>
      </c>
    </row>
    <row r="103" spans="28:37" x14ac:dyDescent="0.2">
      <c r="AB103" s="7">
        <v>29</v>
      </c>
      <c r="AC103" s="7">
        <f t="shared" si="25"/>
        <v>0.32576166838407516</v>
      </c>
      <c r="AD103" s="7">
        <f t="shared" si="18"/>
        <v>8.6201351612302801E-10</v>
      </c>
      <c r="AE103" s="7">
        <f t="shared" si="26"/>
        <v>0.32576167024672031</v>
      </c>
      <c r="AF103" s="7">
        <f t="shared" si="19"/>
        <v>-1.0498086844279442E-9</v>
      </c>
      <c r="AG103" s="7">
        <f t="shared" si="20"/>
        <v>0.32576166931539774</v>
      </c>
      <c r="AH103" s="7">
        <f t="shared" si="21"/>
        <v>-9.3897611908033696E-11</v>
      </c>
      <c r="AI103" s="7">
        <f t="shared" si="22"/>
        <v>-8.0941010596399631E-20</v>
      </c>
      <c r="AJ103" s="7">
        <f t="shared" si="23"/>
        <v>9.8574528428098519E-20</v>
      </c>
      <c r="AK103" s="7">
        <f t="shared" si="24"/>
        <v>1.862645149230957E-9</v>
      </c>
    </row>
    <row r="104" spans="28:37" x14ac:dyDescent="0.2">
      <c r="AB104" s="7">
        <v>30</v>
      </c>
      <c r="AC104" s="7">
        <f t="shared" si="25"/>
        <v>0.32576166838407516</v>
      </c>
      <c r="AD104" s="7">
        <f t="shared" si="18"/>
        <v>8.6201351612302801E-10</v>
      </c>
      <c r="AE104" s="7">
        <f t="shared" si="26"/>
        <v>0.32576166931539774</v>
      </c>
      <c r="AF104" s="7">
        <f t="shared" si="19"/>
        <v>-9.3897611908033696E-11</v>
      </c>
      <c r="AG104" s="7">
        <f t="shared" si="20"/>
        <v>0.32576166884973645</v>
      </c>
      <c r="AH104" s="7">
        <f t="shared" si="21"/>
        <v>3.8405795210749716E-10</v>
      </c>
      <c r="AI104" s="7">
        <f t="shared" si="22"/>
        <v>3.3106314569119312E-19</v>
      </c>
      <c r="AJ104" s="7">
        <f t="shared" si="23"/>
        <v>-3.606212453718396E-20</v>
      </c>
      <c r="AK104" s="7">
        <f t="shared" si="24"/>
        <v>9.3132257461547852E-10</v>
      </c>
    </row>
  </sheetData>
  <mergeCells count="24">
    <mergeCell ref="B16:D16"/>
    <mergeCell ref="F21:H21"/>
    <mergeCell ref="B25:D25"/>
    <mergeCell ref="F26:H26"/>
    <mergeCell ref="B35:D35"/>
    <mergeCell ref="V3:X3"/>
    <mergeCell ref="F10:H10"/>
    <mergeCell ref="J10:L10"/>
    <mergeCell ref="B11:D11"/>
    <mergeCell ref="N14:P14"/>
    <mergeCell ref="R14:T14"/>
    <mergeCell ref="V14:X14"/>
    <mergeCell ref="R3:T3"/>
    <mergeCell ref="B1:D1"/>
    <mergeCell ref="B3:D3"/>
    <mergeCell ref="F3:H3"/>
    <mergeCell ref="J3:L3"/>
    <mergeCell ref="N3:P3"/>
    <mergeCell ref="B60:D60"/>
    <mergeCell ref="B38:D38"/>
    <mergeCell ref="B43:D43"/>
    <mergeCell ref="B48:D48"/>
    <mergeCell ref="B52:D52"/>
    <mergeCell ref="B55:D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3713-4125-0945-9FE6-1F3625DCC406}">
  <dimension ref="B1:AK104"/>
  <sheetViews>
    <sheetView workbookViewId="0">
      <selection activeCell="C21" sqref="C21"/>
    </sheetView>
  </sheetViews>
  <sheetFormatPr baseColWidth="10" defaultRowHeight="16" x14ac:dyDescent="0.2"/>
  <cols>
    <col min="1" max="1" width="4.1640625" style="11" customWidth="1"/>
    <col min="2" max="2" width="20.5" style="11" customWidth="1"/>
    <col min="3" max="3" width="10.83203125" style="11"/>
    <col min="4" max="4" width="7.1640625" style="11" customWidth="1"/>
    <col min="5" max="5" width="5.6640625" style="11" customWidth="1"/>
    <col min="6" max="6" width="20.6640625" style="11" customWidth="1"/>
    <col min="7" max="7" width="13.1640625" style="11" customWidth="1"/>
    <col min="8" max="8" width="4.1640625" style="11" customWidth="1"/>
    <col min="9" max="9" width="6" style="11" customWidth="1"/>
    <col min="10" max="10" width="18.1640625" style="11" customWidth="1"/>
    <col min="11" max="11" width="13.1640625" style="11" customWidth="1"/>
    <col min="12" max="12" width="4.83203125" style="11" customWidth="1"/>
    <col min="13" max="13" width="6" style="11" customWidth="1"/>
    <col min="14" max="14" width="12.1640625" style="11" customWidth="1"/>
    <col min="15" max="15" width="11.1640625" style="11" customWidth="1"/>
    <col min="16" max="16" width="6.33203125" style="11" customWidth="1"/>
    <col min="17" max="17" width="6" style="11" customWidth="1"/>
    <col min="18" max="18" width="12" style="11" customWidth="1"/>
    <col min="19" max="19" width="10.83203125" style="11"/>
    <col min="20" max="20" width="6.33203125" style="11" customWidth="1"/>
    <col min="21" max="21" width="6.1640625" style="11" customWidth="1"/>
    <col min="22" max="22" width="12.33203125" style="11" customWidth="1"/>
    <col min="23" max="23" width="11.1640625" style="11" customWidth="1"/>
    <col min="24" max="24" width="6.5" style="11" customWidth="1"/>
    <col min="25" max="27" width="3.83203125" style="11" customWidth="1"/>
    <col min="28" max="28" width="5.5" style="11" customWidth="1"/>
    <col min="29" max="30" width="6.1640625" style="11" customWidth="1"/>
    <col min="31" max="31" width="6.6640625" style="11" customWidth="1"/>
    <col min="32" max="32" width="7" style="11" customWidth="1"/>
    <col min="33" max="33" width="14.6640625" style="11" customWidth="1"/>
    <col min="34" max="34" width="7.83203125" style="11" customWidth="1"/>
    <col min="35" max="35" width="10" style="11" customWidth="1"/>
    <col min="36" max="36" width="9.5" style="11" customWidth="1"/>
    <col min="37" max="37" width="13.6640625" style="11" customWidth="1"/>
    <col min="38" max="16384" width="10.83203125" style="11"/>
  </cols>
  <sheetData>
    <row r="1" spans="2:37" x14ac:dyDescent="0.2">
      <c r="B1" s="21" t="s">
        <v>0</v>
      </c>
      <c r="C1" s="21"/>
      <c r="D1" s="21"/>
    </row>
    <row r="2" spans="2:37" x14ac:dyDescent="0.2">
      <c r="AB2" s="12" t="s">
        <v>80</v>
      </c>
    </row>
    <row r="3" spans="2:37" x14ac:dyDescent="0.2">
      <c r="B3" s="22" t="s">
        <v>73</v>
      </c>
      <c r="C3" s="23"/>
      <c r="D3" s="23"/>
      <c r="F3" s="22" t="s">
        <v>81</v>
      </c>
      <c r="G3" s="23"/>
      <c r="H3" s="23"/>
      <c r="J3" s="24" t="s">
        <v>82</v>
      </c>
      <c r="K3" s="24"/>
      <c r="L3" s="24"/>
      <c r="N3" s="24" t="s">
        <v>83</v>
      </c>
      <c r="O3" s="24"/>
      <c r="P3" s="24"/>
      <c r="R3" s="24" t="s">
        <v>84</v>
      </c>
      <c r="S3" s="24"/>
      <c r="T3" s="24"/>
      <c r="V3" s="24" t="s">
        <v>85</v>
      </c>
      <c r="W3" s="24"/>
      <c r="X3" s="24"/>
      <c r="AB3" s="14" t="s">
        <v>63</v>
      </c>
      <c r="AC3" s="14" t="s">
        <v>64</v>
      </c>
      <c r="AD3" s="14" t="s">
        <v>65</v>
      </c>
      <c r="AE3" s="14" t="s">
        <v>66</v>
      </c>
      <c r="AF3" s="14" t="s">
        <v>67</v>
      </c>
      <c r="AG3" s="14" t="s">
        <v>68</v>
      </c>
      <c r="AH3" s="14" t="s">
        <v>69</v>
      </c>
      <c r="AI3" s="14" t="s">
        <v>70</v>
      </c>
      <c r="AJ3" s="14" t="s">
        <v>71</v>
      </c>
      <c r="AK3" s="14" t="s">
        <v>72</v>
      </c>
    </row>
    <row r="4" spans="2:37" x14ac:dyDescent="0.2">
      <c r="B4" s="11" t="s">
        <v>53</v>
      </c>
      <c r="C4" s="15" t="s">
        <v>74</v>
      </c>
      <c r="F4" t="s">
        <v>86</v>
      </c>
      <c r="G4" s="1">
        <v>2.54</v>
      </c>
      <c r="H4" t="s">
        <v>16</v>
      </c>
      <c r="J4" t="s">
        <v>87</v>
      </c>
      <c r="K4" s="11">
        <f>MAX(G6,G18,G34,G40)*1000</f>
        <v>365817.59035140584</v>
      </c>
      <c r="L4" s="11" t="s">
        <v>29</v>
      </c>
      <c r="N4" s="11" t="s">
        <v>37</v>
      </c>
      <c r="O4" s="11">
        <f xml:space="preserve"> 0.5 * $C$25 * $G$11^2</f>
        <v>1531.25</v>
      </c>
      <c r="P4" s="11" t="s">
        <v>38</v>
      </c>
      <c r="R4" s="11" t="s">
        <v>37</v>
      </c>
      <c r="S4" s="11">
        <f xml:space="preserve"> 0.5 * $C$25 * $C$17^2</f>
        <v>1531.25</v>
      </c>
      <c r="T4" s="11" t="s">
        <v>38</v>
      </c>
      <c r="V4" s="11" t="s">
        <v>37</v>
      </c>
      <c r="W4" s="11">
        <f xml:space="preserve"> 0.5 * $C$25 * $G$27^2</f>
        <v>1531.25</v>
      </c>
      <c r="X4" s="11" t="s">
        <v>38</v>
      </c>
      <c r="AB4" s="7">
        <v>0</v>
      </c>
      <c r="AC4" s="8">
        <v>0</v>
      </c>
      <c r="AD4" s="7">
        <f xml:space="preserve"> $C$18 * TAN($S$17/180*PI()) + $S$20 / (2 * SQRT($C$18^2 + AC4^2)) - AC4</f>
        <v>0.15843879251669291</v>
      </c>
      <c r="AE4" s="8">
        <v>1</v>
      </c>
      <c r="AF4" s="7">
        <f xml:space="preserve"> $C$18 * TAN($S$17/180*PI()) + $S$20 / (2 * SQRT($C$18^2 + AE4^2)) - AE4</f>
        <v>-0.8599616448012255</v>
      </c>
      <c r="AG4" s="7">
        <f xml:space="preserve"> (AC4 + AE4)/2</f>
        <v>0.5</v>
      </c>
      <c r="AH4" s="7">
        <f xml:space="preserve"> $C$18 * TAN($S$17/180*PI()) + $S$20 / (2 * SQRT($C$18^2 + AG4^2)) - AG4</f>
        <v>-0.35409676338625784</v>
      </c>
      <c r="AI4" s="7">
        <f>AD4*AH4</f>
        <v>-5.6102663624987809E-2</v>
      </c>
      <c r="AJ4" s="7">
        <f>AF4*AH4</f>
        <v>0.30450963506043666</v>
      </c>
      <c r="AK4" s="7">
        <f>AE4-AC4</f>
        <v>1</v>
      </c>
    </row>
    <row r="5" spans="2:37" x14ac:dyDescent="0.2">
      <c r="B5" s="11" t="s">
        <v>52</v>
      </c>
      <c r="C5" s="15">
        <v>4</v>
      </c>
      <c r="F5" t="s">
        <v>88</v>
      </c>
      <c r="G5" s="1">
        <v>152.4</v>
      </c>
      <c r="H5" t="s">
        <v>14</v>
      </c>
      <c r="J5" t="s">
        <v>89</v>
      </c>
      <c r="K5" s="11">
        <f>K4/$C$5</f>
        <v>91454.397587851461</v>
      </c>
      <c r="L5" s="11" t="s">
        <v>29</v>
      </c>
      <c r="N5" s="11" t="s">
        <v>55</v>
      </c>
      <c r="O5" s="11">
        <f xml:space="preserve"> 0.0327 * ($C$15*2.20462)^0.8903 * 0.3048^2</f>
        <v>3.2921955601686017</v>
      </c>
      <c r="P5" s="11" t="s">
        <v>18</v>
      </c>
      <c r="R5" s="11" t="s">
        <v>55</v>
      </c>
      <c r="S5" s="11">
        <f xml:space="preserve"> 0.0327 * ($C$15*2.20462)^0.8903 * 0.3048^2</f>
        <v>3.2921955601686017</v>
      </c>
      <c r="T5" s="11" t="s">
        <v>18</v>
      </c>
      <c r="V5" s="11" t="s">
        <v>55</v>
      </c>
      <c r="W5" s="11">
        <f xml:space="preserve"> 0.0327 * ($C$15*2.20462)^0.8903 * 0.3048^2</f>
        <v>3.2921955601686017</v>
      </c>
      <c r="X5" s="11" t="s">
        <v>18</v>
      </c>
      <c r="AB5" s="7">
        <v>1</v>
      </c>
      <c r="AC5" s="7">
        <f>IF(AI4&gt;0, AG4, AC4)</f>
        <v>0</v>
      </c>
      <c r="AD5" s="7">
        <f t="shared" ref="AD5:AD34" si="0" xml:space="preserve"> $C$18 * TAN($S$17/180*PI()) + $S$20 / (2 * SQRT($C$18^2 + AC5^2)) - AC5</f>
        <v>0.15843879251669291</v>
      </c>
      <c r="AE5" s="7">
        <f>IF(AJ4&gt;0, AG4, AE4)</f>
        <v>0.5</v>
      </c>
      <c r="AF5" s="7">
        <f t="shared" ref="AF5:AF34" si="1" xml:space="preserve"> $C$18 * TAN($S$17/180*PI()) + $S$20 / (2 * SQRT($C$18^2 + AE5^2)) - AE5</f>
        <v>-0.35409676338625784</v>
      </c>
      <c r="AG5" s="7">
        <f t="shared" ref="AG5:AG34" si="2" xml:space="preserve"> (AC5 + AE5)/2</f>
        <v>0.25</v>
      </c>
      <c r="AH5" s="7">
        <f t="shared" ref="AH5:AH34" si="3" xml:space="preserve"> $C$18 * TAN($S$17/180*PI()) + $S$20 / (2 * SQRT($C$18^2 + AG5^2)) - AG5</f>
        <v>-9.7545655897923939E-2</v>
      </c>
      <c r="AI5" s="7">
        <f t="shared" ref="AI5:AI34" si="4">AD5*AH5</f>
        <v>-1.5455015935715893E-2</v>
      </c>
      <c r="AJ5" s="7">
        <f t="shared" ref="AJ5:AJ34" si="5">AF5*AH5</f>
        <v>3.4540601035844498E-2</v>
      </c>
      <c r="AK5" s="7">
        <f t="shared" ref="AK5:AK34" si="6">AE5-AC5</f>
        <v>0.5</v>
      </c>
    </row>
    <row r="6" spans="2:37" x14ac:dyDescent="0.2">
      <c r="B6" s="11" t="s">
        <v>2</v>
      </c>
      <c r="C6" s="15">
        <v>0.13</v>
      </c>
      <c r="F6" t="s">
        <v>90</v>
      </c>
      <c r="G6" s="11">
        <f xml:space="preserve"> 1/1000 * ($C$15*$C$26)/$C$7 * ( ($G$4/2) + SQRT( ($G$4/2)^2 + ($C$15*$C$26)/(2*$C$25*$C$5*PI()*$C$16*$C$16 ) ) )</f>
        <v>215.35129736840915</v>
      </c>
      <c r="H6" s="11" t="s">
        <v>91</v>
      </c>
      <c r="N6" s="11" t="s">
        <v>56</v>
      </c>
      <c r="O6" s="11">
        <f xml:space="preserve"> O5 / ($C$5 * PI() * $C$16^2)</f>
        <v>0.11643759933911652</v>
      </c>
      <c r="R6" s="11" t="s">
        <v>56</v>
      </c>
      <c r="S6" s="11">
        <f xml:space="preserve"> S5 / ($C$5 * PI() * $C$16^2)</f>
        <v>0.11643759933911652</v>
      </c>
      <c r="V6" s="11" t="s">
        <v>56</v>
      </c>
      <c r="W6" s="11">
        <f xml:space="preserve"> W5 / ($C$5 * PI() * $C$16^2)</f>
        <v>0.11643759933911652</v>
      </c>
      <c r="AB6" s="7">
        <v>2</v>
      </c>
      <c r="AC6" s="7">
        <f t="shared" ref="AC6:AC34" si="7">IF(AI5&gt;0, AG5, AC5)</f>
        <v>0</v>
      </c>
      <c r="AD6" s="7">
        <f t="shared" si="0"/>
        <v>0.15843879251669291</v>
      </c>
      <c r="AE6" s="7">
        <f t="shared" ref="AE6:AE34" si="8">IF(AJ5&gt;0, AG5, AE5)</f>
        <v>0.25</v>
      </c>
      <c r="AF6" s="7">
        <f t="shared" si="1"/>
        <v>-9.7545655897923939E-2</v>
      </c>
      <c r="AG6" s="7">
        <f t="shared" si="2"/>
        <v>0.125</v>
      </c>
      <c r="AH6" s="7">
        <f t="shared" si="3"/>
        <v>3.1452664605812669E-2</v>
      </c>
      <c r="AI6" s="7">
        <f t="shared" si="4"/>
        <v>4.983322201577484E-3</v>
      </c>
      <c r="AJ6" s="7">
        <f t="shared" si="5"/>
        <v>-3.0680707987114143E-3</v>
      </c>
      <c r="AK6" s="7">
        <f t="shared" si="6"/>
        <v>0.25</v>
      </c>
    </row>
    <row r="7" spans="2:37" x14ac:dyDescent="0.2">
      <c r="B7" s="11" t="s">
        <v>3</v>
      </c>
      <c r="C7" s="15">
        <v>0.75</v>
      </c>
      <c r="F7" t="s">
        <v>30</v>
      </c>
      <c r="G7" s="11">
        <f xml:space="preserve"> $C$15 * $C$26 / $C$5</f>
        <v>2850.9317229644998</v>
      </c>
      <c r="H7" s="11" t="s">
        <v>31</v>
      </c>
      <c r="N7" s="11" t="s">
        <v>57</v>
      </c>
      <c r="O7" s="11">
        <f xml:space="preserve"> O4 * O5</f>
        <v>5041.1744515081709</v>
      </c>
      <c r="P7" s="11" t="s">
        <v>31</v>
      </c>
      <c r="R7" s="11" t="s">
        <v>57</v>
      </c>
      <c r="S7" s="11">
        <f xml:space="preserve"> S4 * S5</f>
        <v>5041.1744515081709</v>
      </c>
      <c r="T7" s="11" t="s">
        <v>31</v>
      </c>
      <c r="V7" s="11" t="s">
        <v>57</v>
      </c>
      <c r="W7" s="11">
        <f xml:space="preserve"> W4 * W5</f>
        <v>5041.1744515081709</v>
      </c>
      <c r="X7" s="11" t="s">
        <v>31</v>
      </c>
      <c r="AB7" s="7">
        <v>3</v>
      </c>
      <c r="AC7" s="7">
        <f t="shared" si="7"/>
        <v>0.125</v>
      </c>
      <c r="AD7" s="7">
        <f t="shared" si="0"/>
        <v>3.1452664605812669E-2</v>
      </c>
      <c r="AE7" s="7">
        <f t="shared" si="8"/>
        <v>0.25</v>
      </c>
      <c r="AF7" s="7">
        <f t="shared" si="1"/>
        <v>-9.7545655897923939E-2</v>
      </c>
      <c r="AG7" s="7">
        <f t="shared" si="2"/>
        <v>0.1875</v>
      </c>
      <c r="AH7" s="7">
        <f t="shared" si="3"/>
        <v>-3.2985840025223256E-2</v>
      </c>
      <c r="AI7" s="7">
        <f t="shared" si="4"/>
        <v>-1.0374925630543385E-3</v>
      </c>
      <c r="AJ7" s="7">
        <f t="shared" si="5"/>
        <v>3.2176254006043943E-3</v>
      </c>
      <c r="AK7" s="7">
        <f t="shared" si="6"/>
        <v>0.125</v>
      </c>
    </row>
    <row r="8" spans="2:37" x14ac:dyDescent="0.2">
      <c r="F8" t="s">
        <v>92</v>
      </c>
      <c r="G8" s="16">
        <f>$G$5/$G$4</f>
        <v>60</v>
      </c>
      <c r="H8" s="11" t="s">
        <v>22</v>
      </c>
      <c r="J8" s="24" t="s">
        <v>34</v>
      </c>
      <c r="K8" s="24"/>
      <c r="L8" s="24"/>
      <c r="N8" s="11" t="s">
        <v>60</v>
      </c>
      <c r="O8" s="11">
        <f xml:space="preserve"> O7</f>
        <v>5041.1744515081709</v>
      </c>
      <c r="P8" s="11" t="s">
        <v>31</v>
      </c>
      <c r="R8" s="11" t="s">
        <v>60</v>
      </c>
      <c r="S8" s="11">
        <f xml:space="preserve"> S7</f>
        <v>5041.1744515081709</v>
      </c>
      <c r="T8" s="11" t="s">
        <v>31</v>
      </c>
      <c r="V8" s="11" t="s">
        <v>60</v>
      </c>
      <c r="W8" s="11">
        <f xml:space="preserve"> W7</f>
        <v>5041.1744515081709</v>
      </c>
      <c r="X8" s="11" t="s">
        <v>31</v>
      </c>
      <c r="AB8" s="7">
        <v>4</v>
      </c>
      <c r="AC8" s="7">
        <f t="shared" si="7"/>
        <v>0.125</v>
      </c>
      <c r="AD8" s="7">
        <f t="shared" si="0"/>
        <v>3.1452664605812669E-2</v>
      </c>
      <c r="AE8" s="7">
        <f t="shared" si="8"/>
        <v>0.1875</v>
      </c>
      <c r="AF8" s="7">
        <f t="shared" si="1"/>
        <v>-3.2985840025223256E-2</v>
      </c>
      <c r="AG8" s="7">
        <f t="shared" si="2"/>
        <v>0.15625</v>
      </c>
      <c r="AH8" s="7">
        <f t="shared" si="3"/>
        <v>-7.3104770223147986E-4</v>
      </c>
      <c r="AI8" s="7">
        <f t="shared" si="4"/>
        <v>-2.2993398189136745E-5</v>
      </c>
      <c r="AJ8" s="7">
        <f t="shared" si="5"/>
        <v>2.4114222556614641E-5</v>
      </c>
      <c r="AK8" s="7">
        <f t="shared" si="6"/>
        <v>6.25E-2</v>
      </c>
    </row>
    <row r="9" spans="2:37" x14ac:dyDescent="0.2">
      <c r="B9" s="22" t="s">
        <v>6</v>
      </c>
      <c r="C9" s="23"/>
      <c r="D9" s="23"/>
      <c r="F9"/>
      <c r="G9" s="16"/>
      <c r="J9" s="11" t="s">
        <v>93</v>
      </c>
      <c r="K9" s="11">
        <f xml:space="preserve"> (G6*G8 + G18*G19 + G23*G24 + G34*G35 + G40*G42)/3600</f>
        <v>65.154702578387599</v>
      </c>
      <c r="L9" s="11" t="s">
        <v>94</v>
      </c>
      <c r="AB9" s="7">
        <v>5</v>
      </c>
      <c r="AC9" s="7">
        <f t="shared" si="7"/>
        <v>0.125</v>
      </c>
      <c r="AD9" s="7">
        <f t="shared" si="0"/>
        <v>3.1452664605812669E-2</v>
      </c>
      <c r="AE9" s="7">
        <f t="shared" si="8"/>
        <v>0.15625</v>
      </c>
      <c r="AF9" s="7">
        <f t="shared" si="1"/>
        <v>-7.3104770223147986E-4</v>
      </c>
      <c r="AG9" s="7">
        <f t="shared" si="2"/>
        <v>0.140625</v>
      </c>
      <c r="AH9" s="7">
        <f t="shared" si="3"/>
        <v>1.5372774118479621E-2</v>
      </c>
      <c r="AI9" s="7">
        <f t="shared" si="4"/>
        <v>4.8351470840945701E-4</v>
      </c>
      <c r="AJ9" s="7">
        <f t="shared" si="5"/>
        <v>-1.1238231196238089E-5</v>
      </c>
      <c r="AK9" s="7">
        <f t="shared" si="6"/>
        <v>3.125E-2</v>
      </c>
    </row>
    <row r="10" spans="2:37" x14ac:dyDescent="0.2">
      <c r="B10" s="11" t="s">
        <v>7</v>
      </c>
      <c r="C10" s="15">
        <v>250</v>
      </c>
      <c r="D10" s="11" t="s">
        <v>8</v>
      </c>
      <c r="F10" s="25" t="s">
        <v>95</v>
      </c>
      <c r="G10" s="26"/>
      <c r="H10" s="26"/>
      <c r="J10" s="11" t="s">
        <v>35</v>
      </c>
      <c r="K10" s="11">
        <f xml:space="preserve"> (G8 + G19 + G24 + G35 + G42)/60</f>
        <v>12.670797717535228</v>
      </c>
      <c r="L10" s="11" t="s">
        <v>96</v>
      </c>
      <c r="AB10" s="7">
        <v>6</v>
      </c>
      <c r="AC10" s="7">
        <f t="shared" si="7"/>
        <v>0.140625</v>
      </c>
      <c r="AD10" s="7">
        <f t="shared" si="0"/>
        <v>1.5372774118479621E-2</v>
      </c>
      <c r="AE10" s="7">
        <f t="shared" si="8"/>
        <v>0.15625</v>
      </c>
      <c r="AF10" s="7">
        <f t="shared" si="1"/>
        <v>-7.3104770223147986E-4</v>
      </c>
      <c r="AG10" s="7">
        <f t="shared" si="2"/>
        <v>0.1484375</v>
      </c>
      <c r="AH10" s="7">
        <f t="shared" si="3"/>
        <v>7.3234490043362077E-3</v>
      </c>
      <c r="AI10" s="7">
        <f t="shared" si="4"/>
        <v>1.12581727311865E-4</v>
      </c>
      <c r="AJ10" s="7">
        <f t="shared" si="5"/>
        <v>-5.3537905670294036E-6</v>
      </c>
      <c r="AK10" s="7">
        <f t="shared" si="6"/>
        <v>1.5625E-2</v>
      </c>
    </row>
    <row r="11" spans="2:37" x14ac:dyDescent="0.2">
      <c r="B11" s="11" t="s">
        <v>9</v>
      </c>
      <c r="C11" s="15">
        <v>0.85</v>
      </c>
      <c r="F11" s="3" t="s">
        <v>97</v>
      </c>
      <c r="G11" s="1">
        <f>$C$17</f>
        <v>50</v>
      </c>
      <c r="H11" t="s">
        <v>16</v>
      </c>
      <c r="N11" s="22" t="s">
        <v>77</v>
      </c>
      <c r="O11" s="27"/>
      <c r="P11" s="27"/>
      <c r="R11" s="22" t="s">
        <v>77</v>
      </c>
      <c r="S11" s="27"/>
      <c r="T11" s="27"/>
      <c r="V11" s="22" t="s">
        <v>77</v>
      </c>
      <c r="W11" s="27"/>
      <c r="X11" s="27"/>
      <c r="AB11" s="7">
        <v>7</v>
      </c>
      <c r="AC11" s="7">
        <f t="shared" si="7"/>
        <v>0.1484375</v>
      </c>
      <c r="AD11" s="7">
        <f t="shared" si="0"/>
        <v>7.3234490043362077E-3</v>
      </c>
      <c r="AE11" s="7">
        <f t="shared" si="8"/>
        <v>0.15625</v>
      </c>
      <c r="AF11" s="7">
        <f t="shared" si="1"/>
        <v>-7.3104770223147986E-4</v>
      </c>
      <c r="AG11" s="7">
        <f t="shared" si="2"/>
        <v>0.15234375</v>
      </c>
      <c r="AH11" s="7">
        <f t="shared" si="3"/>
        <v>3.2967980187746937E-3</v>
      </c>
      <c r="AI11" s="7">
        <f t="shared" si="4"/>
        <v>2.4143932168093114E-5</v>
      </c>
      <c r="AJ11" s="7">
        <f t="shared" si="5"/>
        <v>-2.4101166163465349E-6</v>
      </c>
      <c r="AK11" s="7">
        <f t="shared" si="6"/>
        <v>7.8125E-3</v>
      </c>
    </row>
    <row r="12" spans="2:37" x14ac:dyDescent="0.2">
      <c r="B12" s="11" t="s">
        <v>10</v>
      </c>
      <c r="C12" s="15">
        <v>0.8</v>
      </c>
      <c r="F12" t="s">
        <v>98</v>
      </c>
      <c r="G12" s="1">
        <v>2.54</v>
      </c>
      <c r="H12" t="s">
        <v>16</v>
      </c>
      <c r="N12" s="11" t="s">
        <v>78</v>
      </c>
      <c r="O12" s="11">
        <f>SQRT((O8*COS(G16/180*PI()))^2 + (O8*SIN(G16/180*PI())+$C$15*$C$26)^2)</f>
        <v>12700.363208318095</v>
      </c>
      <c r="P12" s="11" t="s">
        <v>31</v>
      </c>
      <c r="R12" s="11" t="s">
        <v>78</v>
      </c>
      <c r="S12" s="11">
        <f xml:space="preserve"> SQRT( ($C$15*$C$26)^2 + S8^2)</f>
        <v>12468.296871450568</v>
      </c>
      <c r="T12" s="11" t="s">
        <v>31</v>
      </c>
      <c r="V12" s="11" t="s">
        <v>78</v>
      </c>
      <c r="W12" s="11">
        <f xml:space="preserve"> SQRT( (W8*COS(G32/180*PI()))^2 + ($C$15*$C$26 - W8*SIN(G32/180*PI()))^2 )</f>
        <v>12326.96019404129</v>
      </c>
      <c r="X12" s="11" t="s">
        <v>31</v>
      </c>
      <c r="AB12" s="7">
        <v>8</v>
      </c>
      <c r="AC12" s="7">
        <f t="shared" si="7"/>
        <v>0.15234375</v>
      </c>
      <c r="AD12" s="7">
        <f t="shared" si="0"/>
        <v>3.2967980187746937E-3</v>
      </c>
      <c r="AE12" s="7">
        <f t="shared" si="8"/>
        <v>0.15625</v>
      </c>
      <c r="AF12" s="7">
        <f t="shared" si="1"/>
        <v>-7.3104770223147986E-4</v>
      </c>
      <c r="AG12" s="7">
        <f t="shared" si="2"/>
        <v>0.154296875</v>
      </c>
      <c r="AH12" s="7">
        <f t="shared" si="3"/>
        <v>1.2830184770688813E-3</v>
      </c>
      <c r="AI12" s="7">
        <f t="shared" si="4"/>
        <v>4.2298527732520122E-6</v>
      </c>
      <c r="AJ12" s="7">
        <f t="shared" si="5"/>
        <v>-9.3794770958173832E-7</v>
      </c>
      <c r="AK12" s="7">
        <f t="shared" si="6"/>
        <v>3.90625E-3</v>
      </c>
    </row>
    <row r="13" spans="2:37" x14ac:dyDescent="0.2">
      <c r="F13" t="s">
        <v>99</v>
      </c>
      <c r="G13" s="1">
        <v>304.8</v>
      </c>
      <c r="H13" t="s">
        <v>14</v>
      </c>
      <c r="N13" s="11" t="s">
        <v>100</v>
      </c>
      <c r="O13" s="11">
        <f>ACOS(O8*COS(G16/180*PI())/O12) /PI() *180</f>
        <v>66.645495942154469</v>
      </c>
      <c r="P13" s="11" t="s">
        <v>62</v>
      </c>
      <c r="R13" s="11" t="s">
        <v>79</v>
      </c>
      <c r="S13" s="11">
        <f>$C$15*$C$26/S12</f>
        <v>0.91461785113328664</v>
      </c>
      <c r="V13" s="11" t="s">
        <v>100</v>
      </c>
      <c r="W13" s="11">
        <f xml:space="preserve"> ACOS(W8*COS(G32/180*PI())/W12) /PI() * 180</f>
        <v>65.872710562585283</v>
      </c>
      <c r="X13" s="11" t="s">
        <v>62</v>
      </c>
      <c r="AB13" s="7">
        <v>9</v>
      </c>
      <c r="AC13" s="7">
        <f t="shared" si="7"/>
        <v>0.154296875</v>
      </c>
      <c r="AD13" s="7">
        <f t="shared" si="0"/>
        <v>1.2830184770688813E-3</v>
      </c>
      <c r="AE13" s="7">
        <f t="shared" si="8"/>
        <v>0.15625</v>
      </c>
      <c r="AF13" s="7">
        <f t="shared" si="1"/>
        <v>-7.3104770223147986E-4</v>
      </c>
      <c r="AG13" s="7">
        <f t="shared" si="2"/>
        <v>0.1552734375</v>
      </c>
      <c r="AH13" s="7">
        <f t="shared" si="3"/>
        <v>2.7602047151734088E-4</v>
      </c>
      <c r="AI13" s="7">
        <f t="shared" si="4"/>
        <v>3.5413936500601324E-7</v>
      </c>
      <c r="AJ13" s="7">
        <f t="shared" si="5"/>
        <v>-2.0178413147160169E-7</v>
      </c>
      <c r="AK13" s="7">
        <f t="shared" si="6"/>
        <v>1.953125E-3</v>
      </c>
    </row>
    <row r="14" spans="2:37" x14ac:dyDescent="0.2">
      <c r="B14" s="24" t="s">
        <v>11</v>
      </c>
      <c r="C14" s="24"/>
      <c r="D14" s="24"/>
      <c r="F14" t="s">
        <v>101</v>
      </c>
      <c r="G14" s="16">
        <f>SQRT($G$11^2-$G$12^2)</f>
        <v>49.935442323063484</v>
      </c>
      <c r="H14" t="s">
        <v>16</v>
      </c>
      <c r="AB14" s="7">
        <v>10</v>
      </c>
      <c r="AC14" s="7">
        <f t="shared" si="7"/>
        <v>0.1552734375</v>
      </c>
      <c r="AD14" s="7">
        <f t="shared" si="0"/>
        <v>2.7602047151734088E-4</v>
      </c>
      <c r="AE14" s="7">
        <f t="shared" si="8"/>
        <v>0.15625</v>
      </c>
      <c r="AF14" s="7">
        <f t="shared" si="1"/>
        <v>-7.3104770223147986E-4</v>
      </c>
      <c r="AG14" s="7">
        <f t="shared" si="2"/>
        <v>0.15576171875</v>
      </c>
      <c r="AH14" s="7">
        <f t="shared" si="3"/>
        <v>-2.2750493706849562E-4</v>
      </c>
      <c r="AI14" s="7">
        <f t="shared" si="4"/>
        <v>-6.2796020002169127E-8</v>
      </c>
      <c r="AJ14" s="7">
        <f t="shared" si="5"/>
        <v>1.6631696149024116E-7</v>
      </c>
      <c r="AK14" s="7">
        <f t="shared" si="6"/>
        <v>9.765625E-4</v>
      </c>
    </row>
    <row r="15" spans="2:37" x14ac:dyDescent="0.2">
      <c r="B15" s="17" t="s">
        <v>54</v>
      </c>
      <c r="C15" s="17">
        <v>1162.85652</v>
      </c>
      <c r="D15" s="17" t="s">
        <v>12</v>
      </c>
      <c r="F15" t="s">
        <v>102</v>
      </c>
      <c r="G15" s="16">
        <f>$G$14*($G$13/$G$12)</f>
        <v>5992.2530787676178</v>
      </c>
      <c r="H15" t="s">
        <v>14</v>
      </c>
      <c r="AB15" s="7">
        <v>11</v>
      </c>
      <c r="AC15" s="7">
        <f t="shared" si="7"/>
        <v>0.1552734375</v>
      </c>
      <c r="AD15" s="7">
        <f t="shared" si="0"/>
        <v>2.7602047151734088E-4</v>
      </c>
      <c r="AE15" s="7">
        <f t="shared" si="8"/>
        <v>0.15576171875</v>
      </c>
      <c r="AF15" s="7">
        <f t="shared" si="1"/>
        <v>-2.2750493706849562E-4</v>
      </c>
      <c r="AG15" s="7">
        <f t="shared" si="2"/>
        <v>0.155517578125</v>
      </c>
      <c r="AH15" s="7">
        <f t="shared" si="3"/>
        <v>2.4259948367716389E-5</v>
      </c>
      <c r="AI15" s="7">
        <f t="shared" si="4"/>
        <v>6.6962423874434218E-9</v>
      </c>
      <c r="AJ15" s="7">
        <f t="shared" si="5"/>
        <v>-5.5192580266822699E-9</v>
      </c>
      <c r="AK15" s="7">
        <f t="shared" si="6"/>
        <v>4.8828125E-4</v>
      </c>
    </row>
    <row r="16" spans="2:37" x14ac:dyDescent="0.2">
      <c r="B16" s="11" t="s">
        <v>13</v>
      </c>
      <c r="C16" s="15">
        <v>1.5</v>
      </c>
      <c r="D16" s="11" t="s">
        <v>14</v>
      </c>
      <c r="F16" t="s">
        <v>103</v>
      </c>
      <c r="G16" s="16">
        <f>ATAN(G12/G14)/PI()*180</f>
        <v>2.9118789347687013</v>
      </c>
      <c r="H16" t="s">
        <v>62</v>
      </c>
      <c r="N16" s="22" t="s">
        <v>40</v>
      </c>
      <c r="O16" s="27"/>
      <c r="P16" s="27"/>
      <c r="R16" s="22" t="s">
        <v>40</v>
      </c>
      <c r="S16" s="27"/>
      <c r="T16" s="27"/>
      <c r="V16" s="22" t="s">
        <v>40</v>
      </c>
      <c r="W16" s="27"/>
      <c r="X16" s="27"/>
      <c r="AB16" s="7">
        <v>12</v>
      </c>
      <c r="AC16" s="7">
        <f t="shared" si="7"/>
        <v>0.155517578125</v>
      </c>
      <c r="AD16" s="7">
        <f t="shared" si="0"/>
        <v>2.4259948367716389E-5</v>
      </c>
      <c r="AE16" s="7">
        <f t="shared" si="8"/>
        <v>0.15576171875</v>
      </c>
      <c r="AF16" s="7">
        <f t="shared" si="1"/>
        <v>-2.2750493706849562E-4</v>
      </c>
      <c r="AG16" s="7">
        <f t="shared" si="2"/>
        <v>0.1556396484375</v>
      </c>
      <c r="AH16" s="7">
        <f t="shared" si="3"/>
        <v>-1.0162195051227618E-4</v>
      </c>
      <c r="AI16" s="7">
        <f t="shared" si="4"/>
        <v>-2.46534327245445E-9</v>
      </c>
      <c r="AJ16" s="7">
        <f t="shared" si="5"/>
        <v>2.311949545607317E-8</v>
      </c>
      <c r="AK16" s="7">
        <f t="shared" si="6"/>
        <v>2.44140625E-4</v>
      </c>
    </row>
    <row r="17" spans="2:37" x14ac:dyDescent="0.2">
      <c r="B17" s="11" t="s">
        <v>15</v>
      </c>
      <c r="C17" s="15">
        <v>50</v>
      </c>
      <c r="D17" s="11" t="s">
        <v>16</v>
      </c>
      <c r="F17" t="s">
        <v>104</v>
      </c>
      <c r="G17" s="11">
        <f xml:space="preserve"> 1/1000 * (O22 + O18 * (O27 * O24 + $G$11 * SIN(O17/180*PI())))</f>
        <v>91.45439758785146</v>
      </c>
      <c r="H17" t="s">
        <v>91</v>
      </c>
      <c r="N17" s="11" t="s">
        <v>41</v>
      </c>
      <c r="O17" s="11">
        <f xml:space="preserve"> 90 + G16 - O13</f>
        <v>26.26638299261424</v>
      </c>
      <c r="P17" s="11" t="s">
        <v>62</v>
      </c>
      <c r="R17" s="11" t="s">
        <v>41</v>
      </c>
      <c r="S17" s="11">
        <f xml:space="preserve"> ACOS(S13)/PI()*180</f>
        <v>23.848484984848099</v>
      </c>
      <c r="T17" s="11" t="s">
        <v>62</v>
      </c>
      <c r="V17" s="11" t="s">
        <v>41</v>
      </c>
      <c r="W17" s="11">
        <f>90-G32-W13</f>
        <v>22.380643558780022</v>
      </c>
      <c r="X17" s="11" t="s">
        <v>62</v>
      </c>
      <c r="AB17" s="7">
        <v>13</v>
      </c>
      <c r="AC17" s="7">
        <f t="shared" si="7"/>
        <v>0.155517578125</v>
      </c>
      <c r="AD17" s="7">
        <f t="shared" si="0"/>
        <v>2.4259948367716389E-5</v>
      </c>
      <c r="AE17" s="7">
        <f t="shared" si="8"/>
        <v>0.1556396484375</v>
      </c>
      <c r="AF17" s="7">
        <f t="shared" si="1"/>
        <v>-1.0162195051227618E-4</v>
      </c>
      <c r="AG17" s="7">
        <f t="shared" si="2"/>
        <v>0.15557861328125</v>
      </c>
      <c r="AH17" s="7">
        <f t="shared" si="3"/>
        <v>-3.8680864931861514E-5</v>
      </c>
      <c r="AI17" s="7">
        <f t="shared" si="4"/>
        <v>-9.3839578606557192E-10</v>
      </c>
      <c r="AJ17" s="7">
        <f t="shared" si="5"/>
        <v>3.9308249418776698E-9</v>
      </c>
      <c r="AK17" s="7">
        <f t="shared" si="6"/>
        <v>1.220703125E-4</v>
      </c>
    </row>
    <row r="18" spans="2:37" x14ac:dyDescent="0.2">
      <c r="B18" s="11" t="s">
        <v>75</v>
      </c>
      <c r="C18" s="15">
        <v>0.3</v>
      </c>
      <c r="F18" t="s">
        <v>105</v>
      </c>
      <c r="G18" s="16">
        <f>$C$5*G17</f>
        <v>365.81759035140584</v>
      </c>
      <c r="H18" t="s">
        <v>91</v>
      </c>
      <c r="N18" s="11" t="s">
        <v>30</v>
      </c>
      <c r="O18" s="11">
        <f xml:space="preserve"> O12 / $C$5</f>
        <v>3175.0908020795237</v>
      </c>
      <c r="P18" s="11" t="s">
        <v>31</v>
      </c>
      <c r="R18" s="11" t="s">
        <v>30</v>
      </c>
      <c r="S18" s="11">
        <f xml:space="preserve"> S12 / $C$5</f>
        <v>3117.0742178626419</v>
      </c>
      <c r="T18" s="11" t="s">
        <v>31</v>
      </c>
      <c r="V18" s="11" t="s">
        <v>30</v>
      </c>
      <c r="W18" s="11">
        <f xml:space="preserve"> W12 / $C$5</f>
        <v>3081.7400485103226</v>
      </c>
      <c r="X18" s="11" t="s">
        <v>31</v>
      </c>
      <c r="AB18" s="7">
        <v>14</v>
      </c>
      <c r="AC18" s="7">
        <f t="shared" si="7"/>
        <v>0.155517578125</v>
      </c>
      <c r="AD18" s="7">
        <f t="shared" si="0"/>
        <v>2.4259948367716389E-5</v>
      </c>
      <c r="AE18" s="7">
        <f t="shared" si="8"/>
        <v>0.15557861328125</v>
      </c>
      <c r="AF18" s="7">
        <f t="shared" si="1"/>
        <v>-3.8680864931861514E-5</v>
      </c>
      <c r="AG18" s="7">
        <f t="shared" si="2"/>
        <v>0.155548095703125</v>
      </c>
      <c r="AH18" s="7">
        <f t="shared" si="3"/>
        <v>-7.2104242243575811E-6</v>
      </c>
      <c r="AI18" s="7">
        <f t="shared" si="4"/>
        <v>-1.7492451939224642E-10</v>
      </c>
      <c r="AJ18" s="7">
        <f t="shared" si="5"/>
        <v>2.789054455237979E-10</v>
      </c>
      <c r="AK18" s="7">
        <f t="shared" si="6"/>
        <v>6.103515625E-5</v>
      </c>
    </row>
    <row r="19" spans="2:37" x14ac:dyDescent="0.2">
      <c r="F19" t="s">
        <v>106</v>
      </c>
      <c r="G19" s="16">
        <f>$G$13/$G$12</f>
        <v>120</v>
      </c>
      <c r="H19" t="s">
        <v>22</v>
      </c>
      <c r="N19" s="11" t="s">
        <v>42</v>
      </c>
      <c r="O19" s="11">
        <f xml:space="preserve"> $G$11 * COS(O17/180*PI()) / ($C$18 * $C$16)</f>
        <v>99.638470899684748</v>
      </c>
      <c r="P19" s="11" t="s">
        <v>43</v>
      </c>
      <c r="R19" s="11" t="s">
        <v>42</v>
      </c>
      <c r="S19" s="11">
        <f xml:space="preserve"> $C$17 * COS(S17/180*PI()) / ($C$18 * $C$16)</f>
        <v>101.62420568147631</v>
      </c>
      <c r="T19" s="11" t="s">
        <v>43</v>
      </c>
      <c r="V19" s="11" t="s">
        <v>42</v>
      </c>
      <c r="W19" s="11">
        <f xml:space="preserve"> $G$27 * COS(W17/180*PI()) / ($C$18 * $C$16)</f>
        <v>102.74163547097109</v>
      </c>
      <c r="X19" s="11" t="s">
        <v>43</v>
      </c>
      <c r="AB19" s="7">
        <v>15</v>
      </c>
      <c r="AC19" s="7">
        <f t="shared" si="7"/>
        <v>0.155517578125</v>
      </c>
      <c r="AD19" s="7">
        <f t="shared" si="0"/>
        <v>2.4259948367716389E-5</v>
      </c>
      <c r="AE19" s="7">
        <f t="shared" si="8"/>
        <v>0.155548095703125</v>
      </c>
      <c r="AF19" s="7">
        <f t="shared" si="1"/>
        <v>-7.2104242243575811E-6</v>
      </c>
      <c r="AG19" s="7">
        <f t="shared" si="2"/>
        <v>0.1555328369140625</v>
      </c>
      <c r="AH19" s="7">
        <f t="shared" si="3"/>
        <v>8.5247705889357483E-6</v>
      </c>
      <c r="AI19" s="7">
        <f t="shared" si="4"/>
        <v>2.0681049433420849E-10</v>
      </c>
      <c r="AJ19" s="7">
        <f t="shared" si="5"/>
        <v>-6.1467212361553358E-11</v>
      </c>
      <c r="AK19" s="7">
        <f t="shared" si="6"/>
        <v>3.0517578125E-5</v>
      </c>
    </row>
    <row r="20" spans="2:37" x14ac:dyDescent="0.2">
      <c r="B20" s="24" t="s">
        <v>20</v>
      </c>
      <c r="C20" s="24"/>
      <c r="D20" s="24"/>
      <c r="N20" s="11" t="s">
        <v>45</v>
      </c>
      <c r="O20" s="11">
        <f xml:space="preserve"> O18 / ($C$25 * PI() * $C$16^2 * O19^2 * $C$16^2)</f>
        <v>1.6415383913497859E-2</v>
      </c>
      <c r="R20" s="11" t="s">
        <v>45</v>
      </c>
      <c r="S20" s="11">
        <f xml:space="preserve"> S18 / ($C$25 * PI() * $C$16^2 * S19^2 * $C$16^2)</f>
        <v>1.5491797704865772E-2</v>
      </c>
      <c r="V20" s="11" t="s">
        <v>45</v>
      </c>
      <c r="W20" s="11">
        <f xml:space="preserve"> W18 / ($C$25 * PI() * $C$16^2 * W19^2 * $C$16^2)</f>
        <v>1.4984838107199335E-2</v>
      </c>
      <c r="AB20" s="7">
        <v>16</v>
      </c>
      <c r="AC20" s="7">
        <f t="shared" si="7"/>
        <v>0.1555328369140625</v>
      </c>
      <c r="AD20" s="7">
        <f t="shared" si="0"/>
        <v>8.5247705889357483E-6</v>
      </c>
      <c r="AE20" s="7">
        <f t="shared" si="8"/>
        <v>0.155548095703125</v>
      </c>
      <c r="AF20" s="7">
        <f t="shared" si="1"/>
        <v>-7.2104242243575811E-6</v>
      </c>
      <c r="AG20" s="7">
        <f t="shared" si="2"/>
        <v>0.15554046630859375</v>
      </c>
      <c r="AH20" s="7">
        <f t="shared" si="3"/>
        <v>6.5717531125275563E-7</v>
      </c>
      <c r="AI20" s="7">
        <f t="shared" si="4"/>
        <v>5.6022687651421871E-12</v>
      </c>
      <c r="AJ20" s="7">
        <f t="shared" si="5"/>
        <v>-4.7385127839066024E-12</v>
      </c>
      <c r="AK20" s="7">
        <f t="shared" si="6"/>
        <v>1.52587890625E-5</v>
      </c>
    </row>
    <row r="21" spans="2:37" x14ac:dyDescent="0.2">
      <c r="B21" s="11" t="s">
        <v>107</v>
      </c>
      <c r="C21" s="15">
        <v>400</v>
      </c>
      <c r="D21" s="11" t="s">
        <v>12</v>
      </c>
      <c r="F21" s="22" t="s">
        <v>108</v>
      </c>
      <c r="G21" s="23"/>
      <c r="H21" s="23"/>
      <c r="N21" s="11" t="s">
        <v>4</v>
      </c>
      <c r="O21" s="15">
        <v>1.2E-2</v>
      </c>
      <c r="R21" s="11" t="s">
        <v>4</v>
      </c>
      <c r="S21" s="15">
        <v>1.2E-2</v>
      </c>
      <c r="V21" s="11" t="s">
        <v>4</v>
      </c>
      <c r="W21" s="15">
        <v>1.2E-2</v>
      </c>
      <c r="AB21" s="7">
        <v>17</v>
      </c>
      <c r="AC21" s="7">
        <f t="shared" si="7"/>
        <v>0.15554046630859375</v>
      </c>
      <c r="AD21" s="7">
        <f t="shared" si="0"/>
        <v>6.5717531125275563E-7</v>
      </c>
      <c r="AE21" s="7">
        <f t="shared" si="8"/>
        <v>0.155548095703125</v>
      </c>
      <c r="AF21" s="7">
        <f t="shared" si="1"/>
        <v>-7.2104242243575811E-6</v>
      </c>
      <c r="AG21" s="7">
        <f t="shared" si="2"/>
        <v>0.15554428100585938</v>
      </c>
      <c r="AH21" s="7">
        <f t="shared" si="3"/>
        <v>-3.2766239243531281E-6</v>
      </c>
      <c r="AI21" s="7">
        <f t="shared" si="4"/>
        <v>-2.1533163473449924E-12</v>
      </c>
      <c r="AJ21" s="7">
        <f t="shared" si="5"/>
        <v>2.3625848518265396E-11</v>
      </c>
      <c r="AK21" s="7">
        <f t="shared" si="6"/>
        <v>7.62939453125E-6</v>
      </c>
    </row>
    <row r="22" spans="2:37" x14ac:dyDescent="0.2">
      <c r="B22" s="11" t="s">
        <v>21</v>
      </c>
      <c r="C22" s="15">
        <v>30000</v>
      </c>
      <c r="D22" s="11" t="s">
        <v>14</v>
      </c>
      <c r="F22" s="18" t="s">
        <v>32</v>
      </c>
      <c r="G22" s="11">
        <f xml:space="preserve"> 1/1000 * (S22 + S18 * (S24 * S27 + $C$17 * SIN(S17/180*PI())))</f>
        <v>84.184455490302668</v>
      </c>
      <c r="H22" s="11" t="s">
        <v>91</v>
      </c>
      <c r="N22" s="11" t="s">
        <v>46</v>
      </c>
      <c r="O22" s="11">
        <f xml:space="preserve"> ($C$6 * O21 / 8) * (1 + 4.65 *$C$18^ 2) * ( PI() * $C$25 * O19^3 *$C$16^ 5)</f>
        <v>7996.2685318788126</v>
      </c>
      <c r="P22" s="11" t="s">
        <v>29</v>
      </c>
      <c r="R22" s="11" t="s">
        <v>46</v>
      </c>
      <c r="S22" s="11">
        <f xml:space="preserve"> ($C$6 * S21 / 8) * (1 + 4.65 *$C$18^ 2) * ( PI() * $C$25 * S19^3 *$C$16^ 5)</f>
        <v>8483.9421865182394</v>
      </c>
      <c r="T22" s="11" t="s">
        <v>29</v>
      </c>
      <c r="V22" s="11" t="s">
        <v>46</v>
      </c>
      <c r="W22" s="11">
        <f xml:space="preserve"> ($C$6 * W21 / 8) * (1 + 4.65 *$C$18^ 2) * ( PI() * $C$25 * W19^3 *$C$16^ 5)</f>
        <v>8766.8915092816442</v>
      </c>
      <c r="X22" s="11" t="s">
        <v>29</v>
      </c>
      <c r="AB22" s="7">
        <v>18</v>
      </c>
      <c r="AC22" s="7">
        <f t="shared" si="7"/>
        <v>0.15554046630859375</v>
      </c>
      <c r="AD22" s="7">
        <f t="shared" si="0"/>
        <v>6.5717531125275563E-7</v>
      </c>
      <c r="AE22" s="7">
        <f t="shared" si="8"/>
        <v>0.15554428100585938</v>
      </c>
      <c r="AF22" s="7">
        <f t="shared" si="1"/>
        <v>-3.2766239243531281E-6</v>
      </c>
      <c r="AG22" s="7">
        <f t="shared" si="2"/>
        <v>0.15554237365722656</v>
      </c>
      <c r="AH22" s="7">
        <f t="shared" si="3"/>
        <v>-1.3097241735038345E-6</v>
      </c>
      <c r="AI22" s="7">
        <f t="shared" si="4"/>
        <v>-8.6071839137764062E-13</v>
      </c>
      <c r="AJ22" s="7">
        <f t="shared" si="5"/>
        <v>4.2914735612062913E-12</v>
      </c>
      <c r="AK22" s="7">
        <f t="shared" si="6"/>
        <v>3.814697265625E-6</v>
      </c>
    </row>
    <row r="23" spans="2:37" x14ac:dyDescent="0.2">
      <c r="F23" s="18" t="s">
        <v>33</v>
      </c>
      <c r="G23" s="11">
        <f>$C$5 * G22</f>
        <v>336.73782196121067</v>
      </c>
      <c r="H23" s="11" t="s">
        <v>91</v>
      </c>
      <c r="N23" s="11" t="s">
        <v>47</v>
      </c>
      <c r="O23" s="19">
        <f>AG69</f>
        <v>0.17179212206974626</v>
      </c>
      <c r="R23" s="11" t="s">
        <v>47</v>
      </c>
      <c r="S23" s="19">
        <f>AG34</f>
        <v>0.15554110379889607</v>
      </c>
      <c r="V23" s="11" t="s">
        <v>47</v>
      </c>
      <c r="W23" s="19">
        <f>AG104</f>
        <v>0.14598939986899495</v>
      </c>
      <c r="AB23" s="7">
        <v>19</v>
      </c>
      <c r="AC23" s="7">
        <f t="shared" si="7"/>
        <v>0.15554046630859375</v>
      </c>
      <c r="AD23" s="7">
        <f t="shared" si="0"/>
        <v>6.5717531125275563E-7</v>
      </c>
      <c r="AE23" s="7">
        <f t="shared" si="8"/>
        <v>0.15554237365722656</v>
      </c>
      <c r="AF23" s="7">
        <f t="shared" si="1"/>
        <v>-1.3097241735038345E-6</v>
      </c>
      <c r="AG23" s="7">
        <f t="shared" si="2"/>
        <v>0.15554141998291016</v>
      </c>
      <c r="AH23" s="7">
        <f t="shared" si="3"/>
        <v>-3.2627439786048207E-7</v>
      </c>
      <c r="AI23" s="7">
        <f t="shared" si="4"/>
        <v>-2.1441947896776773E-13</v>
      </c>
      <c r="AJ23" s="7">
        <f t="shared" si="5"/>
        <v>4.2732946607328115E-13</v>
      </c>
      <c r="AK23" s="7">
        <f t="shared" si="6"/>
        <v>1.9073486328125E-6</v>
      </c>
    </row>
    <row r="24" spans="2:37" x14ac:dyDescent="0.2">
      <c r="B24" s="24" t="s">
        <v>109</v>
      </c>
      <c r="C24" s="28"/>
      <c r="D24" s="28"/>
      <c r="F24" s="18" t="s">
        <v>110</v>
      </c>
      <c r="G24" s="11">
        <f xml:space="preserve"> ($C$22-G15-G31)/$C$17</f>
        <v>280.24786305211359</v>
      </c>
      <c r="H24" s="11" t="s">
        <v>22</v>
      </c>
      <c r="N24" s="11" t="s">
        <v>48</v>
      </c>
      <c r="O24" s="11">
        <f xml:space="preserve"> O19 * $C$16 * O23 - $C$17 * SIN(O17/180*PI())</f>
        <v>3.5484004643861056</v>
      </c>
      <c r="P24" s="11" t="s">
        <v>16</v>
      </c>
      <c r="R24" s="11" t="s">
        <v>48</v>
      </c>
      <c r="S24" s="11">
        <f xml:space="preserve"> S19 * $C$16 * S23 - $C$17 * SIN(S17/180*PI())</f>
        <v>3.4941411194503367</v>
      </c>
      <c r="T24" s="11" t="s">
        <v>16</v>
      </c>
      <c r="V24" s="11" t="s">
        <v>48</v>
      </c>
      <c r="W24" s="11">
        <f xml:space="preserve"> W19 * $C$16 * W23 - $C$17 * SIN(W17/180*PI())</f>
        <v>3.460883962609195</v>
      </c>
      <c r="X24" s="11" t="s">
        <v>16</v>
      </c>
      <c r="AB24" s="7">
        <v>20</v>
      </c>
      <c r="AC24" s="7">
        <f t="shared" si="7"/>
        <v>0.15554046630859375</v>
      </c>
      <c r="AD24" s="7">
        <f t="shared" si="0"/>
        <v>6.5717531125275563E-7</v>
      </c>
      <c r="AE24" s="7">
        <f t="shared" si="8"/>
        <v>0.15554141998291016</v>
      </c>
      <c r="AF24" s="7">
        <f t="shared" si="1"/>
        <v>-3.2627439786048207E-7</v>
      </c>
      <c r="AG24" s="7">
        <f t="shared" si="2"/>
        <v>0.15554094314575195</v>
      </c>
      <c r="AH24" s="7">
        <f t="shared" si="3"/>
        <v>1.6545046499505389E-7</v>
      </c>
      <c r="AI24" s="7">
        <f t="shared" si="4"/>
        <v>1.0872996083003769E-13</v>
      </c>
      <c r="AJ24" s="7">
        <f t="shared" si="5"/>
        <v>-5.3982250841997976E-14</v>
      </c>
      <c r="AK24" s="7">
        <f t="shared" si="6"/>
        <v>9.5367431640625E-7</v>
      </c>
    </row>
    <row r="25" spans="2:37" x14ac:dyDescent="0.2">
      <c r="B25" s="11" t="s">
        <v>23</v>
      </c>
      <c r="C25" s="15">
        <v>1.2250000000000001</v>
      </c>
      <c r="D25" s="11" t="s">
        <v>24</v>
      </c>
      <c r="F25" s="18"/>
      <c r="N25" s="11" t="s">
        <v>49</v>
      </c>
      <c r="O25" s="11">
        <f xml:space="preserve"> 1/$C$7 - O22 * SQRT( (2*$C$25*PI()*$C$16^2) / O18^3 )</f>
        <v>1.1473378564419647</v>
      </c>
      <c r="R25" s="11" t="s">
        <v>49</v>
      </c>
      <c r="S25" s="11">
        <f xml:space="preserve"> 1/$C$7 - S22 * SQRT( (2*$C$25*PI()*$C$16^2) / S18^3 )</f>
        <v>1.1304594121235825</v>
      </c>
      <c r="V25" s="11" t="s">
        <v>49</v>
      </c>
      <c r="W25" s="11">
        <f xml:space="preserve"> 1/$C$7 - W22 * SQRT( (2*$C$25*PI()*$C$16^2) / W18^3 )</f>
        <v>1.1200775261049178</v>
      </c>
      <c r="AB25" s="7">
        <v>21</v>
      </c>
      <c r="AC25" s="7">
        <f t="shared" si="7"/>
        <v>0.15554094314575195</v>
      </c>
      <c r="AD25" s="7">
        <f t="shared" si="0"/>
        <v>1.6545046499505389E-7</v>
      </c>
      <c r="AE25" s="7">
        <f t="shared" si="8"/>
        <v>0.15554141998291016</v>
      </c>
      <c r="AF25" s="7">
        <f t="shared" si="1"/>
        <v>-3.2627439786048207E-7</v>
      </c>
      <c r="AG25" s="7">
        <f t="shared" si="2"/>
        <v>0.15554118156433105</v>
      </c>
      <c r="AH25" s="7">
        <f t="shared" si="3"/>
        <v>-8.0411964337168129E-8</v>
      </c>
      <c r="AI25" s="7">
        <f t="shared" si="4"/>
        <v>-1.3304196890750157E-14</v>
      </c>
      <c r="AJ25" s="7">
        <f t="shared" si="5"/>
        <v>2.623636524488809E-14</v>
      </c>
      <c r="AK25" s="7">
        <f t="shared" si="6"/>
        <v>4.76837158203125E-7</v>
      </c>
    </row>
    <row r="26" spans="2:37" x14ac:dyDescent="0.2">
      <c r="B26" s="11" t="s">
        <v>25</v>
      </c>
      <c r="C26" s="1">
        <v>9.8066499999999994</v>
      </c>
      <c r="D26" s="11" t="s">
        <v>26</v>
      </c>
      <c r="F26" s="25" t="s">
        <v>111</v>
      </c>
      <c r="G26" s="26"/>
      <c r="H26" s="26"/>
      <c r="N26" s="11" t="s">
        <v>50</v>
      </c>
      <c r="O26" s="15">
        <v>1.1499999999999999</v>
      </c>
      <c r="R26" s="11" t="s">
        <v>50</v>
      </c>
      <c r="S26" s="15">
        <v>1.1499999999999999</v>
      </c>
      <c r="V26" s="11" t="s">
        <v>50</v>
      </c>
      <c r="W26" s="15">
        <v>1.1499999999999999</v>
      </c>
      <c r="AB26" s="7">
        <v>22</v>
      </c>
      <c r="AC26" s="7">
        <f t="shared" si="7"/>
        <v>0.15554094314575195</v>
      </c>
      <c r="AD26" s="7">
        <f t="shared" si="0"/>
        <v>1.6545046499505389E-7</v>
      </c>
      <c r="AE26" s="7">
        <f t="shared" si="8"/>
        <v>0.15554118156433105</v>
      </c>
      <c r="AF26" s="7">
        <f t="shared" si="1"/>
        <v>-8.0411964337168129E-8</v>
      </c>
      <c r="AG26" s="7">
        <f t="shared" si="2"/>
        <v>0.1555410623550415</v>
      </c>
      <c r="AH26" s="7">
        <f t="shared" si="3"/>
        <v>4.251925084242103E-8</v>
      </c>
      <c r="AI26" s="7">
        <f t="shared" si="4"/>
        <v>7.0348298231198968E-15</v>
      </c>
      <c r="AJ26" s="7">
        <f t="shared" si="5"/>
        <v>-3.4190564823838657E-15</v>
      </c>
      <c r="AK26" s="7">
        <f t="shared" si="6"/>
        <v>2.384185791015625E-7</v>
      </c>
    </row>
    <row r="27" spans="2:37" x14ac:dyDescent="0.2">
      <c r="B27" s="11" t="s">
        <v>112</v>
      </c>
      <c r="C27" s="15">
        <v>0.8</v>
      </c>
      <c r="F27" s="3" t="s">
        <v>97</v>
      </c>
      <c r="G27" s="1">
        <f>$C$17</f>
        <v>50</v>
      </c>
      <c r="H27" t="s">
        <v>16</v>
      </c>
      <c r="N27" s="11" t="s">
        <v>51</v>
      </c>
      <c r="O27" s="11">
        <f xml:space="preserve"> 1/$C$30 * LN( EXP($C$30 * O25) + EXP($C$30 * O26) )</f>
        <v>1.1718004034608753</v>
      </c>
      <c r="R27" s="11" t="s">
        <v>51</v>
      </c>
      <c r="S27" s="11">
        <f xml:space="preserve"> 1/$C$30 * LN( EXP($C$30 * S25) + EXP($C$30 * S26) )</f>
        <v>1.1647464467430746</v>
      </c>
      <c r="V27" s="11" t="s">
        <v>51</v>
      </c>
      <c r="W27" s="11">
        <f xml:space="preserve"> 1/$C$30 * LN( EXP($C$30 * W25) + EXP($C$30 * W26) )</f>
        <v>1.1613942233164147</v>
      </c>
      <c r="AB27" s="7">
        <v>23</v>
      </c>
      <c r="AC27" s="7">
        <f t="shared" si="7"/>
        <v>0.1555410623550415</v>
      </c>
      <c r="AD27" s="7">
        <f t="shared" si="0"/>
        <v>4.251925084242103E-8</v>
      </c>
      <c r="AE27" s="7">
        <f t="shared" si="8"/>
        <v>0.15554118156433105</v>
      </c>
      <c r="AF27" s="7">
        <f t="shared" si="1"/>
        <v>-8.0411964337168129E-8</v>
      </c>
      <c r="AG27" s="7">
        <f t="shared" si="2"/>
        <v>0.15554112195968628</v>
      </c>
      <c r="AH27" s="7">
        <f t="shared" si="3"/>
        <v>-1.8946356622473459E-8</v>
      </c>
      <c r="AI27" s="7">
        <f t="shared" si="4"/>
        <v>-8.0558488978091388E-16</v>
      </c>
      <c r="AJ27" s="7">
        <f t="shared" si="5"/>
        <v>1.5235137530456051E-15</v>
      </c>
      <c r="AK27" s="7">
        <f t="shared" si="6"/>
        <v>1.1920928955078125E-7</v>
      </c>
    </row>
    <row r="28" spans="2:37" x14ac:dyDescent="0.2">
      <c r="F28" t="s">
        <v>98</v>
      </c>
      <c r="G28" s="1">
        <v>1.524</v>
      </c>
      <c r="H28" t="s">
        <v>16</v>
      </c>
      <c r="AB28" s="7">
        <v>24</v>
      </c>
      <c r="AC28" s="7">
        <f t="shared" si="7"/>
        <v>0.1555410623550415</v>
      </c>
      <c r="AD28" s="7">
        <f t="shared" si="0"/>
        <v>4.251925084242103E-8</v>
      </c>
      <c r="AE28" s="7">
        <f t="shared" si="8"/>
        <v>0.15554112195968628</v>
      </c>
      <c r="AF28" s="7">
        <f t="shared" si="1"/>
        <v>-1.8946356622473459E-8</v>
      </c>
      <c r="AG28" s="7">
        <f t="shared" si="2"/>
        <v>0.15554109215736389</v>
      </c>
      <c r="AH28" s="7">
        <f t="shared" si="3"/>
        <v>1.1786447151607149E-8</v>
      </c>
      <c r="AI28" s="7">
        <f t="shared" si="4"/>
        <v>5.0115090298012323E-16</v>
      </c>
      <c r="AJ28" s="7">
        <f t="shared" si="5"/>
        <v>-2.2331023104628553E-16</v>
      </c>
      <c r="AK28" s="7">
        <f t="shared" si="6"/>
        <v>5.9604644775390625E-8</v>
      </c>
    </row>
    <row r="29" spans="2:37" x14ac:dyDescent="0.2">
      <c r="B29" s="24" t="s">
        <v>27</v>
      </c>
      <c r="C29" s="24"/>
      <c r="D29" s="24"/>
      <c r="F29" t="s">
        <v>99</v>
      </c>
      <c r="G29" s="1">
        <v>304.8</v>
      </c>
      <c r="H29" t="s">
        <v>14</v>
      </c>
      <c r="AB29" s="7">
        <v>25</v>
      </c>
      <c r="AC29" s="7">
        <f t="shared" si="7"/>
        <v>0.15554109215736389</v>
      </c>
      <c r="AD29" s="7">
        <f t="shared" si="0"/>
        <v>1.1786447151607149E-8</v>
      </c>
      <c r="AE29" s="7">
        <f t="shared" si="8"/>
        <v>0.15554112195968628</v>
      </c>
      <c r="AF29" s="7">
        <f t="shared" si="1"/>
        <v>-1.8946356622473459E-8</v>
      </c>
      <c r="AG29" s="7">
        <f t="shared" si="2"/>
        <v>0.15554110705852509</v>
      </c>
      <c r="AH29" s="7">
        <f t="shared" si="3"/>
        <v>-3.5799547215553673E-9</v>
      </c>
      <c r="AI29" s="7">
        <f t="shared" si="4"/>
        <v>-4.2194947130758823E-17</v>
      </c>
      <c r="AJ29" s="7">
        <f t="shared" si="5"/>
        <v>6.7827098846895664E-17</v>
      </c>
      <c r="AK29" s="7">
        <f t="shared" si="6"/>
        <v>2.9802322387695312E-8</v>
      </c>
    </row>
    <row r="30" spans="2:37" x14ac:dyDescent="0.2">
      <c r="B30" s="11" t="s">
        <v>28</v>
      </c>
      <c r="C30" s="15">
        <v>30</v>
      </c>
      <c r="F30" t="s">
        <v>101</v>
      </c>
      <c r="G30" s="11">
        <f>SQRT($G$27^2-$G$28^2)</f>
        <v>49.976768843133506</v>
      </c>
      <c r="H30" t="s">
        <v>16</v>
      </c>
      <c r="AB30" s="7">
        <v>26</v>
      </c>
      <c r="AC30" s="7">
        <f t="shared" si="7"/>
        <v>0.15554109215736389</v>
      </c>
      <c r="AD30" s="7">
        <f t="shared" si="0"/>
        <v>1.1786447151607149E-8</v>
      </c>
      <c r="AE30" s="7">
        <f t="shared" si="8"/>
        <v>0.15554110705852509</v>
      </c>
      <c r="AF30" s="7">
        <f t="shared" si="1"/>
        <v>-3.5799547215553673E-9</v>
      </c>
      <c r="AG30" s="7">
        <f t="shared" si="2"/>
        <v>0.15554109960794449</v>
      </c>
      <c r="AH30" s="7">
        <f t="shared" si="3"/>
        <v>4.1032462150258908E-9</v>
      </c>
      <c r="AI30" s="7">
        <f t="shared" si="4"/>
        <v>4.8362694663434726E-17</v>
      </c>
      <c r="AJ30" s="7">
        <f t="shared" si="5"/>
        <v>-1.4689435661186129E-17</v>
      </c>
      <c r="AK30" s="7">
        <f t="shared" si="6"/>
        <v>1.4901161193847656E-8</v>
      </c>
    </row>
    <row r="31" spans="2:37" x14ac:dyDescent="0.2">
      <c r="F31" t="s">
        <v>102</v>
      </c>
      <c r="G31" s="11">
        <f>$G$30*($G$29/$G$28)</f>
        <v>9995.3537686267009</v>
      </c>
      <c r="H31" t="s">
        <v>14</v>
      </c>
      <c r="AB31" s="7">
        <v>27</v>
      </c>
      <c r="AC31" s="7">
        <f t="shared" si="7"/>
        <v>0.15554109960794449</v>
      </c>
      <c r="AD31" s="7">
        <f t="shared" si="0"/>
        <v>4.1032462150258908E-9</v>
      </c>
      <c r="AE31" s="7">
        <f t="shared" si="8"/>
        <v>0.15554110705852509</v>
      </c>
      <c r="AF31" s="7">
        <f t="shared" si="1"/>
        <v>-3.5799547215553673E-9</v>
      </c>
      <c r="AG31" s="7">
        <f t="shared" si="2"/>
        <v>0.15554110333323479</v>
      </c>
      <c r="AH31" s="7">
        <f t="shared" si="3"/>
        <v>2.6164573285747394E-10</v>
      </c>
      <c r="AI31" s="7">
        <f t="shared" si="4"/>
        <v>1.0735968630251053E-18</v>
      </c>
      <c r="AJ31" s="7">
        <f t="shared" si="5"/>
        <v>-9.3667987671792816E-19</v>
      </c>
      <c r="AK31" s="7">
        <f t="shared" si="6"/>
        <v>7.4505805969238281E-9</v>
      </c>
    </row>
    <row r="32" spans="2:37" x14ac:dyDescent="0.2">
      <c r="B32"/>
      <c r="C32"/>
      <c r="D32"/>
      <c r="F32" t="s">
        <v>103</v>
      </c>
      <c r="G32" s="11">
        <f>ATAN(G28/G30)/PI()*180</f>
        <v>1.7466458786346903</v>
      </c>
      <c r="H32" t="s">
        <v>62</v>
      </c>
      <c r="AB32" s="7">
        <v>28</v>
      </c>
      <c r="AC32" s="7">
        <f t="shared" si="7"/>
        <v>0.15554110333323479</v>
      </c>
      <c r="AD32" s="7">
        <f t="shared" si="0"/>
        <v>2.6164573285747394E-10</v>
      </c>
      <c r="AE32" s="7">
        <f t="shared" si="8"/>
        <v>0.15554110705852509</v>
      </c>
      <c r="AF32" s="7">
        <f t="shared" si="1"/>
        <v>-3.5799547215553673E-9</v>
      </c>
      <c r="AG32" s="7">
        <f t="shared" si="2"/>
        <v>0.15554110519587994</v>
      </c>
      <c r="AH32" s="7">
        <f t="shared" si="3"/>
        <v>-1.6591544804711589E-9</v>
      </c>
      <c r="AI32" s="7">
        <f t="shared" si="4"/>
        <v>-4.3411068996663781E-19</v>
      </c>
      <c r="AJ32" s="7">
        <f t="shared" si="5"/>
        <v>5.9396979161524677E-18</v>
      </c>
      <c r="AK32" s="7">
        <f t="shared" si="6"/>
        <v>3.7252902984619141E-9</v>
      </c>
    </row>
    <row r="33" spans="6:37" x14ac:dyDescent="0.2">
      <c r="F33" t="s">
        <v>104</v>
      </c>
      <c r="G33" s="11">
        <f xml:space="preserve"> 1/1000 * (W22 + W18 * (W27 * W24 + $G$27 * SIN(W17/180*PI())))</f>
        <v>79.823654223004993</v>
      </c>
      <c r="H33" t="s">
        <v>91</v>
      </c>
      <c r="AB33" s="7">
        <v>29</v>
      </c>
      <c r="AC33" s="7">
        <f t="shared" si="7"/>
        <v>0.15554110333323479</v>
      </c>
      <c r="AD33" s="7">
        <f t="shared" si="0"/>
        <v>2.6164573285747394E-10</v>
      </c>
      <c r="AE33" s="7">
        <f t="shared" si="8"/>
        <v>0.15554110519587994</v>
      </c>
      <c r="AF33" s="7">
        <f t="shared" si="1"/>
        <v>-1.6591544804711589E-9</v>
      </c>
      <c r="AG33" s="7">
        <f t="shared" si="2"/>
        <v>0.15554110426455736</v>
      </c>
      <c r="AH33" s="7">
        <f t="shared" si="3"/>
        <v>-6.9875438768463027E-10</v>
      </c>
      <c r="AI33" s="7">
        <f t="shared" si="4"/>
        <v>-1.8282610385312055E-19</v>
      </c>
      <c r="AJ33" s="7">
        <f t="shared" si="5"/>
        <v>1.1593414730758355E-18</v>
      </c>
      <c r="AK33" s="7">
        <f t="shared" si="6"/>
        <v>1.862645149230957E-9</v>
      </c>
    </row>
    <row r="34" spans="6:37" x14ac:dyDescent="0.2">
      <c r="F34" t="s">
        <v>113</v>
      </c>
      <c r="G34" s="11">
        <f>$C$5*G33</f>
        <v>319.29461689201997</v>
      </c>
      <c r="H34" t="s">
        <v>91</v>
      </c>
      <c r="AB34" s="7">
        <v>30</v>
      </c>
      <c r="AC34" s="7">
        <f t="shared" si="7"/>
        <v>0.15554110333323479</v>
      </c>
      <c r="AD34" s="7">
        <f t="shared" si="0"/>
        <v>2.6164573285747394E-10</v>
      </c>
      <c r="AE34" s="7">
        <f t="shared" si="8"/>
        <v>0.15554110426455736</v>
      </c>
      <c r="AF34" s="7">
        <f t="shared" si="1"/>
        <v>-6.9875438768463027E-10</v>
      </c>
      <c r="AG34" s="7">
        <f t="shared" si="2"/>
        <v>0.15554110379889607</v>
      </c>
      <c r="AH34" s="7">
        <f t="shared" si="3"/>
        <v>-2.1855431353579036E-10</v>
      </c>
      <c r="AI34" s="7">
        <f t="shared" si="4"/>
        <v>-5.7183803534234005E-20</v>
      </c>
      <c r="AJ34" s="7">
        <f t="shared" si="5"/>
        <v>1.5271578553053589E-19</v>
      </c>
      <c r="AK34" s="7">
        <f t="shared" si="6"/>
        <v>9.3132257461547852E-10</v>
      </c>
    </row>
    <row r="35" spans="6:37" x14ac:dyDescent="0.2">
      <c r="F35" t="s">
        <v>114</v>
      </c>
      <c r="G35" s="11">
        <f>$G$29/$G$28</f>
        <v>200</v>
      </c>
      <c r="H35" t="s">
        <v>22</v>
      </c>
    </row>
    <row r="37" spans="6:37" x14ac:dyDescent="0.2">
      <c r="F37" s="22" t="s">
        <v>115</v>
      </c>
      <c r="G37" s="23"/>
      <c r="H37" s="23"/>
      <c r="AB37" s="12" t="s">
        <v>116</v>
      </c>
    </row>
    <row r="38" spans="6:37" x14ac:dyDescent="0.2">
      <c r="F38" t="s">
        <v>117</v>
      </c>
      <c r="G38" s="1">
        <v>1.524</v>
      </c>
      <c r="H38" t="s">
        <v>16</v>
      </c>
      <c r="AB38" s="14" t="s">
        <v>63</v>
      </c>
      <c r="AC38" s="14" t="s">
        <v>64</v>
      </c>
      <c r="AD38" s="14" t="s">
        <v>65</v>
      </c>
      <c r="AE38" s="14" t="s">
        <v>66</v>
      </c>
      <c r="AF38" s="14" t="s">
        <v>67</v>
      </c>
      <c r="AG38" s="14" t="s">
        <v>68</v>
      </c>
      <c r="AH38" s="14" t="s">
        <v>69</v>
      </c>
      <c r="AI38" s="14" t="s">
        <v>70</v>
      </c>
      <c r="AJ38" s="14" t="s">
        <v>71</v>
      </c>
      <c r="AK38" s="14" t="s">
        <v>72</v>
      </c>
    </row>
    <row r="39" spans="6:37" x14ac:dyDescent="0.2">
      <c r="F39" t="s">
        <v>118</v>
      </c>
      <c r="G39" s="1">
        <v>152.4</v>
      </c>
      <c r="H39" t="s">
        <v>14</v>
      </c>
      <c r="AB39" s="7">
        <v>0</v>
      </c>
      <c r="AC39" s="8">
        <v>0</v>
      </c>
      <c r="AD39" s="7">
        <f xml:space="preserve"> $C$18 * TAN($O$17/180*PI()) + $O$20 / (2 * SQRT($C$18^2 + AC39^2)) - AC39</f>
        <v>0.1754092585142206</v>
      </c>
      <c r="AE39" s="8">
        <v>1</v>
      </c>
      <c r="AF39" s="7">
        <f xml:space="preserve"> $C$18 * TAN($O$17/180*PI()) + $O$20 / (2 * SQRT($C$18^2 + AE39^2)) - AE39</f>
        <v>-0.84408817157777016</v>
      </c>
      <c r="AG39" s="7">
        <f xml:space="preserve"> (AC39 + AE39)/2</f>
        <v>0.5</v>
      </c>
      <c r="AH39" s="7">
        <f xml:space="preserve"> $C$18 * TAN($O$17/180*PI()) + $O$20 / (2 * SQRT($C$18^2 + AG39^2)) - AG39</f>
        <v>-0.33787363909626261</v>
      </c>
      <c r="AI39" s="7">
        <f>AD39*AH39</f>
        <v>-5.9266164505376799E-2</v>
      </c>
      <c r="AJ39" s="7">
        <f>AF39*AH39</f>
        <v>0.2851951422490917</v>
      </c>
      <c r="AK39" s="7">
        <f>AE39-AC39</f>
        <v>1</v>
      </c>
    </row>
    <row r="40" spans="6:37" x14ac:dyDescent="0.2">
      <c r="F40" t="s">
        <v>119</v>
      </c>
      <c r="G40" s="11">
        <f xml:space="preserve"> 1/1000 * IF($G$38&gt;= 2*SQRT(($C$15*$C$26)/(2*$C$25*$C$5*PI()*$C$16*$C$16)), ($C$15*$C$26)/$C$7 * ( ($G$38/2) - SQRT( ($G$38/2)^2 - ($C$15*$C$26)/(2*$C$25*$C$5*PI()*$C$16*$C$16 ) ) ), 1/$C$7 * SQRT(($C$15*$C$26)^3/(2*$C$25*$C$5*PI()*$C$16*$C$16)) )</f>
        <v>195.08762206065694</v>
      </c>
      <c r="H40" t="s">
        <v>91</v>
      </c>
      <c r="AB40" s="7">
        <v>1</v>
      </c>
      <c r="AC40" s="7">
        <f>IF(AI39&gt;0, AG39, AC39)</f>
        <v>0</v>
      </c>
      <c r="AD40" s="7">
        <f t="shared" ref="AD40:AD69" si="9" xml:space="preserve"> $C$18 * TAN($O$17/180*PI()) + $O$20 / (2 * SQRT($C$18^2 + AC40^2)) - AC40</f>
        <v>0.1754092585142206</v>
      </c>
      <c r="AE40" s="7">
        <f>IF(AJ39&gt;0, AG39, AE39)</f>
        <v>0.5</v>
      </c>
      <c r="AF40" s="7">
        <f t="shared" ref="AF40:AF69" si="10" xml:space="preserve"> $C$18 * TAN($O$17/180*PI()) + $O$20 / (2 * SQRT($C$18^2 + AE40^2)) - AE40</f>
        <v>-0.33787363909626261</v>
      </c>
      <c r="AG40" s="7">
        <f t="shared" ref="AG40:AG69" si="11" xml:space="preserve"> (AC40 + AE40)/2</f>
        <v>0.25</v>
      </c>
      <c r="AH40" s="7">
        <f t="shared" ref="AH40:AH69" si="12" xml:space="preserve"> $C$18 * TAN($O$17/180*PI()) + $O$20 / (2 * SQRT($C$18^2 + AG40^2)) - AG40</f>
        <v>-8.0931969283093347E-2</v>
      </c>
      <c r="AI40" s="7">
        <f t="shared" ref="AI40:AI69" si="13">AD40*AH40</f>
        <v>-1.4196216722043081E-2</v>
      </c>
      <c r="AJ40" s="7">
        <f t="shared" ref="AJ40:AJ69" si="14">AF40*AH40</f>
        <v>2.7344778980905694E-2</v>
      </c>
      <c r="AK40" s="7">
        <f t="shared" ref="AK40:AK69" si="15">AE40-AC40</f>
        <v>0.5</v>
      </c>
    </row>
    <row r="41" spans="6:37" x14ac:dyDescent="0.2">
      <c r="F41" t="s">
        <v>30</v>
      </c>
      <c r="G41" s="11">
        <f xml:space="preserve"> $C$15 * $C$26 / $C$5</f>
        <v>2850.9317229644998</v>
      </c>
      <c r="H41" t="s">
        <v>31</v>
      </c>
      <c r="AB41" s="7">
        <v>2</v>
      </c>
      <c r="AC41" s="7">
        <f t="shared" ref="AC41:AC69" si="16">IF(AI40&gt;0, AG40, AC40)</f>
        <v>0</v>
      </c>
      <c r="AD41" s="7">
        <f t="shared" si="9"/>
        <v>0.1754092585142206</v>
      </c>
      <c r="AE41" s="7">
        <f t="shared" ref="AE41:AE69" si="17">IF(AJ40&gt;0, AG40, AE40)</f>
        <v>0.25</v>
      </c>
      <c r="AF41" s="7">
        <f t="shared" si="10"/>
        <v>-8.0931969283093347E-2</v>
      </c>
      <c r="AG41" s="7">
        <f t="shared" si="11"/>
        <v>0.125</v>
      </c>
      <c r="AH41" s="7">
        <f t="shared" si="12"/>
        <v>4.8304722115054183E-2</v>
      </c>
      <c r="AI41" s="7">
        <f t="shared" si="13"/>
        <v>8.4730954889371286E-3</v>
      </c>
      <c r="AJ41" s="7">
        <f t="shared" si="14"/>
        <v>-3.9093962864439249E-3</v>
      </c>
      <c r="AK41" s="7">
        <f t="shared" si="15"/>
        <v>0.25</v>
      </c>
    </row>
    <row r="42" spans="6:37" x14ac:dyDescent="0.2">
      <c r="F42" t="s">
        <v>120</v>
      </c>
      <c r="G42" s="16">
        <f>$G$39/$G$38</f>
        <v>100</v>
      </c>
      <c r="H42" t="s">
        <v>22</v>
      </c>
      <c r="AB42" s="7">
        <v>3</v>
      </c>
      <c r="AC42" s="7">
        <f t="shared" si="16"/>
        <v>0.125</v>
      </c>
      <c r="AD42" s="7">
        <f t="shared" si="9"/>
        <v>4.8304722115054183E-2</v>
      </c>
      <c r="AE42" s="7">
        <f t="shared" si="17"/>
        <v>0.25</v>
      </c>
      <c r="AF42" s="7">
        <f t="shared" si="10"/>
        <v>-8.0931969283093347E-2</v>
      </c>
      <c r="AG42" s="7">
        <f t="shared" si="11"/>
        <v>0.1875</v>
      </c>
      <c r="AH42" s="7">
        <f t="shared" si="12"/>
        <v>-1.6249351811211538E-2</v>
      </c>
      <c r="AI42" s="7">
        <f t="shared" si="13"/>
        <v>-7.8492042379032568E-4</v>
      </c>
      <c r="AJ42" s="7">
        <f t="shared" si="14"/>
        <v>1.3150920416551495E-3</v>
      </c>
      <c r="AK42" s="7">
        <f t="shared" si="15"/>
        <v>0.125</v>
      </c>
    </row>
    <row r="43" spans="6:37" x14ac:dyDescent="0.2">
      <c r="AB43" s="7">
        <v>4</v>
      </c>
      <c r="AC43" s="7">
        <f t="shared" si="16"/>
        <v>0.125</v>
      </c>
      <c r="AD43" s="7">
        <f t="shared" si="9"/>
        <v>4.8304722115054183E-2</v>
      </c>
      <c r="AE43" s="7">
        <f t="shared" si="17"/>
        <v>0.1875</v>
      </c>
      <c r="AF43" s="7">
        <f t="shared" si="10"/>
        <v>-1.6249351811211538E-2</v>
      </c>
      <c r="AG43" s="7">
        <f t="shared" si="11"/>
        <v>0.15625</v>
      </c>
      <c r="AH43" s="7">
        <f t="shared" si="12"/>
        <v>1.6065343974873025E-2</v>
      </c>
      <c r="AI43" s="7">
        <f t="shared" si="13"/>
        <v>7.7603197638900149E-4</v>
      </c>
      <c r="AJ43" s="7">
        <f t="shared" si="14"/>
        <v>-2.6105142621583936E-4</v>
      </c>
      <c r="AK43" s="7">
        <f t="shared" si="15"/>
        <v>6.25E-2</v>
      </c>
    </row>
    <row r="44" spans="6:37" x14ac:dyDescent="0.2">
      <c r="AB44" s="7">
        <v>5</v>
      </c>
      <c r="AC44" s="7">
        <f t="shared" si="16"/>
        <v>0.15625</v>
      </c>
      <c r="AD44" s="7">
        <f t="shared" si="9"/>
        <v>1.6065343974873025E-2</v>
      </c>
      <c r="AE44" s="7">
        <f t="shared" si="17"/>
        <v>0.1875</v>
      </c>
      <c r="AF44" s="7">
        <f t="shared" si="10"/>
        <v>-1.6249351811211538E-2</v>
      </c>
      <c r="AG44" s="7">
        <f t="shared" si="11"/>
        <v>0.171875</v>
      </c>
      <c r="AH44" s="7">
        <f t="shared" si="12"/>
        <v>-8.5706068386509626E-5</v>
      </c>
      <c r="AI44" s="7">
        <f t="shared" si="13"/>
        <v>-1.3768974693632678E-6</v>
      </c>
      <c r="AJ44" s="7">
        <f t="shared" si="14"/>
        <v>1.3926680575681502E-6</v>
      </c>
      <c r="AK44" s="7">
        <f t="shared" si="15"/>
        <v>3.125E-2</v>
      </c>
    </row>
    <row r="45" spans="6:37" x14ac:dyDescent="0.2">
      <c r="AB45" s="7">
        <v>6</v>
      </c>
      <c r="AC45" s="7">
        <f t="shared" si="16"/>
        <v>0.15625</v>
      </c>
      <c r="AD45" s="7">
        <f t="shared" si="9"/>
        <v>1.6065343974873025E-2</v>
      </c>
      <c r="AE45" s="7">
        <f t="shared" si="17"/>
        <v>0.171875</v>
      </c>
      <c r="AF45" s="7">
        <f t="shared" si="10"/>
        <v>-8.5706068386509626E-5</v>
      </c>
      <c r="AG45" s="7">
        <f t="shared" si="11"/>
        <v>0.1640625</v>
      </c>
      <c r="AH45" s="7">
        <f t="shared" si="12"/>
        <v>7.9917588090166747E-3</v>
      </c>
      <c r="AI45" s="7">
        <f t="shared" si="13"/>
        <v>1.2839035423107447E-4</v>
      </c>
      <c r="AJ45" s="7">
        <f t="shared" si="14"/>
        <v>-6.8494222701407385E-7</v>
      </c>
      <c r="AK45" s="7">
        <f t="shared" si="15"/>
        <v>1.5625E-2</v>
      </c>
    </row>
    <row r="46" spans="6:37" x14ac:dyDescent="0.2">
      <c r="AB46" s="7">
        <v>7</v>
      </c>
      <c r="AC46" s="7">
        <f t="shared" si="16"/>
        <v>0.1640625</v>
      </c>
      <c r="AD46" s="7">
        <f t="shared" si="9"/>
        <v>7.9917588090166747E-3</v>
      </c>
      <c r="AE46" s="7">
        <f t="shared" si="17"/>
        <v>0.171875</v>
      </c>
      <c r="AF46" s="7">
        <f t="shared" si="10"/>
        <v>-8.5706068386509626E-5</v>
      </c>
      <c r="AG46" s="7">
        <f t="shared" si="11"/>
        <v>0.16796875</v>
      </c>
      <c r="AH46" s="7">
        <f t="shared" si="12"/>
        <v>3.9534640339055904E-3</v>
      </c>
      <c r="AI46" s="7">
        <f t="shared" si="13"/>
        <v>3.1595131019095602E-5</v>
      </c>
      <c r="AJ46" s="7">
        <f t="shared" si="14"/>
        <v>-3.3883585885351872E-7</v>
      </c>
      <c r="AK46" s="7">
        <f t="shared" si="15"/>
        <v>7.8125E-3</v>
      </c>
    </row>
    <row r="47" spans="6:37" x14ac:dyDescent="0.2">
      <c r="AB47" s="7">
        <v>8</v>
      </c>
      <c r="AC47" s="7">
        <f t="shared" si="16"/>
        <v>0.16796875</v>
      </c>
      <c r="AD47" s="7">
        <f t="shared" si="9"/>
        <v>3.9534640339055904E-3</v>
      </c>
      <c r="AE47" s="7">
        <f t="shared" si="17"/>
        <v>0.171875</v>
      </c>
      <c r="AF47" s="7">
        <f t="shared" si="10"/>
        <v>-8.5706068386509626E-5</v>
      </c>
      <c r="AG47" s="7">
        <f t="shared" si="11"/>
        <v>0.169921875</v>
      </c>
      <c r="AH47" s="7">
        <f t="shared" si="12"/>
        <v>1.9339826255713732E-3</v>
      </c>
      <c r="AI47" s="7">
        <f t="shared" si="13"/>
        <v>7.6459307523947263E-6</v>
      </c>
      <c r="AJ47" s="7">
        <f t="shared" si="14"/>
        <v>-1.6575404716554155E-7</v>
      </c>
      <c r="AK47" s="7">
        <f t="shared" si="15"/>
        <v>3.90625E-3</v>
      </c>
    </row>
    <row r="48" spans="6:37" x14ac:dyDescent="0.2">
      <c r="AB48" s="7">
        <v>9</v>
      </c>
      <c r="AC48" s="7">
        <f t="shared" si="16"/>
        <v>0.169921875</v>
      </c>
      <c r="AD48" s="7">
        <f t="shared" si="9"/>
        <v>1.9339826255713732E-3</v>
      </c>
      <c r="AE48" s="7">
        <f t="shared" si="17"/>
        <v>0.171875</v>
      </c>
      <c r="AF48" s="7">
        <f t="shared" si="10"/>
        <v>-8.5706068386509626E-5</v>
      </c>
      <c r="AG48" s="7">
        <f t="shared" si="11"/>
        <v>0.1708984375</v>
      </c>
      <c r="AH48" s="7">
        <f t="shared" si="12"/>
        <v>9.2416347654492026E-4</v>
      </c>
      <c r="AI48" s="7">
        <f t="shared" si="13"/>
        <v>1.787316106825513E-6</v>
      </c>
      <c r="AJ48" s="7">
        <f t="shared" si="14"/>
        <v>-7.9206418121073416E-8</v>
      </c>
      <c r="AK48" s="7">
        <f t="shared" si="15"/>
        <v>1.953125E-3</v>
      </c>
    </row>
    <row r="49" spans="28:37" x14ac:dyDescent="0.2">
      <c r="AB49" s="7">
        <v>10</v>
      </c>
      <c r="AC49" s="7">
        <f t="shared" si="16"/>
        <v>0.1708984375</v>
      </c>
      <c r="AD49" s="7">
        <f t="shared" si="9"/>
        <v>9.2416347654492026E-4</v>
      </c>
      <c r="AE49" s="7">
        <f t="shared" si="17"/>
        <v>0.171875</v>
      </c>
      <c r="AF49" s="7">
        <f t="shared" si="10"/>
        <v>-8.5706068386509626E-5</v>
      </c>
      <c r="AG49" s="7">
        <f t="shared" si="11"/>
        <v>0.17138671875</v>
      </c>
      <c r="AH49" s="7">
        <f t="shared" si="12"/>
        <v>4.1923491503348398E-4</v>
      </c>
      <c r="AI49" s="7">
        <f t="shared" si="13"/>
        <v>3.8744159656635879E-7</v>
      </c>
      <c r="AJ49" s="7">
        <f t="shared" si="14"/>
        <v>-3.5930976297872329E-8</v>
      </c>
      <c r="AK49" s="7">
        <f t="shared" si="15"/>
        <v>9.765625E-4</v>
      </c>
    </row>
    <row r="50" spans="28:37" x14ac:dyDescent="0.2">
      <c r="AB50" s="7">
        <v>11</v>
      </c>
      <c r="AC50" s="7">
        <f t="shared" si="16"/>
        <v>0.17138671875</v>
      </c>
      <c r="AD50" s="7">
        <f t="shared" si="9"/>
        <v>4.1923491503348398E-4</v>
      </c>
      <c r="AE50" s="7">
        <f t="shared" si="17"/>
        <v>0.171875</v>
      </c>
      <c r="AF50" s="7">
        <f t="shared" si="10"/>
        <v>-8.5706068386509626E-5</v>
      </c>
      <c r="AG50" s="7">
        <f t="shared" si="11"/>
        <v>0.171630859375</v>
      </c>
      <c r="AH50" s="7">
        <f t="shared" si="12"/>
        <v>1.667659650304576E-4</v>
      </c>
      <c r="AI50" s="7">
        <f t="shared" si="13"/>
        <v>6.9914115180020846E-8</v>
      </c>
      <c r="AJ50" s="7">
        <f t="shared" si="14"/>
        <v>-1.4292855203442672E-8</v>
      </c>
      <c r="AK50" s="7">
        <f t="shared" si="15"/>
        <v>4.8828125E-4</v>
      </c>
    </row>
    <row r="51" spans="28:37" x14ac:dyDescent="0.2">
      <c r="AB51" s="7">
        <v>12</v>
      </c>
      <c r="AC51" s="7">
        <f t="shared" si="16"/>
        <v>0.171630859375</v>
      </c>
      <c r="AD51" s="7">
        <f t="shared" si="9"/>
        <v>1.667659650304576E-4</v>
      </c>
      <c r="AE51" s="7">
        <f t="shared" si="17"/>
        <v>0.171875</v>
      </c>
      <c r="AF51" s="7">
        <f t="shared" si="10"/>
        <v>-8.5706068386509626E-5</v>
      </c>
      <c r="AG51" s="7">
        <f t="shared" si="11"/>
        <v>0.1717529296875</v>
      </c>
      <c r="AH51" s="7">
        <f t="shared" si="12"/>
        <v>4.053033237197412E-5</v>
      </c>
      <c r="AI51" s="7">
        <f t="shared" si="13"/>
        <v>6.7590799910174598E-9</v>
      </c>
      <c r="AJ51" s="7">
        <f t="shared" si="14"/>
        <v>-3.473695438000379E-9</v>
      </c>
      <c r="AK51" s="7">
        <f t="shared" si="15"/>
        <v>2.44140625E-4</v>
      </c>
    </row>
    <row r="52" spans="28:37" x14ac:dyDescent="0.2">
      <c r="AB52" s="7">
        <v>13</v>
      </c>
      <c r="AC52" s="7">
        <f t="shared" si="16"/>
        <v>0.1717529296875</v>
      </c>
      <c r="AD52" s="7">
        <f t="shared" si="9"/>
        <v>4.053033237197412E-5</v>
      </c>
      <c r="AE52" s="7">
        <f t="shared" si="17"/>
        <v>0.171875</v>
      </c>
      <c r="AF52" s="7">
        <f t="shared" si="10"/>
        <v>-8.5706068386509626E-5</v>
      </c>
      <c r="AG52" s="7">
        <f t="shared" si="11"/>
        <v>0.17181396484375</v>
      </c>
      <c r="AH52" s="7">
        <f t="shared" si="12"/>
        <v>-2.2587772166710041E-5</v>
      </c>
      <c r="AI52" s="7">
        <f t="shared" si="13"/>
        <v>-9.1548991345918394E-10</v>
      </c>
      <c r="AJ52" s="7">
        <f t="shared" si="14"/>
        <v>1.9359091460189496E-9</v>
      </c>
      <c r="AK52" s="7">
        <f t="shared" si="15"/>
        <v>1.220703125E-4</v>
      </c>
    </row>
    <row r="53" spans="28:37" x14ac:dyDescent="0.2">
      <c r="AB53" s="7">
        <v>14</v>
      </c>
      <c r="AC53" s="7">
        <f t="shared" si="16"/>
        <v>0.1717529296875</v>
      </c>
      <c r="AD53" s="7">
        <f t="shared" si="9"/>
        <v>4.053033237197412E-5</v>
      </c>
      <c r="AE53" s="7">
        <f t="shared" si="17"/>
        <v>0.17181396484375</v>
      </c>
      <c r="AF53" s="7">
        <f t="shared" si="10"/>
        <v>-2.2587772166710041E-5</v>
      </c>
      <c r="AG53" s="7">
        <f t="shared" si="11"/>
        <v>0.171783447265625</v>
      </c>
      <c r="AH53" s="7">
        <f t="shared" si="12"/>
        <v>8.9713040842542835E-6</v>
      </c>
      <c r="AI53" s="7">
        <f t="shared" si="13"/>
        <v>3.6360993634487503E-10</v>
      </c>
      <c r="AJ53" s="7">
        <f t="shared" si="14"/>
        <v>-2.0264177269341101E-10</v>
      </c>
      <c r="AK53" s="7">
        <f t="shared" si="15"/>
        <v>6.103515625E-5</v>
      </c>
    </row>
    <row r="54" spans="28:37" x14ac:dyDescent="0.2">
      <c r="AB54" s="7">
        <v>15</v>
      </c>
      <c r="AC54" s="7">
        <f t="shared" si="16"/>
        <v>0.171783447265625</v>
      </c>
      <c r="AD54" s="7">
        <f t="shared" si="9"/>
        <v>8.9713040842542835E-6</v>
      </c>
      <c r="AE54" s="7">
        <f t="shared" si="17"/>
        <v>0.17181396484375</v>
      </c>
      <c r="AF54" s="7">
        <f t="shared" si="10"/>
        <v>-2.2587772166710041E-5</v>
      </c>
      <c r="AG54" s="7">
        <f t="shared" si="11"/>
        <v>0.1717987060546875</v>
      </c>
      <c r="AH54" s="7">
        <f t="shared" si="12"/>
        <v>-6.8082280485215474E-6</v>
      </c>
      <c r="AI54" s="7">
        <f t="shared" si="13"/>
        <v>-6.1078684098235931E-11</v>
      </c>
      <c r="AJ54" s="7">
        <f t="shared" si="14"/>
        <v>1.5378270401900961E-10</v>
      </c>
      <c r="AK54" s="7">
        <f t="shared" si="15"/>
        <v>3.0517578125E-5</v>
      </c>
    </row>
    <row r="55" spans="28:37" x14ac:dyDescent="0.2">
      <c r="AB55" s="7">
        <v>16</v>
      </c>
      <c r="AC55" s="7">
        <f t="shared" si="16"/>
        <v>0.171783447265625</v>
      </c>
      <c r="AD55" s="7">
        <f t="shared" si="9"/>
        <v>8.9713040842542835E-6</v>
      </c>
      <c r="AE55" s="7">
        <f t="shared" si="17"/>
        <v>0.1717987060546875</v>
      </c>
      <c r="AF55" s="7">
        <f t="shared" si="10"/>
        <v>-6.8082280485215474E-6</v>
      </c>
      <c r="AG55" s="7">
        <f t="shared" si="11"/>
        <v>0.17179107666015625</v>
      </c>
      <c r="AH55" s="7">
        <f t="shared" si="12"/>
        <v>1.0815395163898955E-6</v>
      </c>
      <c r="AI55" s="7">
        <f t="shared" si="13"/>
        <v>9.7028198806710723E-12</v>
      </c>
      <c r="AJ55" s="7">
        <f t="shared" si="14"/>
        <v>-7.3633676710701172E-12</v>
      </c>
      <c r="AK55" s="7">
        <f t="shared" si="15"/>
        <v>1.52587890625E-5</v>
      </c>
    </row>
    <row r="56" spans="28:37" x14ac:dyDescent="0.2">
      <c r="AB56" s="7">
        <v>17</v>
      </c>
      <c r="AC56" s="7">
        <f t="shared" si="16"/>
        <v>0.17179107666015625</v>
      </c>
      <c r="AD56" s="7">
        <f t="shared" si="9"/>
        <v>1.0815395163898955E-6</v>
      </c>
      <c r="AE56" s="7">
        <f t="shared" si="17"/>
        <v>0.1717987060546875</v>
      </c>
      <c r="AF56" s="7">
        <f t="shared" si="10"/>
        <v>-6.8082280485215474E-6</v>
      </c>
      <c r="AG56" s="7">
        <f t="shared" si="11"/>
        <v>0.17179489135742188</v>
      </c>
      <c r="AH56" s="7">
        <f t="shared" si="12"/>
        <v>-2.8633438914904552E-6</v>
      </c>
      <c r="AI56" s="7">
        <f t="shared" si="13"/>
        <v>-3.0968195676605483E-12</v>
      </c>
      <c r="AJ56" s="7">
        <f t="shared" si="14"/>
        <v>1.9494298194608154E-11</v>
      </c>
      <c r="AK56" s="7">
        <f t="shared" si="15"/>
        <v>7.62939453125E-6</v>
      </c>
    </row>
    <row r="57" spans="28:37" x14ac:dyDescent="0.2">
      <c r="AB57" s="7">
        <v>18</v>
      </c>
      <c r="AC57" s="7">
        <f t="shared" si="16"/>
        <v>0.17179107666015625</v>
      </c>
      <c r="AD57" s="7">
        <f t="shared" si="9"/>
        <v>1.0815395163898955E-6</v>
      </c>
      <c r="AE57" s="7">
        <f t="shared" si="17"/>
        <v>0.17179489135742188</v>
      </c>
      <c r="AF57" s="7">
        <f t="shared" si="10"/>
        <v>-2.8633438914904552E-6</v>
      </c>
      <c r="AG57" s="7">
        <f t="shared" si="11"/>
        <v>0.17179298400878906</v>
      </c>
      <c r="AH57" s="7">
        <f t="shared" si="12"/>
        <v>-8.9090209390296771E-7</v>
      </c>
      <c r="AI57" s="7">
        <f t="shared" si="13"/>
        <v>-9.6354581979056098E-13</v>
      </c>
      <c r="AJ57" s="7">
        <f t="shared" si="14"/>
        <v>2.5509590684931183E-12</v>
      </c>
      <c r="AK57" s="7">
        <f t="shared" si="15"/>
        <v>3.814697265625E-6</v>
      </c>
    </row>
    <row r="58" spans="28:37" x14ac:dyDescent="0.2">
      <c r="AB58" s="7">
        <v>19</v>
      </c>
      <c r="AC58" s="7">
        <f t="shared" si="16"/>
        <v>0.17179107666015625</v>
      </c>
      <c r="AD58" s="7">
        <f t="shared" si="9"/>
        <v>1.0815395163898955E-6</v>
      </c>
      <c r="AE58" s="7">
        <f t="shared" si="17"/>
        <v>0.17179298400878906</v>
      </c>
      <c r="AF58" s="7">
        <f t="shared" si="10"/>
        <v>-8.9090209390296771E-7</v>
      </c>
      <c r="AG58" s="7">
        <f t="shared" si="11"/>
        <v>0.17179203033447266</v>
      </c>
      <c r="AH58" s="7">
        <f t="shared" si="12"/>
        <v>9.5318734655291948E-8</v>
      </c>
      <c r="AI58" s="7">
        <f t="shared" si="13"/>
        <v>1.0309097818198123E-13</v>
      </c>
      <c r="AJ58" s="7">
        <f t="shared" si="14"/>
        <v>-8.4919660292580966E-14</v>
      </c>
      <c r="AK58" s="7">
        <f t="shared" si="15"/>
        <v>1.9073486328125E-6</v>
      </c>
    </row>
    <row r="59" spans="28:37" x14ac:dyDescent="0.2">
      <c r="AB59" s="7">
        <v>20</v>
      </c>
      <c r="AC59" s="7">
        <f t="shared" si="16"/>
        <v>0.17179203033447266</v>
      </c>
      <c r="AD59" s="7">
        <f t="shared" si="9"/>
        <v>9.5318734655291948E-8</v>
      </c>
      <c r="AE59" s="7">
        <f t="shared" si="17"/>
        <v>0.17179298400878906</v>
      </c>
      <c r="AF59" s="7">
        <f t="shared" si="10"/>
        <v>-8.9090209390296771E-7</v>
      </c>
      <c r="AG59" s="7">
        <f t="shared" si="11"/>
        <v>0.17179250717163086</v>
      </c>
      <c r="AH59" s="7">
        <f t="shared" si="12"/>
        <v>-3.9779167376741142E-7</v>
      </c>
      <c r="AI59" s="7">
        <f t="shared" si="13"/>
        <v>-3.7916998999920346E-14</v>
      </c>
      <c r="AJ59" s="7">
        <f t="shared" si="14"/>
        <v>3.5439343509655305E-13</v>
      </c>
      <c r="AK59" s="7">
        <f t="shared" si="15"/>
        <v>9.5367431640625E-7</v>
      </c>
    </row>
    <row r="60" spans="28:37" x14ac:dyDescent="0.2">
      <c r="AB60" s="7">
        <v>21</v>
      </c>
      <c r="AC60" s="7">
        <f t="shared" si="16"/>
        <v>0.17179203033447266</v>
      </c>
      <c r="AD60" s="7">
        <f t="shared" si="9"/>
        <v>9.5318734655291948E-8</v>
      </c>
      <c r="AE60" s="7">
        <f t="shared" si="17"/>
        <v>0.17179250717163086</v>
      </c>
      <c r="AF60" s="7">
        <f t="shared" si="10"/>
        <v>-3.9779167376741142E-7</v>
      </c>
      <c r="AG60" s="7">
        <f t="shared" si="11"/>
        <v>0.17179226875305176</v>
      </c>
      <c r="AH60" s="7">
        <f t="shared" si="12"/>
        <v>-1.5123646807113644E-7</v>
      </c>
      <c r="AI60" s="7">
        <f t="shared" si="13"/>
        <v>-1.4415668770276189E-14</v>
      </c>
      <c r="AJ60" s="7">
        <f t="shared" si="14"/>
        <v>6.0160607768689041E-14</v>
      </c>
      <c r="AK60" s="7">
        <f t="shared" si="15"/>
        <v>4.76837158203125E-7</v>
      </c>
    </row>
    <row r="61" spans="28:37" x14ac:dyDescent="0.2">
      <c r="AB61" s="7">
        <v>22</v>
      </c>
      <c r="AC61" s="7">
        <f t="shared" si="16"/>
        <v>0.17179203033447266</v>
      </c>
      <c r="AD61" s="7">
        <f t="shared" si="9"/>
        <v>9.5318734655291948E-8</v>
      </c>
      <c r="AE61" s="7">
        <f t="shared" si="17"/>
        <v>0.17179226875305176</v>
      </c>
      <c r="AF61" s="7">
        <f t="shared" si="10"/>
        <v>-1.5123646807113644E-7</v>
      </c>
      <c r="AG61" s="7">
        <f t="shared" si="11"/>
        <v>0.17179214954376221</v>
      </c>
      <c r="AH61" s="7">
        <f t="shared" si="12"/>
        <v>-2.7958866333221977E-8</v>
      </c>
      <c r="AI61" s="7">
        <f t="shared" si="13"/>
        <v>-2.6650037612791611E-15</v>
      </c>
      <c r="AJ61" s="7">
        <f t="shared" si="14"/>
        <v>4.2284001955094975E-15</v>
      </c>
      <c r="AK61" s="7">
        <f t="shared" si="15"/>
        <v>2.384185791015625E-7</v>
      </c>
    </row>
    <row r="62" spans="28:37" x14ac:dyDescent="0.2">
      <c r="AB62" s="7">
        <v>23</v>
      </c>
      <c r="AC62" s="7">
        <f t="shared" si="16"/>
        <v>0.17179203033447266</v>
      </c>
      <c r="AD62" s="7">
        <f t="shared" si="9"/>
        <v>9.5318734655291948E-8</v>
      </c>
      <c r="AE62" s="7">
        <f t="shared" si="17"/>
        <v>0.17179214954376221</v>
      </c>
      <c r="AF62" s="7">
        <f t="shared" si="10"/>
        <v>-2.7958866333221977E-8</v>
      </c>
      <c r="AG62" s="7">
        <f t="shared" si="11"/>
        <v>0.17179208993911743</v>
      </c>
      <c r="AH62" s="7">
        <f t="shared" si="12"/>
        <v>3.36799342581795E-8</v>
      </c>
      <c r="AI62" s="7">
        <f t="shared" si="13"/>
        <v>3.2103287167630888E-15</v>
      </c>
      <c r="AJ62" s="7">
        <f t="shared" si="14"/>
        <v>-9.4165278003614434E-16</v>
      </c>
      <c r="AK62" s="7">
        <f t="shared" si="15"/>
        <v>1.1920928955078125E-7</v>
      </c>
    </row>
    <row r="63" spans="28:37" x14ac:dyDescent="0.2">
      <c r="AB63" s="7">
        <v>24</v>
      </c>
      <c r="AC63" s="7">
        <f t="shared" si="16"/>
        <v>0.17179208993911743</v>
      </c>
      <c r="AD63" s="7">
        <f t="shared" si="9"/>
        <v>3.36799342581795E-8</v>
      </c>
      <c r="AE63" s="7">
        <f t="shared" si="17"/>
        <v>0.17179214954376221</v>
      </c>
      <c r="AF63" s="7">
        <f t="shared" si="10"/>
        <v>-2.7958866333221977E-8</v>
      </c>
      <c r="AG63" s="7">
        <f t="shared" si="11"/>
        <v>0.17179211974143982</v>
      </c>
      <c r="AH63" s="7">
        <f t="shared" si="12"/>
        <v>2.8605339763565496E-9</v>
      </c>
      <c r="AI63" s="7">
        <f t="shared" si="13"/>
        <v>9.6342596266977388E-17</v>
      </c>
      <c r="AJ63" s="7">
        <f t="shared" si="14"/>
        <v>-7.9977287086592724E-17</v>
      </c>
      <c r="AK63" s="7">
        <f t="shared" si="15"/>
        <v>5.9604644775390625E-8</v>
      </c>
    </row>
    <row r="64" spans="28:37" x14ac:dyDescent="0.2">
      <c r="AB64" s="7">
        <v>25</v>
      </c>
      <c r="AC64" s="7">
        <f t="shared" si="16"/>
        <v>0.17179211974143982</v>
      </c>
      <c r="AD64" s="7">
        <f t="shared" si="9"/>
        <v>2.8605339763565496E-9</v>
      </c>
      <c r="AE64" s="7">
        <f t="shared" si="17"/>
        <v>0.17179214954376221</v>
      </c>
      <c r="AF64" s="7">
        <f t="shared" si="10"/>
        <v>-2.7958866333221977E-8</v>
      </c>
      <c r="AG64" s="7">
        <f t="shared" si="11"/>
        <v>0.17179213464260101</v>
      </c>
      <c r="AH64" s="7">
        <f t="shared" si="12"/>
        <v>-1.2549166178432714E-8</v>
      </c>
      <c r="AI64" s="7">
        <f t="shared" si="13"/>
        <v>-3.5897316228351257E-17</v>
      </c>
      <c r="AJ64" s="7">
        <f t="shared" si="14"/>
        <v>3.5086045977619026E-16</v>
      </c>
      <c r="AK64" s="7">
        <f t="shared" si="15"/>
        <v>2.9802322387695312E-8</v>
      </c>
    </row>
    <row r="65" spans="28:37" x14ac:dyDescent="0.2">
      <c r="AB65" s="7">
        <v>26</v>
      </c>
      <c r="AC65" s="7">
        <f t="shared" si="16"/>
        <v>0.17179211974143982</v>
      </c>
      <c r="AD65" s="7">
        <f t="shared" si="9"/>
        <v>2.8605339763565496E-9</v>
      </c>
      <c r="AE65" s="7">
        <f t="shared" si="17"/>
        <v>0.17179213464260101</v>
      </c>
      <c r="AF65" s="7">
        <f t="shared" si="10"/>
        <v>-1.2549166178432714E-8</v>
      </c>
      <c r="AG65" s="7">
        <f t="shared" si="11"/>
        <v>0.17179212719202042</v>
      </c>
      <c r="AH65" s="7">
        <f t="shared" si="12"/>
        <v>-4.8443161149158698E-9</v>
      </c>
      <c r="AI65" s="7">
        <f t="shared" si="13"/>
        <v>-1.3857330838928405E-17</v>
      </c>
      <c r="AJ65" s="7">
        <f t="shared" si="14"/>
        <v>6.0792127946938794E-17</v>
      </c>
      <c r="AK65" s="7">
        <f t="shared" si="15"/>
        <v>1.4901161193847656E-8</v>
      </c>
    </row>
    <row r="66" spans="28:37" x14ac:dyDescent="0.2">
      <c r="AB66" s="7">
        <v>27</v>
      </c>
      <c r="AC66" s="7">
        <f t="shared" si="16"/>
        <v>0.17179211974143982</v>
      </c>
      <c r="AD66" s="7">
        <f t="shared" si="9"/>
        <v>2.8605339763565496E-9</v>
      </c>
      <c r="AE66" s="7">
        <f t="shared" si="17"/>
        <v>0.17179212719202042</v>
      </c>
      <c r="AF66" s="7">
        <f t="shared" si="10"/>
        <v>-4.8443161149158698E-9</v>
      </c>
      <c r="AG66" s="7">
        <f t="shared" si="11"/>
        <v>0.17179212346673012</v>
      </c>
      <c r="AH66" s="7">
        <f t="shared" si="12"/>
        <v>-9.9189106927966009E-10</v>
      </c>
      <c r="AI66" s="7">
        <f t="shared" si="13"/>
        <v>-2.8373381045190959E-18</v>
      </c>
      <c r="AJ66" s="7">
        <f t="shared" si="14"/>
        <v>4.8050338911525908E-18</v>
      </c>
      <c r="AK66" s="7">
        <f t="shared" si="15"/>
        <v>7.4505805969238281E-9</v>
      </c>
    </row>
    <row r="67" spans="28:37" x14ac:dyDescent="0.2">
      <c r="AB67" s="7">
        <v>28</v>
      </c>
      <c r="AC67" s="7">
        <f t="shared" si="16"/>
        <v>0.17179211974143982</v>
      </c>
      <c r="AD67" s="7">
        <f t="shared" si="9"/>
        <v>2.8605339763565496E-9</v>
      </c>
      <c r="AE67" s="7">
        <f t="shared" si="17"/>
        <v>0.17179212346673012</v>
      </c>
      <c r="AF67" s="7">
        <f t="shared" si="10"/>
        <v>-9.9189106927966009E-10</v>
      </c>
      <c r="AG67" s="7">
        <f t="shared" si="11"/>
        <v>0.17179212160408497</v>
      </c>
      <c r="AH67" s="7">
        <f t="shared" si="12"/>
        <v>9.3432145353844476E-10</v>
      </c>
      <c r="AI67" s="7">
        <f t="shared" si="13"/>
        <v>2.6726582626855586E-18</v>
      </c>
      <c r="AJ67" s="7">
        <f t="shared" si="14"/>
        <v>-9.2674510560117422E-19</v>
      </c>
      <c r="AK67" s="7">
        <f t="shared" si="15"/>
        <v>3.7252902984619141E-9</v>
      </c>
    </row>
    <row r="68" spans="28:37" x14ac:dyDescent="0.2">
      <c r="AB68" s="7">
        <v>29</v>
      </c>
      <c r="AC68" s="7">
        <f t="shared" si="16"/>
        <v>0.17179212160408497</v>
      </c>
      <c r="AD68" s="7">
        <f t="shared" si="9"/>
        <v>9.3432145353844476E-10</v>
      </c>
      <c r="AE68" s="7">
        <f t="shared" si="17"/>
        <v>0.17179212346673012</v>
      </c>
      <c r="AF68" s="7">
        <f t="shared" si="10"/>
        <v>-9.9189106927966009E-10</v>
      </c>
      <c r="AG68" s="7">
        <f t="shared" si="11"/>
        <v>0.17179212253540754</v>
      </c>
      <c r="AH68" s="7">
        <f t="shared" si="12"/>
        <v>-2.8784807870607665E-11</v>
      </c>
      <c r="AI68" s="7">
        <f t="shared" si="13"/>
        <v>-2.6894263529491018E-20</v>
      </c>
      <c r="AJ68" s="7">
        <f t="shared" si="14"/>
        <v>2.8551393857786612E-20</v>
      </c>
      <c r="AK68" s="7">
        <f t="shared" si="15"/>
        <v>1.862645149230957E-9</v>
      </c>
    </row>
    <row r="69" spans="28:37" x14ac:dyDescent="0.2">
      <c r="AB69" s="7">
        <v>30</v>
      </c>
      <c r="AC69" s="7">
        <f t="shared" si="16"/>
        <v>0.17179212160408497</v>
      </c>
      <c r="AD69" s="7">
        <f t="shared" si="9"/>
        <v>9.3432145353844476E-10</v>
      </c>
      <c r="AE69" s="7">
        <f t="shared" si="17"/>
        <v>0.17179212253540754</v>
      </c>
      <c r="AF69" s="7">
        <f t="shared" si="10"/>
        <v>-2.8784807870607665E-11</v>
      </c>
      <c r="AG69" s="7">
        <f t="shared" si="11"/>
        <v>0.17179212206974626</v>
      </c>
      <c r="AH69" s="7">
        <f t="shared" si="12"/>
        <v>4.5276832283391855E-10</v>
      </c>
      <c r="AI69" s="7">
        <f t="shared" si="13"/>
        <v>4.2303115750635058E-19</v>
      </c>
      <c r="AJ69" s="7">
        <f t="shared" si="14"/>
        <v>-1.3032849182671611E-20</v>
      </c>
      <c r="AK69" s="7">
        <f t="shared" si="15"/>
        <v>9.3132257461547852E-10</v>
      </c>
    </row>
    <row r="72" spans="28:37" x14ac:dyDescent="0.2">
      <c r="AB72" s="12" t="s">
        <v>121</v>
      </c>
    </row>
    <row r="73" spans="28:37" x14ac:dyDescent="0.2">
      <c r="AB73" s="14" t="s">
        <v>63</v>
      </c>
      <c r="AC73" s="14" t="s">
        <v>64</v>
      </c>
      <c r="AD73" s="14" t="s">
        <v>65</v>
      </c>
      <c r="AE73" s="14" t="s">
        <v>66</v>
      </c>
      <c r="AF73" s="14" t="s">
        <v>67</v>
      </c>
      <c r="AG73" s="14" t="s">
        <v>68</v>
      </c>
      <c r="AH73" s="14" t="s">
        <v>69</v>
      </c>
      <c r="AI73" s="14" t="s">
        <v>70</v>
      </c>
      <c r="AJ73" s="14" t="s">
        <v>71</v>
      </c>
      <c r="AK73" s="14" t="s">
        <v>72</v>
      </c>
    </row>
    <row r="74" spans="28:37" x14ac:dyDescent="0.2">
      <c r="AB74" s="7">
        <v>0</v>
      </c>
      <c r="AC74" s="8">
        <v>0</v>
      </c>
      <c r="AD74" s="7">
        <f xml:space="preserve"> $C$18 * TAN($W$17/180*PI()) + $W$20 / (2 * SQRT($C$18^2 + AC74^2)) - AC74</f>
        <v>0.1485072559235894</v>
      </c>
      <c r="AE74" s="8">
        <v>1</v>
      </c>
      <c r="AF74" s="7">
        <f xml:space="preserve"> $C$18 * TAN($W$17/180*PI()) + $W$20 / (2 * SQRT($C$18^2 + AE74^2)) - AE74</f>
        <v>-0.86929103834564658</v>
      </c>
      <c r="AG74" s="7">
        <f xml:space="preserve"> (AC74 + AE74)/2</f>
        <v>0.5</v>
      </c>
      <c r="AH74" s="7">
        <f xml:space="preserve"> $C$18 * TAN($W$17/180*PI()) + $W$20 / (2 * SQRT($C$18^2 + AG74^2)) - AG74</f>
        <v>-0.36361808158520498</v>
      </c>
      <c r="AI74" s="7">
        <f>AD74*AH74</f>
        <v>-5.3999923500418649E-2</v>
      </c>
      <c r="AJ74" s="7">
        <f>AF74*AH74</f>
        <v>0.31608993970245486</v>
      </c>
      <c r="AK74" s="7">
        <f>AE74-AC74</f>
        <v>1</v>
      </c>
    </row>
    <row r="75" spans="28:37" x14ac:dyDescent="0.2">
      <c r="AB75" s="7">
        <v>1</v>
      </c>
      <c r="AC75" s="7">
        <f>IF(AI74&gt;0, AG74, AC74)</f>
        <v>0</v>
      </c>
      <c r="AD75" s="7">
        <f t="shared" ref="AD75:AD104" si="18" xml:space="preserve"> $C$18 * TAN($W$17/180*PI()) + $W$20 / (2 * SQRT($C$18^2 + AC75^2)) - AC75</f>
        <v>0.1485072559235894</v>
      </c>
      <c r="AE75" s="7">
        <f>IF(AJ74&gt;0, AG74, AE74)</f>
        <v>0.5</v>
      </c>
      <c r="AF75" s="7">
        <f t="shared" ref="AF75:AF104" si="19" xml:space="preserve"> $C$18 * TAN($W$17/180*PI()) + $W$20 / (2 * SQRT($C$18^2 + AE75^2)) - AE75</f>
        <v>-0.36361808158520498</v>
      </c>
      <c r="AG75" s="7">
        <f t="shared" ref="AG75:AG104" si="20" xml:space="preserve"> (AC75 + AE75)/2</f>
        <v>0.25</v>
      </c>
      <c r="AH75" s="7">
        <f t="shared" ref="AH75:AH104" si="21" xml:space="preserve"> $C$18 * TAN($W$17/180*PI()) + $W$20 / (2 * SQRT($C$18^2 + AG75^2)) - AG75</f>
        <v>-0.1072813550796225</v>
      </c>
      <c r="AI75" s="7">
        <f t="shared" ref="AI75:AI104" si="22">AD75*AH75</f>
        <v>-1.5932059654638966E-2</v>
      </c>
      <c r="AJ75" s="7">
        <f t="shared" ref="AJ75:AJ104" si="23">AF75*AH75</f>
        <v>3.9009440523913516E-2</v>
      </c>
      <c r="AK75" s="7">
        <f t="shared" ref="AK75:AK104" si="24">AE75-AC75</f>
        <v>0.5</v>
      </c>
    </row>
    <row r="76" spans="28:37" x14ac:dyDescent="0.2">
      <c r="AB76" s="7">
        <v>2</v>
      </c>
      <c r="AC76" s="7">
        <f t="shared" ref="AC76:AC104" si="25">IF(AI75&gt;0, AG75, AC75)</f>
        <v>0</v>
      </c>
      <c r="AD76" s="7">
        <f t="shared" si="18"/>
        <v>0.1485072559235894</v>
      </c>
      <c r="AE76" s="7">
        <f t="shared" ref="AE76:AE104" si="26">IF(AJ75&gt;0, AG75, AE75)</f>
        <v>0.25</v>
      </c>
      <c r="AF76" s="7">
        <f t="shared" si="19"/>
        <v>-0.1072813550796225</v>
      </c>
      <c r="AG76" s="7">
        <f t="shared" si="20"/>
        <v>0.125</v>
      </c>
      <c r="AH76" s="7">
        <f t="shared" si="21"/>
        <v>2.1586122832922799E-2</v>
      </c>
      <c r="AI76" s="7">
        <f t="shared" si="22"/>
        <v>3.2056958679469029E-3</v>
      </c>
      <c r="AJ76" s="7">
        <f t="shared" si="23"/>
        <v>-2.3157885084311375E-3</v>
      </c>
      <c r="AK76" s="7">
        <f t="shared" si="24"/>
        <v>0.25</v>
      </c>
    </row>
    <row r="77" spans="28:37" x14ac:dyDescent="0.2">
      <c r="AB77" s="7">
        <v>3</v>
      </c>
      <c r="AC77" s="7">
        <f t="shared" si="25"/>
        <v>0.125</v>
      </c>
      <c r="AD77" s="7">
        <f t="shared" si="18"/>
        <v>2.1586122832922799E-2</v>
      </c>
      <c r="AE77" s="7">
        <f t="shared" si="26"/>
        <v>0.25</v>
      </c>
      <c r="AF77" s="7">
        <f t="shared" si="19"/>
        <v>-0.1072813550796225</v>
      </c>
      <c r="AG77" s="7">
        <f t="shared" si="20"/>
        <v>0.1875</v>
      </c>
      <c r="AH77" s="7">
        <f t="shared" si="21"/>
        <v>-4.2788945420583091E-2</v>
      </c>
      <c r="AI77" s="7">
        <f t="shared" si="22"/>
        <v>-9.2364743173993611E-4</v>
      </c>
      <c r="AJ77" s="7">
        <f t="shared" si="23"/>
        <v>4.5904560471481618E-3</v>
      </c>
      <c r="AK77" s="7">
        <f t="shared" si="24"/>
        <v>0.125</v>
      </c>
    </row>
    <row r="78" spans="28:37" x14ac:dyDescent="0.2">
      <c r="AB78" s="7">
        <v>4</v>
      </c>
      <c r="AC78" s="7">
        <f t="shared" si="25"/>
        <v>0.125</v>
      </c>
      <c r="AD78" s="7">
        <f t="shared" si="18"/>
        <v>2.1586122832922799E-2</v>
      </c>
      <c r="AE78" s="7">
        <f t="shared" si="26"/>
        <v>0.1875</v>
      </c>
      <c r="AF78" s="7">
        <f t="shared" si="19"/>
        <v>-4.2788945420583091E-2</v>
      </c>
      <c r="AG78" s="7">
        <f t="shared" si="20"/>
        <v>0.15625</v>
      </c>
      <c r="AH78" s="7">
        <f t="shared" si="21"/>
        <v>-1.056703431134759E-2</v>
      </c>
      <c r="AI78" s="7">
        <f t="shared" si="22"/>
        <v>-2.2810130062445884E-4</v>
      </c>
      <c r="AJ78" s="7">
        <f t="shared" si="23"/>
        <v>4.5215225440568081E-4</v>
      </c>
      <c r="AK78" s="7">
        <f t="shared" si="24"/>
        <v>6.25E-2</v>
      </c>
    </row>
    <row r="79" spans="28:37" x14ac:dyDescent="0.2">
      <c r="AB79" s="7">
        <v>5</v>
      </c>
      <c r="AC79" s="7">
        <f t="shared" si="25"/>
        <v>0.125</v>
      </c>
      <c r="AD79" s="7">
        <f t="shared" si="18"/>
        <v>2.1586122832922799E-2</v>
      </c>
      <c r="AE79" s="7">
        <f t="shared" si="26"/>
        <v>0.15625</v>
      </c>
      <c r="AF79" s="7">
        <f t="shared" si="19"/>
        <v>-1.056703431134759E-2</v>
      </c>
      <c r="AG79" s="7">
        <f t="shared" si="20"/>
        <v>0.140625</v>
      </c>
      <c r="AH79" s="7">
        <f t="shared" si="21"/>
        <v>5.5211183583581958E-3</v>
      </c>
      <c r="AI79" s="7">
        <f t="shared" si="22"/>
        <v>1.1917953905862509E-4</v>
      </c>
      <c r="AJ79" s="7">
        <f t="shared" si="23"/>
        <v>-5.834184712978213E-5</v>
      </c>
      <c r="AK79" s="7">
        <f t="shared" si="24"/>
        <v>3.125E-2</v>
      </c>
    </row>
    <row r="80" spans="28:37" x14ac:dyDescent="0.2">
      <c r="AB80" s="7">
        <v>6</v>
      </c>
      <c r="AC80" s="7">
        <f t="shared" si="25"/>
        <v>0.140625</v>
      </c>
      <c r="AD80" s="7">
        <f t="shared" si="18"/>
        <v>5.5211183583581958E-3</v>
      </c>
      <c r="AE80" s="7">
        <f t="shared" si="26"/>
        <v>0.15625</v>
      </c>
      <c r="AF80" s="7">
        <f t="shared" si="19"/>
        <v>-1.056703431134759E-2</v>
      </c>
      <c r="AG80" s="7">
        <f t="shared" si="20"/>
        <v>0.1484375</v>
      </c>
      <c r="AH80" s="7">
        <f t="shared" si="21"/>
        <v>-2.5204567988808546E-3</v>
      </c>
      <c r="AI80" s="7">
        <f t="shared" si="22"/>
        <v>-1.3915740303749817E-5</v>
      </c>
      <c r="AJ80" s="7">
        <f t="shared" si="23"/>
        <v>2.6633753474043301E-5</v>
      </c>
      <c r="AK80" s="7">
        <f t="shared" si="24"/>
        <v>1.5625E-2</v>
      </c>
    </row>
    <row r="81" spans="28:37" x14ac:dyDescent="0.2">
      <c r="AB81" s="7">
        <v>7</v>
      </c>
      <c r="AC81" s="7">
        <f t="shared" si="25"/>
        <v>0.140625</v>
      </c>
      <c r="AD81" s="7">
        <f t="shared" si="18"/>
        <v>5.5211183583581958E-3</v>
      </c>
      <c r="AE81" s="7">
        <f t="shared" si="26"/>
        <v>0.1484375</v>
      </c>
      <c r="AF81" s="7">
        <f t="shared" si="19"/>
        <v>-2.5204567988808546E-3</v>
      </c>
      <c r="AG81" s="7">
        <f t="shared" si="20"/>
        <v>0.14453125</v>
      </c>
      <c r="AH81" s="7">
        <f t="shared" si="21"/>
        <v>1.5010040303283789E-3</v>
      </c>
      <c r="AI81" s="7">
        <f t="shared" si="22"/>
        <v>8.2872209078156544E-6</v>
      </c>
      <c r="AJ81" s="7">
        <f t="shared" si="23"/>
        <v>-3.7832158133887273E-6</v>
      </c>
      <c r="AK81" s="7">
        <f t="shared" si="24"/>
        <v>7.8125E-3</v>
      </c>
    </row>
    <row r="82" spans="28:37" x14ac:dyDescent="0.2">
      <c r="AB82" s="7">
        <v>8</v>
      </c>
      <c r="AC82" s="7">
        <f t="shared" si="25"/>
        <v>0.14453125</v>
      </c>
      <c r="AD82" s="7">
        <f t="shared" si="18"/>
        <v>1.5010040303283789E-3</v>
      </c>
      <c r="AE82" s="7">
        <f t="shared" si="26"/>
        <v>0.1484375</v>
      </c>
      <c r="AF82" s="7">
        <f t="shared" si="19"/>
        <v>-2.5204567988808546E-3</v>
      </c>
      <c r="AG82" s="7">
        <f t="shared" si="20"/>
        <v>0.146484375</v>
      </c>
      <c r="AH82" s="7">
        <f t="shared" si="21"/>
        <v>-5.0956413991046223E-4</v>
      </c>
      <c r="AI82" s="7">
        <f t="shared" si="22"/>
        <v>-7.6485782771641781E-7</v>
      </c>
      <c r="AJ82" s="7">
        <f t="shared" si="23"/>
        <v>1.2843344009031995E-6</v>
      </c>
      <c r="AK82" s="7">
        <f t="shared" si="24"/>
        <v>3.90625E-3</v>
      </c>
    </row>
    <row r="83" spans="28:37" x14ac:dyDescent="0.2">
      <c r="AB83" s="7">
        <v>9</v>
      </c>
      <c r="AC83" s="7">
        <f t="shared" si="25"/>
        <v>0.14453125</v>
      </c>
      <c r="AD83" s="7">
        <f t="shared" si="18"/>
        <v>1.5010040303283789E-3</v>
      </c>
      <c r="AE83" s="7">
        <f t="shared" si="26"/>
        <v>0.146484375</v>
      </c>
      <c r="AF83" s="7">
        <f t="shared" si="19"/>
        <v>-5.0956413991046223E-4</v>
      </c>
      <c r="AG83" s="7">
        <f t="shared" si="20"/>
        <v>0.1455078125</v>
      </c>
      <c r="AH83" s="7">
        <f t="shared" si="21"/>
        <v>4.9576126039133084E-4</v>
      </c>
      <c r="AI83" s="7">
        <f t="shared" si="22"/>
        <v>7.441396499280645E-7</v>
      </c>
      <c r="AJ83" s="7">
        <f t="shared" si="23"/>
        <v>-2.5262216025223518E-7</v>
      </c>
      <c r="AK83" s="7">
        <f t="shared" si="24"/>
        <v>1.953125E-3</v>
      </c>
    </row>
    <row r="84" spans="28:37" x14ac:dyDescent="0.2">
      <c r="AB84" s="7">
        <v>10</v>
      </c>
      <c r="AC84" s="7">
        <f t="shared" si="25"/>
        <v>0.1455078125</v>
      </c>
      <c r="AD84" s="7">
        <f t="shared" si="18"/>
        <v>4.9576126039133084E-4</v>
      </c>
      <c r="AE84" s="7">
        <f t="shared" si="26"/>
        <v>0.146484375</v>
      </c>
      <c r="AF84" s="7">
        <f t="shared" si="19"/>
        <v>-5.0956413991046223E-4</v>
      </c>
      <c r="AG84" s="7">
        <f t="shared" si="20"/>
        <v>0.14599609375</v>
      </c>
      <c r="AH84" s="7">
        <f t="shared" si="21"/>
        <v>-6.8912055085357249E-6</v>
      </c>
      <c r="AI84" s="7">
        <f t="shared" si="22"/>
        <v>-3.416392728527353E-9</v>
      </c>
      <c r="AJ84" s="7">
        <f t="shared" si="23"/>
        <v>3.5115112079032463E-9</v>
      </c>
      <c r="AK84" s="7">
        <f t="shared" si="24"/>
        <v>9.765625E-4</v>
      </c>
    </row>
    <row r="85" spans="28:37" x14ac:dyDescent="0.2">
      <c r="AB85" s="7">
        <v>11</v>
      </c>
      <c r="AC85" s="7">
        <f t="shared" si="25"/>
        <v>0.1455078125</v>
      </c>
      <c r="AD85" s="7">
        <f t="shared" si="18"/>
        <v>4.9576126039133084E-4</v>
      </c>
      <c r="AE85" s="7">
        <f t="shared" si="26"/>
        <v>0.14599609375</v>
      </c>
      <c r="AF85" s="7">
        <f t="shared" si="19"/>
        <v>-6.8912055085357249E-6</v>
      </c>
      <c r="AG85" s="7">
        <f t="shared" si="20"/>
        <v>0.145751953125</v>
      </c>
      <c r="AH85" s="7">
        <f t="shared" si="21"/>
        <v>2.4443759780470864E-4</v>
      </c>
      <c r="AI85" s="7">
        <f t="shared" si="22"/>
        <v>1.2118269157469155E-7</v>
      </c>
      <c r="AJ85" s="7">
        <f t="shared" si="23"/>
        <v>-1.6844697204850482E-9</v>
      </c>
      <c r="AK85" s="7">
        <f t="shared" si="24"/>
        <v>4.8828125E-4</v>
      </c>
    </row>
    <row r="86" spans="28:37" x14ac:dyDescent="0.2">
      <c r="AB86" s="7">
        <v>12</v>
      </c>
      <c r="AC86" s="7">
        <f t="shared" si="25"/>
        <v>0.145751953125</v>
      </c>
      <c r="AD86" s="7">
        <f t="shared" si="18"/>
        <v>2.4443759780470864E-4</v>
      </c>
      <c r="AE86" s="7">
        <f t="shared" si="26"/>
        <v>0.14599609375</v>
      </c>
      <c r="AF86" s="7">
        <f t="shared" si="19"/>
        <v>-6.8912055085357249E-6</v>
      </c>
      <c r="AG86" s="7">
        <f t="shared" si="20"/>
        <v>0.1458740234375</v>
      </c>
      <c r="AH86" s="7">
        <f t="shared" si="21"/>
        <v>1.1877383726274782E-4</v>
      </c>
      <c r="AI86" s="7">
        <f t="shared" si="22"/>
        <v>2.9032791462553468E-8</v>
      </c>
      <c r="AJ86" s="7">
        <f t="shared" si="23"/>
        <v>-8.184949216149735E-10</v>
      </c>
      <c r="AK86" s="7">
        <f t="shared" si="24"/>
        <v>2.44140625E-4</v>
      </c>
    </row>
    <row r="87" spans="28:37" x14ac:dyDescent="0.2">
      <c r="AB87" s="7">
        <v>13</v>
      </c>
      <c r="AC87" s="7">
        <f t="shared" si="25"/>
        <v>0.1458740234375</v>
      </c>
      <c r="AD87" s="7">
        <f t="shared" si="18"/>
        <v>1.1877383726274782E-4</v>
      </c>
      <c r="AE87" s="7">
        <f t="shared" si="26"/>
        <v>0.14599609375</v>
      </c>
      <c r="AF87" s="7">
        <f t="shared" si="19"/>
        <v>-6.8912055085357249E-6</v>
      </c>
      <c r="AG87" s="7">
        <f t="shared" si="20"/>
        <v>0.14593505859375</v>
      </c>
      <c r="AH87" s="7">
        <f t="shared" si="21"/>
        <v>5.5941475971349464E-5</v>
      </c>
      <c r="AI87" s="7">
        <f t="shared" si="22"/>
        <v>6.6443837632589787E-9</v>
      </c>
      <c r="AJ87" s="7">
        <f t="shared" si="23"/>
        <v>-3.8550420736938233E-10</v>
      </c>
      <c r="AK87" s="7">
        <f t="shared" si="24"/>
        <v>1.220703125E-4</v>
      </c>
    </row>
    <row r="88" spans="28:37" x14ac:dyDescent="0.2">
      <c r="AB88" s="7">
        <v>14</v>
      </c>
      <c r="AC88" s="7">
        <f t="shared" si="25"/>
        <v>0.14593505859375</v>
      </c>
      <c r="AD88" s="7">
        <f t="shared" si="18"/>
        <v>5.5941475971349464E-5</v>
      </c>
      <c r="AE88" s="7">
        <f t="shared" si="26"/>
        <v>0.14599609375</v>
      </c>
      <c r="AF88" s="7">
        <f t="shared" si="19"/>
        <v>-6.8912055085357249E-6</v>
      </c>
      <c r="AG88" s="7">
        <f t="shared" si="20"/>
        <v>0.145965576171875</v>
      </c>
      <c r="AH88" s="7">
        <f t="shared" si="21"/>
        <v>2.4525175231937535E-5</v>
      </c>
      <c r="AI88" s="7">
        <f t="shared" si="22"/>
        <v>1.3719745009305686E-9</v>
      </c>
      <c r="AJ88" s="7">
        <f t="shared" si="23"/>
        <v>-1.6900802265613186E-10</v>
      </c>
      <c r="AK88" s="7">
        <f t="shared" si="24"/>
        <v>6.103515625E-5</v>
      </c>
    </row>
    <row r="89" spans="28:37" x14ac:dyDescent="0.2">
      <c r="AB89" s="7">
        <v>15</v>
      </c>
      <c r="AC89" s="7">
        <f t="shared" si="25"/>
        <v>0.145965576171875</v>
      </c>
      <c r="AD89" s="7">
        <f t="shared" si="18"/>
        <v>2.4525175231937535E-5</v>
      </c>
      <c r="AE89" s="7">
        <f t="shared" si="26"/>
        <v>0.14599609375</v>
      </c>
      <c r="AF89" s="7">
        <f t="shared" si="19"/>
        <v>-6.8912055085357249E-6</v>
      </c>
      <c r="AG89" s="7">
        <f t="shared" si="20"/>
        <v>0.1459808349609375</v>
      </c>
      <c r="AH89" s="7">
        <f t="shared" si="21"/>
        <v>8.8169948589400526E-6</v>
      </c>
      <c r="AI89" s="7">
        <f t="shared" si="22"/>
        <v>2.1623834393459715E-10</v>
      </c>
      <c r="AJ89" s="7">
        <f t="shared" si="23"/>
        <v>-6.0759723540658852E-11</v>
      </c>
      <c r="AK89" s="7">
        <f t="shared" si="24"/>
        <v>3.0517578125E-5</v>
      </c>
    </row>
    <row r="90" spans="28:37" x14ac:dyDescent="0.2">
      <c r="AB90" s="7">
        <v>16</v>
      </c>
      <c r="AC90" s="7">
        <f t="shared" si="25"/>
        <v>0.1459808349609375</v>
      </c>
      <c r="AD90" s="7">
        <f t="shared" si="18"/>
        <v>8.8169948589400526E-6</v>
      </c>
      <c r="AE90" s="7">
        <f t="shared" si="26"/>
        <v>0.14599609375</v>
      </c>
      <c r="AF90" s="7">
        <f t="shared" si="19"/>
        <v>-6.8912055085357249E-6</v>
      </c>
      <c r="AG90" s="7">
        <f t="shared" si="20"/>
        <v>0.14598846435546875</v>
      </c>
      <c r="AH90" s="7">
        <f t="shared" si="21"/>
        <v>9.6289717416153664E-7</v>
      </c>
      <c r="AI90" s="7">
        <f t="shared" si="22"/>
        <v>8.4898594342701727E-12</v>
      </c>
      <c r="AJ90" s="7">
        <f t="shared" si="23"/>
        <v>-6.6355223107354643E-12</v>
      </c>
      <c r="AK90" s="7">
        <f t="shared" si="24"/>
        <v>1.52587890625E-5</v>
      </c>
    </row>
    <row r="91" spans="28:37" x14ac:dyDescent="0.2">
      <c r="AB91" s="7">
        <v>17</v>
      </c>
      <c r="AC91" s="7">
        <f t="shared" si="25"/>
        <v>0.14598846435546875</v>
      </c>
      <c r="AD91" s="7">
        <f t="shared" si="18"/>
        <v>9.6289717416153664E-7</v>
      </c>
      <c r="AE91" s="7">
        <f t="shared" si="26"/>
        <v>0.14599609375</v>
      </c>
      <c r="AF91" s="7">
        <f t="shared" si="19"/>
        <v>-6.8912055085357249E-6</v>
      </c>
      <c r="AG91" s="7">
        <f t="shared" si="20"/>
        <v>0.14599227905273438</v>
      </c>
      <c r="AH91" s="7">
        <f t="shared" si="21"/>
        <v>-2.964153542478476E-6</v>
      </c>
      <c r="AI91" s="7">
        <f t="shared" si="22"/>
        <v>-2.854175069833433E-12</v>
      </c>
      <c r="AJ91" s="7">
        <f t="shared" si="23"/>
        <v>2.0426591220073358E-11</v>
      </c>
      <c r="AK91" s="7">
        <f t="shared" si="24"/>
        <v>7.62939453125E-6</v>
      </c>
    </row>
    <row r="92" spans="28:37" x14ac:dyDescent="0.2">
      <c r="AB92" s="7">
        <v>18</v>
      </c>
      <c r="AC92" s="7">
        <f t="shared" si="25"/>
        <v>0.14598846435546875</v>
      </c>
      <c r="AD92" s="7">
        <f t="shared" si="18"/>
        <v>9.6289717416153664E-7</v>
      </c>
      <c r="AE92" s="7">
        <f t="shared" si="26"/>
        <v>0.14599227905273438</v>
      </c>
      <c r="AF92" s="7">
        <f t="shared" si="19"/>
        <v>-2.964153542478476E-6</v>
      </c>
      <c r="AG92" s="7">
        <f t="shared" si="20"/>
        <v>0.14599037170410156</v>
      </c>
      <c r="AH92" s="7">
        <f t="shared" si="21"/>
        <v>-1.0006280279917235E-6</v>
      </c>
      <c r="AI92" s="7">
        <f t="shared" si="22"/>
        <v>-9.6350190054006147E-13</v>
      </c>
      <c r="AJ92" s="7">
        <f t="shared" si="23"/>
        <v>2.9660151138749187E-12</v>
      </c>
      <c r="AK92" s="7">
        <f t="shared" si="24"/>
        <v>3.814697265625E-6</v>
      </c>
    </row>
    <row r="93" spans="28:37" x14ac:dyDescent="0.2">
      <c r="AB93" s="7">
        <v>19</v>
      </c>
      <c r="AC93" s="7">
        <f t="shared" si="25"/>
        <v>0.14598846435546875</v>
      </c>
      <c r="AD93" s="7">
        <f t="shared" si="18"/>
        <v>9.6289717416153664E-7</v>
      </c>
      <c r="AE93" s="7">
        <f t="shared" si="26"/>
        <v>0.14599037170410156</v>
      </c>
      <c r="AF93" s="7">
        <f t="shared" si="19"/>
        <v>-1.0006280279917235E-6</v>
      </c>
      <c r="AG93" s="7">
        <f t="shared" si="20"/>
        <v>0.14598941802978516</v>
      </c>
      <c r="AH93" s="7">
        <f t="shared" si="21"/>
        <v>-1.8865387862998517E-8</v>
      </c>
      <c r="AI93" s="7">
        <f t="shared" si="22"/>
        <v>-1.8165428662742623E-14</v>
      </c>
      <c r="AJ93" s="7">
        <f t="shared" si="23"/>
        <v>1.8877235854651201E-14</v>
      </c>
      <c r="AK93" s="7">
        <f t="shared" si="24"/>
        <v>1.9073486328125E-6</v>
      </c>
    </row>
    <row r="94" spans="28:37" x14ac:dyDescent="0.2">
      <c r="AB94" s="7">
        <v>20</v>
      </c>
      <c r="AC94" s="7">
        <f t="shared" si="25"/>
        <v>0.14598846435546875</v>
      </c>
      <c r="AD94" s="7">
        <f t="shared" si="18"/>
        <v>9.6289717416153664E-7</v>
      </c>
      <c r="AE94" s="7">
        <f t="shared" si="26"/>
        <v>0.14598941802978516</v>
      </c>
      <c r="AF94" s="7">
        <f t="shared" si="19"/>
        <v>-1.8865387862998517E-8</v>
      </c>
      <c r="AG94" s="7">
        <f t="shared" si="20"/>
        <v>0.14598894119262695</v>
      </c>
      <c r="AH94" s="7">
        <f t="shared" si="21"/>
        <v>4.7201590291923168E-7</v>
      </c>
      <c r="AI94" s="7">
        <f t="shared" si="22"/>
        <v>4.5450277908023439E-13</v>
      </c>
      <c r="AJ94" s="7">
        <f t="shared" si="23"/>
        <v>-8.9047630860747601E-15</v>
      </c>
      <c r="AK94" s="7">
        <f t="shared" si="24"/>
        <v>9.5367431640625E-7</v>
      </c>
    </row>
    <row r="95" spans="28:37" x14ac:dyDescent="0.2">
      <c r="AB95" s="7">
        <v>21</v>
      </c>
      <c r="AC95" s="7">
        <f t="shared" si="25"/>
        <v>0.14598894119262695</v>
      </c>
      <c r="AD95" s="7">
        <f t="shared" si="18"/>
        <v>4.7201590291923168E-7</v>
      </c>
      <c r="AE95" s="7">
        <f t="shared" si="26"/>
        <v>0.14598941802978516</v>
      </c>
      <c r="AF95" s="7">
        <f t="shared" si="19"/>
        <v>-1.8865387862998517E-8</v>
      </c>
      <c r="AG95" s="7">
        <f t="shared" si="20"/>
        <v>0.14598917961120605</v>
      </c>
      <c r="AH95" s="7">
        <f t="shared" si="21"/>
        <v>2.2657525997060723E-7</v>
      </c>
      <c r="AI95" s="7">
        <f t="shared" si="22"/>
        <v>1.0694712591418582E-13</v>
      </c>
      <c r="AJ95" s="7">
        <f t="shared" si="23"/>
        <v>-4.2744301595052275E-15</v>
      </c>
      <c r="AK95" s="7">
        <f t="shared" si="24"/>
        <v>4.76837158203125E-7</v>
      </c>
    </row>
    <row r="96" spans="28:37" x14ac:dyDescent="0.2">
      <c r="AB96" s="7">
        <v>22</v>
      </c>
      <c r="AC96" s="7">
        <f t="shared" si="25"/>
        <v>0.14598917961120605</v>
      </c>
      <c r="AD96" s="7">
        <f t="shared" si="18"/>
        <v>2.2657525997060723E-7</v>
      </c>
      <c r="AE96" s="7">
        <f t="shared" si="26"/>
        <v>0.14598941802978516</v>
      </c>
      <c r="AF96" s="7">
        <f t="shared" si="19"/>
        <v>-1.8865387862998517E-8</v>
      </c>
      <c r="AG96" s="7">
        <f t="shared" si="20"/>
        <v>0.14598929882049561</v>
      </c>
      <c r="AH96" s="7">
        <f t="shared" si="21"/>
        <v>1.0385493665054923E-7</v>
      </c>
      <c r="AI96" s="7">
        <f t="shared" si="22"/>
        <v>2.3530959270829138E-14</v>
      </c>
      <c r="AJ96" s="7">
        <f t="shared" si="23"/>
        <v>-1.9592636613997516E-15</v>
      </c>
      <c r="AK96" s="7">
        <f t="shared" si="24"/>
        <v>2.384185791015625E-7</v>
      </c>
    </row>
    <row r="97" spans="28:37" x14ac:dyDescent="0.2">
      <c r="AB97" s="7">
        <v>23</v>
      </c>
      <c r="AC97" s="7">
        <f t="shared" si="25"/>
        <v>0.14598929882049561</v>
      </c>
      <c r="AD97" s="7">
        <f t="shared" si="18"/>
        <v>1.0385493665054923E-7</v>
      </c>
      <c r="AE97" s="7">
        <f t="shared" si="26"/>
        <v>0.14598941802978516</v>
      </c>
      <c r="AF97" s="7">
        <f t="shared" si="19"/>
        <v>-1.8865387862998517E-8</v>
      </c>
      <c r="AG97" s="7">
        <f t="shared" si="20"/>
        <v>0.14598935842514038</v>
      </c>
      <c r="AH97" s="7">
        <f t="shared" si="21"/>
        <v>4.2494774560308812E-8</v>
      </c>
      <c r="AI97" s="7">
        <f t="shared" si="22"/>
        <v>4.413292119940243E-15</v>
      </c>
      <c r="AJ97" s="7">
        <f t="shared" si="23"/>
        <v>-8.0168040423090802E-16</v>
      </c>
      <c r="AK97" s="7">
        <f t="shared" si="24"/>
        <v>1.1920928955078125E-7</v>
      </c>
    </row>
    <row r="98" spans="28:37" x14ac:dyDescent="0.2">
      <c r="AB98" s="7">
        <v>24</v>
      </c>
      <c r="AC98" s="7">
        <f t="shared" si="25"/>
        <v>0.14598935842514038</v>
      </c>
      <c r="AD98" s="7">
        <f t="shared" si="18"/>
        <v>4.2494774560308812E-8</v>
      </c>
      <c r="AE98" s="7">
        <f t="shared" si="26"/>
        <v>0.14598941802978516</v>
      </c>
      <c r="AF98" s="7">
        <f t="shared" si="19"/>
        <v>-1.8865387862998517E-8</v>
      </c>
      <c r="AG98" s="7">
        <f t="shared" si="20"/>
        <v>0.14598938822746277</v>
      </c>
      <c r="AH98" s="7">
        <f t="shared" si="21"/>
        <v>1.1814693390288511E-8</v>
      </c>
      <c r="AI98" s="7">
        <f t="shared" si="22"/>
        <v>5.0206273211948093E-16</v>
      </c>
      <c r="AJ98" s="7">
        <f t="shared" si="23"/>
        <v>-2.2288877329019766E-16</v>
      </c>
      <c r="AK98" s="7">
        <f t="shared" si="24"/>
        <v>5.9604644775390625E-8</v>
      </c>
    </row>
    <row r="99" spans="28:37" x14ac:dyDescent="0.2">
      <c r="AB99" s="7">
        <v>25</v>
      </c>
      <c r="AC99" s="7">
        <f t="shared" si="25"/>
        <v>0.14598938822746277</v>
      </c>
      <c r="AD99" s="7">
        <f t="shared" si="18"/>
        <v>1.1814693390288511E-8</v>
      </c>
      <c r="AE99" s="7">
        <f t="shared" si="26"/>
        <v>0.14598941802978516</v>
      </c>
      <c r="AF99" s="7">
        <f t="shared" si="19"/>
        <v>-1.8865387862998517E-8</v>
      </c>
      <c r="AG99" s="7">
        <f t="shared" si="20"/>
        <v>0.14598940312862396</v>
      </c>
      <c r="AH99" s="7">
        <f t="shared" si="21"/>
        <v>-3.5253472363550031E-9</v>
      </c>
      <c r="AI99" s="7">
        <f t="shared" si="22"/>
        <v>-4.1650896691835325E-17</v>
      </c>
      <c r="AJ99" s="7">
        <f t="shared" si="23"/>
        <v>6.6507042965587047E-17</v>
      </c>
      <c r="AK99" s="7">
        <f t="shared" si="24"/>
        <v>2.9802322387695312E-8</v>
      </c>
    </row>
    <row r="100" spans="28:37" x14ac:dyDescent="0.2">
      <c r="AB100" s="7">
        <v>26</v>
      </c>
      <c r="AC100" s="7">
        <f t="shared" si="25"/>
        <v>0.14598938822746277</v>
      </c>
      <c r="AD100" s="7">
        <f t="shared" si="18"/>
        <v>1.1814693390288511E-8</v>
      </c>
      <c r="AE100" s="7">
        <f t="shared" si="26"/>
        <v>0.14598940312862396</v>
      </c>
      <c r="AF100" s="7">
        <f t="shared" si="19"/>
        <v>-3.5253472363550031E-9</v>
      </c>
      <c r="AG100" s="7">
        <f t="shared" si="20"/>
        <v>0.14598939567804337</v>
      </c>
      <c r="AH100" s="7">
        <f t="shared" si="21"/>
        <v>4.1446730769667539E-9</v>
      </c>
      <c r="AI100" s="7">
        <f t="shared" si="22"/>
        <v>4.8968041607345854E-17</v>
      </c>
      <c r="AJ100" s="7">
        <f t="shared" si="23"/>
        <v>-1.4611411777479733E-17</v>
      </c>
      <c r="AK100" s="7">
        <f t="shared" si="24"/>
        <v>1.4901161193847656E-8</v>
      </c>
    </row>
    <row r="101" spans="28:37" x14ac:dyDescent="0.2">
      <c r="AB101" s="7">
        <v>27</v>
      </c>
      <c r="AC101" s="7">
        <f t="shared" si="25"/>
        <v>0.14598939567804337</v>
      </c>
      <c r="AD101" s="7">
        <f t="shared" si="18"/>
        <v>4.1446730769667539E-9</v>
      </c>
      <c r="AE101" s="7">
        <f t="shared" si="26"/>
        <v>0.14598940312862396</v>
      </c>
      <c r="AF101" s="7">
        <f t="shared" si="19"/>
        <v>-3.5253472363550031E-9</v>
      </c>
      <c r="AG101" s="7">
        <f t="shared" si="20"/>
        <v>0.14598939940333366</v>
      </c>
      <c r="AH101" s="7">
        <f t="shared" si="21"/>
        <v>3.0966290642808758E-10</v>
      </c>
      <c r="AI101" s="7">
        <f t="shared" si="22"/>
        <v>1.2834515112077698E-18</v>
      </c>
      <c r="AJ101" s="7">
        <f t="shared" si="23"/>
        <v>-1.0916692713779165E-18</v>
      </c>
      <c r="AK101" s="7">
        <f t="shared" si="24"/>
        <v>7.4505805969238281E-9</v>
      </c>
    </row>
    <row r="102" spans="28:37" x14ac:dyDescent="0.2">
      <c r="AB102" s="7">
        <v>28</v>
      </c>
      <c r="AC102" s="7">
        <f t="shared" si="25"/>
        <v>0.14598939940333366</v>
      </c>
      <c r="AD102" s="7">
        <f t="shared" si="18"/>
        <v>3.0966290642808758E-10</v>
      </c>
      <c r="AE102" s="7">
        <f t="shared" si="26"/>
        <v>0.14598940312862396</v>
      </c>
      <c r="AF102" s="7">
        <f t="shared" si="19"/>
        <v>-3.5253472363550031E-9</v>
      </c>
      <c r="AG102" s="7">
        <f t="shared" si="20"/>
        <v>0.14598940126597881</v>
      </c>
      <c r="AH102" s="7">
        <f t="shared" si="21"/>
        <v>-1.6078421649634578E-9</v>
      </c>
      <c r="AI102" s="7">
        <f t="shared" si="22"/>
        <v>-4.9788907788021298E-19</v>
      </c>
      <c r="AJ102" s="7">
        <f t="shared" si="23"/>
        <v>5.6682019327489709E-18</v>
      </c>
      <c r="AK102" s="7">
        <f t="shared" si="24"/>
        <v>3.7252902984619141E-9</v>
      </c>
    </row>
    <row r="103" spans="28:37" x14ac:dyDescent="0.2">
      <c r="AB103" s="7">
        <v>29</v>
      </c>
      <c r="AC103" s="7">
        <f t="shared" si="25"/>
        <v>0.14598939940333366</v>
      </c>
      <c r="AD103" s="7">
        <f t="shared" si="18"/>
        <v>3.0966290642808758E-10</v>
      </c>
      <c r="AE103" s="7">
        <f t="shared" si="26"/>
        <v>0.14598940126597881</v>
      </c>
      <c r="AF103" s="7">
        <f t="shared" si="19"/>
        <v>-1.6078421649634578E-9</v>
      </c>
      <c r="AG103" s="7">
        <f t="shared" si="20"/>
        <v>0.14598940033465624</v>
      </c>
      <c r="AH103" s="7">
        <f t="shared" si="21"/>
        <v>-6.4908961538989729E-10</v>
      </c>
      <c r="AI103" s="7">
        <f t="shared" si="22"/>
        <v>-2.0099897683392512E-19</v>
      </c>
      <c r="AJ103" s="7">
        <f t="shared" si="23"/>
        <v>1.0436336524637906E-18</v>
      </c>
      <c r="AK103" s="7">
        <f t="shared" si="24"/>
        <v>1.862645149230957E-9</v>
      </c>
    </row>
    <row r="104" spans="28:37" x14ac:dyDescent="0.2">
      <c r="AB104" s="7">
        <v>30</v>
      </c>
      <c r="AC104" s="7">
        <f t="shared" si="25"/>
        <v>0.14598939940333366</v>
      </c>
      <c r="AD104" s="7">
        <f t="shared" si="18"/>
        <v>3.0966290642808758E-10</v>
      </c>
      <c r="AE104" s="7">
        <f t="shared" si="26"/>
        <v>0.14598940033465624</v>
      </c>
      <c r="AF104" s="7">
        <f t="shared" si="19"/>
        <v>-6.4908961538989729E-10</v>
      </c>
      <c r="AG104" s="7">
        <f t="shared" si="20"/>
        <v>0.14598939986899495</v>
      </c>
      <c r="AH104" s="7">
        <f t="shared" si="21"/>
        <v>-1.6971335448090485E-10</v>
      </c>
      <c r="AI104" s="7">
        <f t="shared" si="22"/>
        <v>-5.2553930608217298E-20</v>
      </c>
      <c r="AJ104" s="7">
        <f t="shared" si="23"/>
        <v>1.1015917598653983E-19</v>
      </c>
      <c r="AK104" s="7">
        <f t="shared" si="24"/>
        <v>9.3132257461547852E-10</v>
      </c>
    </row>
  </sheetData>
  <mergeCells count="23">
    <mergeCell ref="F37:H37"/>
    <mergeCell ref="F21:H21"/>
    <mergeCell ref="B24:D24"/>
    <mergeCell ref="F26:H26"/>
    <mergeCell ref="B29:D29"/>
    <mergeCell ref="B14:D14"/>
    <mergeCell ref="N16:P16"/>
    <mergeCell ref="R16:T16"/>
    <mergeCell ref="V16:X16"/>
    <mergeCell ref="B20:D20"/>
    <mergeCell ref="V3:X3"/>
    <mergeCell ref="J8:L8"/>
    <mergeCell ref="B9:D9"/>
    <mergeCell ref="F10:H10"/>
    <mergeCell ref="N11:P11"/>
    <mergeCell ref="R11:T11"/>
    <mergeCell ref="V11:X11"/>
    <mergeCell ref="R3:T3"/>
    <mergeCell ref="B1:D1"/>
    <mergeCell ref="B3:D3"/>
    <mergeCell ref="F3:H3"/>
    <mergeCell ref="J3:L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05967-B50D-C441-A07F-9DEDBFF33389}">
  <dimension ref="B1:AK104"/>
  <sheetViews>
    <sheetView workbookViewId="0">
      <selection activeCell="K34" sqref="K34"/>
    </sheetView>
  </sheetViews>
  <sheetFormatPr baseColWidth="10" defaultRowHeight="16" x14ac:dyDescent="0.2"/>
  <cols>
    <col min="1" max="1" width="4.1640625" customWidth="1"/>
    <col min="2" max="2" width="20.5" customWidth="1"/>
    <col min="4" max="4" width="7.1640625" customWidth="1"/>
    <col min="5" max="5" width="5.6640625" customWidth="1"/>
    <col min="6" max="6" width="20.33203125" customWidth="1"/>
    <col min="7" max="7" width="13.1640625" customWidth="1"/>
    <col min="8" max="8" width="4.1640625" customWidth="1"/>
    <col min="9" max="9" width="6" customWidth="1"/>
    <col min="10" max="10" width="18.1640625" customWidth="1"/>
    <col min="11" max="11" width="14.33203125" customWidth="1"/>
    <col min="12" max="12" width="5" customWidth="1"/>
    <col min="13" max="13" width="6" customWidth="1"/>
    <col min="14" max="14" width="12.6640625" customWidth="1"/>
    <col min="15" max="15" width="11" customWidth="1"/>
    <col min="16" max="16" width="6.6640625" customWidth="1"/>
    <col min="17" max="17" width="6" customWidth="1"/>
    <col min="18" max="18" width="12" customWidth="1"/>
    <col min="20" max="20" width="6.33203125" customWidth="1"/>
    <col min="21" max="21" width="6.1640625" customWidth="1"/>
    <col min="22" max="22" width="12.83203125" customWidth="1"/>
    <col min="23" max="23" width="11.5" customWidth="1"/>
    <col min="24" max="24" width="6.33203125" customWidth="1"/>
    <col min="25" max="25" width="4" customWidth="1"/>
    <col min="26" max="27" width="3.83203125" customWidth="1"/>
    <col min="28" max="28" width="5.5" customWidth="1"/>
    <col min="29" max="30" width="6.1640625" customWidth="1"/>
    <col min="31" max="31" width="6.6640625" customWidth="1"/>
    <col min="32" max="32" width="7" customWidth="1"/>
    <col min="33" max="33" width="14.6640625" customWidth="1"/>
    <col min="34" max="34" width="7.83203125" customWidth="1"/>
    <col min="35" max="35" width="10" customWidth="1"/>
    <col min="36" max="36" width="9.5" customWidth="1"/>
    <col min="37" max="37" width="13.6640625" customWidth="1"/>
  </cols>
  <sheetData>
    <row r="1" spans="2:37" x14ac:dyDescent="0.2">
      <c r="B1" s="21" t="s">
        <v>0</v>
      </c>
      <c r="C1" s="21"/>
      <c r="D1" s="21"/>
    </row>
    <row r="2" spans="2:37" x14ac:dyDescent="0.2">
      <c r="AB2" s="5" t="s">
        <v>80</v>
      </c>
    </row>
    <row r="3" spans="2:37" x14ac:dyDescent="0.2">
      <c r="B3" s="24" t="s">
        <v>73</v>
      </c>
      <c r="C3" s="28"/>
      <c r="D3" s="28"/>
      <c r="F3" s="25" t="s">
        <v>81</v>
      </c>
      <c r="G3" s="26"/>
      <c r="H3" s="26"/>
      <c r="J3" s="24" t="s">
        <v>82</v>
      </c>
      <c r="K3" s="24"/>
      <c r="L3" s="24"/>
      <c r="N3" s="20" t="s">
        <v>83</v>
      </c>
      <c r="O3" s="20"/>
      <c r="P3" s="20"/>
      <c r="R3" s="20" t="s">
        <v>84</v>
      </c>
      <c r="S3" s="20"/>
      <c r="T3" s="20"/>
      <c r="V3" s="20" t="s">
        <v>85</v>
      </c>
      <c r="W3" s="20"/>
      <c r="X3" s="20"/>
      <c r="AB3" s="6" t="s">
        <v>63</v>
      </c>
      <c r="AC3" s="6" t="s">
        <v>64</v>
      </c>
      <c r="AD3" s="6" t="s">
        <v>65</v>
      </c>
      <c r="AE3" s="6" t="s">
        <v>66</v>
      </c>
      <c r="AF3" s="6" t="s">
        <v>67</v>
      </c>
      <c r="AG3" s="6" t="s">
        <v>68</v>
      </c>
      <c r="AH3" s="6" t="s">
        <v>69</v>
      </c>
      <c r="AI3" s="6" t="s">
        <v>70</v>
      </c>
      <c r="AJ3" s="6" t="s">
        <v>71</v>
      </c>
      <c r="AK3" s="6" t="s">
        <v>72</v>
      </c>
    </row>
    <row r="4" spans="2:37" x14ac:dyDescent="0.2">
      <c r="B4" t="s">
        <v>53</v>
      </c>
      <c r="C4" s="1" t="s">
        <v>1</v>
      </c>
      <c r="F4" t="s">
        <v>86</v>
      </c>
      <c r="G4" s="1">
        <v>2.54</v>
      </c>
      <c r="H4" t="s">
        <v>16</v>
      </c>
      <c r="J4" t="s">
        <v>87</v>
      </c>
      <c r="K4">
        <f>MAX(G6,G40)</f>
        <v>193.13872420408157</v>
      </c>
      <c r="L4" t="s">
        <v>91</v>
      </c>
      <c r="N4" t="s">
        <v>36</v>
      </c>
      <c r="O4">
        <f>$C$17*$C$31*COS(G16/180*PI())</f>
        <v>10185.999632829435</v>
      </c>
      <c r="P4" t="s">
        <v>31</v>
      </c>
      <c r="R4" t="s">
        <v>36</v>
      </c>
      <c r="S4">
        <f xml:space="preserve"> $C$17 * $C$31</f>
        <v>10199.1683251045</v>
      </c>
      <c r="T4" t="s">
        <v>31</v>
      </c>
      <c r="V4" t="s">
        <v>36</v>
      </c>
      <c r="W4">
        <f>$C$17*$C$31*COS(G32/180*PI())</f>
        <v>10194.429555519135</v>
      </c>
      <c r="X4" t="s">
        <v>31</v>
      </c>
      <c r="AB4" s="7">
        <v>0</v>
      </c>
      <c r="AC4" s="8">
        <v>0</v>
      </c>
      <c r="AD4" s="7">
        <f xml:space="preserve"> $S$19 * TAN($S$16/180*PI()) + $S$20 / (2 * SQRT($S$19^2 + AC4^2)) - AC4</f>
        <v>0.4339211148257433</v>
      </c>
      <c r="AE4" s="8">
        <v>1</v>
      </c>
      <c r="AF4" s="7">
        <f xml:space="preserve"> $S$19 * TAN($S$16/180*PI()) + $S$20 / (2 * SQRT($S$19^2 + AE4^2)) - AE4</f>
        <v>-0.67966167343795103</v>
      </c>
      <c r="AG4" s="7">
        <f xml:space="preserve"> (AC4 + AE4)/2</f>
        <v>0.5</v>
      </c>
      <c r="AH4" s="7">
        <f xml:space="preserve"> $S$19 * TAN($S$16/180*PI()) + $S$20 / (2 * SQRT($S$19^2 + AG4^2)) - AG4</f>
        <v>-0.17642942948161022</v>
      </c>
      <c r="AI4" s="7">
        <f>AD4*AH4</f>
        <v>-7.6556454728730169E-2</v>
      </c>
      <c r="AJ4" s="7">
        <f>AF4*AH4</f>
        <v>0.11991232128517418</v>
      </c>
      <c r="AK4" s="7">
        <f>AE4-AC4</f>
        <v>1</v>
      </c>
    </row>
    <row r="5" spans="2:37" x14ac:dyDescent="0.2">
      <c r="B5" t="s">
        <v>122</v>
      </c>
      <c r="C5" s="1">
        <v>8</v>
      </c>
      <c r="F5" t="s">
        <v>88</v>
      </c>
      <c r="G5" s="1">
        <v>152.4</v>
      </c>
      <c r="H5" t="s">
        <v>14</v>
      </c>
      <c r="J5" t="s">
        <v>89</v>
      </c>
      <c r="K5">
        <f>K4/$C$5</f>
        <v>24.142340525510196</v>
      </c>
      <c r="L5" t="s">
        <v>91</v>
      </c>
      <c r="N5" t="s">
        <v>37</v>
      </c>
      <c r="O5">
        <f>0.5*$C$30*$G$11^2</f>
        <v>1531.25</v>
      </c>
      <c r="P5" t="s">
        <v>38</v>
      </c>
      <c r="R5" t="s">
        <v>37</v>
      </c>
      <c r="S5">
        <f xml:space="preserve"> 0.5 * $C$30 * $C$20^2</f>
        <v>1531.25</v>
      </c>
      <c r="T5" t="s">
        <v>38</v>
      </c>
      <c r="V5" t="s">
        <v>37</v>
      </c>
      <c r="W5">
        <f>0.5*$C$30*$G$27^2</f>
        <v>1531.25</v>
      </c>
      <c r="X5" t="s">
        <v>38</v>
      </c>
      <c r="AB5" s="7">
        <v>1</v>
      </c>
      <c r="AC5" s="7">
        <f>IF(AI4&gt;0, AG4, AC4)</f>
        <v>0</v>
      </c>
      <c r="AD5" s="7">
        <f t="shared" ref="AD5:AD34" si="0" xml:space="preserve"> $S$19 * TAN($S$16/180*PI()) + $S$20 / (2 * SQRT($S$19^2 + AC5^2)) - AC5</f>
        <v>0.4339211148257433</v>
      </c>
      <c r="AE5" s="7">
        <f>IF(AJ4&gt;0, AG4, AE4)</f>
        <v>0.5</v>
      </c>
      <c r="AF5" s="7">
        <f t="shared" ref="AF5:AF34" si="1" xml:space="preserve"> $S$19 * TAN($S$16/180*PI()) + $S$20 / (2 * SQRT($S$19^2 + AE5^2)) - AE5</f>
        <v>-0.17642942948161022</v>
      </c>
      <c r="AG5" s="7">
        <f t="shared" ref="AG5:AG34" si="2" xml:space="preserve"> (AC5 + AE5)/2</f>
        <v>0.25</v>
      </c>
      <c r="AH5" s="7">
        <f t="shared" ref="AH5:AH34" si="3" xml:space="preserve"> $S$19 * TAN($S$16/180*PI()) + $S$20 / (2 * SQRT($S$19^2 + AG5^2)) - AG5</f>
        <v>7.9983338401358239E-2</v>
      </c>
      <c r="AI5" s="7">
        <f t="shared" ref="AI5:AI34" si="4">AD5*AH5</f>
        <v>3.4706459366602049E-2</v>
      </c>
      <c r="AJ5" s="7">
        <f t="shared" ref="AJ5:AJ34" si="5">AF5*AH5</f>
        <v>-1.4111414762186201E-2</v>
      </c>
      <c r="AK5" s="7">
        <f t="shared" ref="AK5:AK34" si="6">AE5-AC5</f>
        <v>0.5</v>
      </c>
    </row>
    <row r="6" spans="2:37" x14ac:dyDescent="0.2">
      <c r="B6" t="s">
        <v>123</v>
      </c>
      <c r="C6" s="1">
        <v>1</v>
      </c>
      <c r="F6" t="s">
        <v>90</v>
      </c>
      <c r="G6">
        <f xml:space="preserve"> 1/1000 * ($C$17*$C$31)/$C$9 * ( ($G$4/2) + SQRT( ($G$4/2)^2 + ($C$17*$C$31)/(2*$C$30*$C$5*PI()*$C$18*$C$18 ) ) )</f>
        <v>193.13872420408157</v>
      </c>
      <c r="H6" t="s">
        <v>91</v>
      </c>
      <c r="J6" t="s">
        <v>124</v>
      </c>
      <c r="K6">
        <f>MAX(G18,G23,G34)</f>
        <v>63.027105144521556</v>
      </c>
      <c r="L6" t="s">
        <v>91</v>
      </c>
      <c r="N6" t="s">
        <v>55</v>
      </c>
      <c r="O6">
        <f xml:space="preserve"> 1.6 * ($C$17*2.20462/1000)^(2/3) * 0.3048^2</f>
        <v>0.2584650303466165</v>
      </c>
      <c r="P6" t="s">
        <v>18</v>
      </c>
      <c r="R6" t="s">
        <v>55</v>
      </c>
      <c r="S6">
        <f xml:space="preserve"> 1.6 * ($C$17*2.20462/1000)^(2/3) * 0.3048^2</f>
        <v>0.2584650303466165</v>
      </c>
      <c r="T6" t="s">
        <v>18</v>
      </c>
      <c r="V6" t="s">
        <v>55</v>
      </c>
      <c r="W6">
        <f xml:space="preserve"> 1.6 * ($C$17*2.20462/1000)^(2/3) * 0.3048^2</f>
        <v>0.2584650303466165</v>
      </c>
      <c r="X6" t="s">
        <v>18</v>
      </c>
      <c r="AB6" s="7">
        <v>2</v>
      </c>
      <c r="AC6" s="7">
        <f t="shared" ref="AC6:AC34" si="7">IF(AI5&gt;0, AG5, AC5)</f>
        <v>0.25</v>
      </c>
      <c r="AD6" s="7">
        <f t="shared" si="0"/>
        <v>7.9983338401358239E-2</v>
      </c>
      <c r="AE6" s="7">
        <f t="shared" ref="AE6:AE34" si="8">IF(AJ5&gt;0, AG5, AE5)</f>
        <v>0.5</v>
      </c>
      <c r="AF6" s="7">
        <f t="shared" si="1"/>
        <v>-0.17642942948161022</v>
      </c>
      <c r="AG6" s="7">
        <f t="shared" si="2"/>
        <v>0.375</v>
      </c>
      <c r="AH6" s="7">
        <f t="shared" si="3"/>
        <v>-4.9282394074467162E-2</v>
      </c>
      <c r="AI6" s="7">
        <f t="shared" si="4"/>
        <v>-3.9417704024871988E-3</v>
      </c>
      <c r="AJ6" s="7">
        <f t="shared" si="5"/>
        <v>8.6948646700461298E-3</v>
      </c>
      <c r="AK6" s="7">
        <f t="shared" si="6"/>
        <v>0.25</v>
      </c>
    </row>
    <row r="7" spans="2:37" x14ac:dyDescent="0.2">
      <c r="B7" t="s">
        <v>2</v>
      </c>
      <c r="C7" s="1">
        <v>0.13</v>
      </c>
      <c r="F7" t="s">
        <v>30</v>
      </c>
      <c r="G7">
        <f xml:space="preserve"> $C$17 * $C$31 / $C$5</f>
        <v>1274.8960406380625</v>
      </c>
      <c r="H7" t="s">
        <v>31</v>
      </c>
      <c r="J7" t="s">
        <v>125</v>
      </c>
      <c r="K7">
        <f>K6/$C$6</f>
        <v>63.027105144521556</v>
      </c>
      <c r="L7" t="s">
        <v>91</v>
      </c>
      <c r="N7" t="s">
        <v>56</v>
      </c>
      <c r="O7">
        <f xml:space="preserve"> O6 / $C$21</f>
        <v>1.5954631502877563E-2</v>
      </c>
      <c r="R7" t="s">
        <v>56</v>
      </c>
      <c r="S7">
        <f xml:space="preserve"> S6 / $C$21</f>
        <v>1.5954631502877563E-2</v>
      </c>
      <c r="V7" t="s">
        <v>56</v>
      </c>
      <c r="W7">
        <f xml:space="preserve"> W6 / $C$21</f>
        <v>1.5954631502877563E-2</v>
      </c>
      <c r="AB7" s="7">
        <v>3</v>
      </c>
      <c r="AC7" s="7">
        <f t="shared" si="7"/>
        <v>0.25</v>
      </c>
      <c r="AD7" s="7">
        <f t="shared" si="0"/>
        <v>7.9983338401358239E-2</v>
      </c>
      <c r="AE7" s="7">
        <f t="shared" si="8"/>
        <v>0.375</v>
      </c>
      <c r="AF7" s="7">
        <f t="shared" si="1"/>
        <v>-4.9282394074467162E-2</v>
      </c>
      <c r="AG7" s="7">
        <f t="shared" si="2"/>
        <v>0.3125</v>
      </c>
      <c r="AH7" s="7">
        <f t="shared" si="3"/>
        <v>1.4929039455547077E-2</v>
      </c>
      <c r="AI7" s="7">
        <f t="shared" si="4"/>
        <v>1.1940744147802508E-3</v>
      </c>
      <c r="AJ7" s="7">
        <f t="shared" si="5"/>
        <v>-7.3573880560153979E-4</v>
      </c>
      <c r="AK7" s="7">
        <f t="shared" si="6"/>
        <v>0.125</v>
      </c>
    </row>
    <row r="8" spans="2:37" x14ac:dyDescent="0.2">
      <c r="B8" t="s">
        <v>126</v>
      </c>
      <c r="C8" s="1">
        <v>0.13</v>
      </c>
      <c r="F8" t="s">
        <v>92</v>
      </c>
      <c r="G8">
        <f xml:space="preserve"> $G$5/$G$4</f>
        <v>60</v>
      </c>
      <c r="H8" t="s">
        <v>22</v>
      </c>
      <c r="N8" t="s">
        <v>57</v>
      </c>
      <c r="O8">
        <f xml:space="preserve"> O5 * $C$21 * O7</f>
        <v>395.77457771825652</v>
      </c>
      <c r="P8" t="s">
        <v>31</v>
      </c>
      <c r="R8" t="s">
        <v>57</v>
      </c>
      <c r="S8">
        <f xml:space="preserve"> S5 * $C$21 * S7</f>
        <v>395.77457771825652</v>
      </c>
      <c r="T8" t="s">
        <v>31</v>
      </c>
      <c r="V8" t="s">
        <v>57</v>
      </c>
      <c r="W8">
        <f xml:space="preserve"> W5*W7*$C$21</f>
        <v>395.77457771825652</v>
      </c>
      <c r="X8" t="s">
        <v>31</v>
      </c>
      <c r="AB8" s="7">
        <v>4</v>
      </c>
      <c r="AC8" s="7">
        <f t="shared" si="7"/>
        <v>0.3125</v>
      </c>
      <c r="AD8" s="7">
        <f t="shared" si="0"/>
        <v>1.4929039455547077E-2</v>
      </c>
      <c r="AE8" s="7">
        <f t="shared" si="8"/>
        <v>0.375</v>
      </c>
      <c r="AF8" s="7">
        <f t="shared" si="1"/>
        <v>-4.9282394074467162E-2</v>
      </c>
      <c r="AG8" s="7">
        <f t="shared" si="2"/>
        <v>0.34375</v>
      </c>
      <c r="AH8" s="7">
        <f t="shared" si="3"/>
        <v>-1.7253710472193817E-2</v>
      </c>
      <c r="AI8" s="7">
        <f t="shared" si="4"/>
        <v>-2.5758132439396731E-4</v>
      </c>
      <c r="AJ8" s="7">
        <f t="shared" si="5"/>
        <v>8.5030415873741663E-4</v>
      </c>
      <c r="AK8" s="7">
        <f t="shared" si="6"/>
        <v>6.25E-2</v>
      </c>
    </row>
    <row r="9" spans="2:37" x14ac:dyDescent="0.2">
      <c r="B9" t="s">
        <v>3</v>
      </c>
      <c r="C9" s="1">
        <v>0.75</v>
      </c>
      <c r="N9" t="s">
        <v>58</v>
      </c>
      <c r="O9">
        <f xml:space="preserve"> 1.78 * (1 - 0.045 * $C$22^0.68) - 0.64</f>
        <v>0.82990122458567595</v>
      </c>
      <c r="R9" t="s">
        <v>58</v>
      </c>
      <c r="S9">
        <f xml:space="preserve"> 1.78 * (1 - 0.045 * $C$22^0.68) - 0.64</f>
        <v>0.82990122458567595</v>
      </c>
      <c r="V9" t="s">
        <v>58</v>
      </c>
      <c r="W9">
        <f xml:space="preserve"> 1.78 * (1 - 0.045 * $C$22^0.68) - 0.64</f>
        <v>0.82990122458567595</v>
      </c>
      <c r="AB9" s="7">
        <v>5</v>
      </c>
      <c r="AC9" s="7">
        <f t="shared" si="7"/>
        <v>0.3125</v>
      </c>
      <c r="AD9" s="7">
        <f t="shared" si="0"/>
        <v>1.4929039455547077E-2</v>
      </c>
      <c r="AE9" s="7">
        <f t="shared" si="8"/>
        <v>0.34375</v>
      </c>
      <c r="AF9" s="7">
        <f t="shared" si="1"/>
        <v>-1.7253710472193817E-2</v>
      </c>
      <c r="AG9" s="7">
        <f t="shared" si="2"/>
        <v>0.328125</v>
      </c>
      <c r="AH9" s="7">
        <f t="shared" si="3"/>
        <v>-1.184307042355115E-3</v>
      </c>
      <c r="AI9" s="7">
        <f t="shared" si="4"/>
        <v>-1.7680566562801774E-5</v>
      </c>
      <c r="AJ9" s="7">
        <f t="shared" si="5"/>
        <v>2.0433690818975333E-5</v>
      </c>
      <c r="AK9" s="7">
        <f t="shared" si="6"/>
        <v>3.125E-2</v>
      </c>
    </row>
    <row r="10" spans="2:37" x14ac:dyDescent="0.2">
      <c r="F10" s="25" t="s">
        <v>95</v>
      </c>
      <c r="G10" s="26"/>
      <c r="H10" s="26"/>
      <c r="J10" s="24" t="s">
        <v>34</v>
      </c>
      <c r="K10" s="24"/>
      <c r="L10" s="24"/>
      <c r="N10" t="s">
        <v>127</v>
      </c>
      <c r="O10">
        <f>O4/(O5*$C$21)</f>
        <v>0.41062230820174089</v>
      </c>
      <c r="R10" t="s">
        <v>39</v>
      </c>
      <c r="S10">
        <f xml:space="preserve"> S4 / (S5 * $C$21)</f>
        <v>0.41115317007223984</v>
      </c>
      <c r="V10" t="s">
        <v>127</v>
      </c>
      <c r="W10">
        <f>W4 / ( W5 * $C$21)</f>
        <v>0.41096213879643778</v>
      </c>
      <c r="AB10" s="7">
        <v>6</v>
      </c>
      <c r="AC10" s="7">
        <f t="shared" si="7"/>
        <v>0.3125</v>
      </c>
      <c r="AD10" s="7">
        <f t="shared" si="0"/>
        <v>1.4929039455547077E-2</v>
      </c>
      <c r="AE10" s="7">
        <f t="shared" si="8"/>
        <v>0.328125</v>
      </c>
      <c r="AF10" s="7">
        <f t="shared" si="1"/>
        <v>-1.184307042355115E-3</v>
      </c>
      <c r="AG10" s="7">
        <f t="shared" si="2"/>
        <v>0.3203125</v>
      </c>
      <c r="AH10" s="7">
        <f t="shared" si="3"/>
        <v>6.8664773002333201E-3</v>
      </c>
      <c r="AI10" s="7">
        <f t="shared" si="4"/>
        <v>1.0250991053580161E-4</v>
      </c>
      <c r="AJ10" s="7">
        <f t="shared" si="5"/>
        <v>-8.1320174228378589E-6</v>
      </c>
      <c r="AK10" s="7">
        <f t="shared" si="6"/>
        <v>1.5625E-2</v>
      </c>
    </row>
    <row r="11" spans="2:37" x14ac:dyDescent="0.2">
      <c r="B11" s="22" t="s">
        <v>6</v>
      </c>
      <c r="C11" s="23"/>
      <c r="D11" s="23"/>
      <c r="F11" s="3" t="s">
        <v>97</v>
      </c>
      <c r="G11" s="1">
        <f>$C$20</f>
        <v>50</v>
      </c>
      <c r="H11" t="s">
        <v>16</v>
      </c>
      <c r="J11" t="s">
        <v>93</v>
      </c>
      <c r="K11">
        <f xml:space="preserve"> (G6*G8 + G18*G19 + G23*G24 + G34*G35 + G40*G42)/3600</f>
        <v>26.614721487927063</v>
      </c>
      <c r="L11" t="s">
        <v>94</v>
      </c>
      <c r="N11" t="s">
        <v>128</v>
      </c>
      <c r="O11">
        <f>O7+O10^2/(PI()*O9*$C$22)</f>
        <v>2.4789451808912309E-2</v>
      </c>
      <c r="R11" t="s">
        <v>59</v>
      </c>
      <c r="S11">
        <f xml:space="preserve"> S7 + S10^2 / ( PI() * S9 * $C$22 )</f>
        <v>2.4812310289095172E-2</v>
      </c>
      <c r="V11" t="s">
        <v>128</v>
      </c>
      <c r="W11">
        <f xml:space="preserve"> W7 + W10^2 / (PI() * W9 * $C$22)</f>
        <v>2.480408123622934E-2</v>
      </c>
      <c r="AB11" s="7">
        <v>7</v>
      </c>
      <c r="AC11" s="7">
        <f t="shared" si="7"/>
        <v>0.3203125</v>
      </c>
      <c r="AD11" s="7">
        <f t="shared" si="0"/>
        <v>6.8664773002333201E-3</v>
      </c>
      <c r="AE11" s="7">
        <f t="shared" si="8"/>
        <v>0.328125</v>
      </c>
      <c r="AF11" s="7">
        <f t="shared" si="1"/>
        <v>-1.184307042355115E-3</v>
      </c>
      <c r="AG11" s="7">
        <f t="shared" si="2"/>
        <v>0.32421875</v>
      </c>
      <c r="AH11" s="7">
        <f t="shared" si="3"/>
        <v>2.83966533302632E-3</v>
      </c>
      <c r="AI11" s="7">
        <f t="shared" si="4"/>
        <v>1.9498497549484718E-5</v>
      </c>
      <c r="AJ11" s="7">
        <f t="shared" si="5"/>
        <v>-3.3630356518347536E-6</v>
      </c>
      <c r="AK11" s="7">
        <f t="shared" si="6"/>
        <v>7.8125E-3</v>
      </c>
    </row>
    <row r="12" spans="2:37" x14ac:dyDescent="0.2">
      <c r="B12" t="s">
        <v>7</v>
      </c>
      <c r="C12" s="1">
        <v>250</v>
      </c>
      <c r="D12" t="s">
        <v>8</v>
      </c>
      <c r="F12" t="s">
        <v>98</v>
      </c>
      <c r="G12" s="1">
        <v>2.54</v>
      </c>
      <c r="H12" t="s">
        <v>16</v>
      </c>
      <c r="J12" t="s">
        <v>35</v>
      </c>
      <c r="K12">
        <f xml:space="preserve"> (G8 + G19 + G24 + G35 +G42)/60</f>
        <v>34.67079771753523</v>
      </c>
      <c r="L12" t="s">
        <v>96</v>
      </c>
      <c r="N12" t="s">
        <v>129</v>
      </c>
      <c r="O12">
        <f>O5*O11*$C$21</f>
        <v>614.933338934831</v>
      </c>
      <c r="P12" t="s">
        <v>31</v>
      </c>
      <c r="R12" t="s">
        <v>60</v>
      </c>
      <c r="S12">
        <f xml:space="preserve"> S5 * S11 * $C$21</f>
        <v>615.50037210886705</v>
      </c>
      <c r="T12" t="s">
        <v>31</v>
      </c>
      <c r="V12" t="s">
        <v>129</v>
      </c>
      <c r="W12">
        <f xml:space="preserve"> W5 * $C$21 * W11</f>
        <v>615.29624016621403</v>
      </c>
      <c r="X12" t="s">
        <v>31</v>
      </c>
      <c r="AB12" s="7">
        <v>8</v>
      </c>
      <c r="AC12" s="7">
        <f t="shared" si="7"/>
        <v>0.32421875</v>
      </c>
      <c r="AD12" s="7">
        <f t="shared" si="0"/>
        <v>2.83966533302632E-3</v>
      </c>
      <c r="AE12" s="7">
        <f t="shared" si="8"/>
        <v>0.328125</v>
      </c>
      <c r="AF12" s="7">
        <f t="shared" si="1"/>
        <v>-1.184307042355115E-3</v>
      </c>
      <c r="AG12" s="7">
        <f t="shared" si="2"/>
        <v>0.326171875</v>
      </c>
      <c r="AH12" s="7">
        <f t="shared" si="3"/>
        <v>8.2733048050281921E-4</v>
      </c>
      <c r="AI12" s="7">
        <f t="shared" si="4"/>
        <v>2.3493416844398635E-6</v>
      </c>
      <c r="AJ12" s="7">
        <f t="shared" si="5"/>
        <v>-9.7981331441453002E-7</v>
      </c>
      <c r="AK12" s="7">
        <f t="shared" si="6"/>
        <v>3.90625E-3</v>
      </c>
    </row>
    <row r="13" spans="2:37" x14ac:dyDescent="0.2">
      <c r="B13" t="s">
        <v>9</v>
      </c>
      <c r="C13" s="1">
        <v>0.85</v>
      </c>
      <c r="F13" t="s">
        <v>99</v>
      </c>
      <c r="G13" s="1">
        <v>304.8</v>
      </c>
      <c r="H13" t="s">
        <v>14</v>
      </c>
      <c r="N13" t="s">
        <v>76</v>
      </c>
      <c r="O13">
        <f>O4/O12</f>
        <v>16.564396476654391</v>
      </c>
      <c r="R13" t="s">
        <v>76</v>
      </c>
      <c r="S13">
        <f>S10/S11</f>
        <v>16.570531533814432</v>
      </c>
      <c r="V13" t="s">
        <v>76</v>
      </c>
      <c r="W13">
        <f>W4/W12</f>
        <v>16.568327400741545</v>
      </c>
      <c r="AB13" s="7">
        <v>9</v>
      </c>
      <c r="AC13" s="7">
        <f t="shared" si="7"/>
        <v>0.326171875</v>
      </c>
      <c r="AD13" s="7">
        <f t="shared" si="0"/>
        <v>8.2733048050281921E-4</v>
      </c>
      <c r="AE13" s="7">
        <f t="shared" si="8"/>
        <v>0.328125</v>
      </c>
      <c r="AF13" s="7">
        <f t="shared" si="1"/>
        <v>-1.184307042355115E-3</v>
      </c>
      <c r="AG13" s="7">
        <f t="shared" si="2"/>
        <v>0.3271484375</v>
      </c>
      <c r="AH13" s="7">
        <f t="shared" si="3"/>
        <v>-1.7857467773357838E-4</v>
      </c>
      <c r="AI13" s="7">
        <f t="shared" si="4"/>
        <v>-1.4774027393495749E-7</v>
      </c>
      <c r="AJ13" s="7">
        <f t="shared" si="5"/>
        <v>2.1148724842617202E-7</v>
      </c>
      <c r="AK13" s="7">
        <f t="shared" si="6"/>
        <v>1.953125E-3</v>
      </c>
    </row>
    <row r="14" spans="2:37" x14ac:dyDescent="0.2">
      <c r="B14" t="s">
        <v>10</v>
      </c>
      <c r="C14" s="1">
        <v>0.8</v>
      </c>
      <c r="F14" t="s">
        <v>101</v>
      </c>
      <c r="G14">
        <f>SQRT($G$11^2-$G$12^2)</f>
        <v>49.935442323063484</v>
      </c>
      <c r="H14" t="s">
        <v>16</v>
      </c>
      <c r="AB14" s="7">
        <v>10</v>
      </c>
      <c r="AC14" s="7">
        <f t="shared" si="7"/>
        <v>0.326171875</v>
      </c>
      <c r="AD14" s="7">
        <f t="shared" si="0"/>
        <v>8.2733048050281921E-4</v>
      </c>
      <c r="AE14" s="7">
        <f t="shared" si="8"/>
        <v>0.3271484375</v>
      </c>
      <c r="AF14" s="7">
        <f t="shared" si="1"/>
        <v>-1.7857467773357838E-4</v>
      </c>
      <c r="AG14" s="7">
        <f t="shared" si="2"/>
        <v>0.32666015625</v>
      </c>
      <c r="AH14" s="7">
        <f t="shared" si="3"/>
        <v>3.2435620671350529E-4</v>
      </c>
      <c r="AI14" s="7">
        <f t="shared" si="4"/>
        <v>2.683497763543561E-7</v>
      </c>
      <c r="AJ14" s="7">
        <f t="shared" si="5"/>
        <v>-5.7921805084750141E-8</v>
      </c>
      <c r="AK14" s="7">
        <f t="shared" si="6"/>
        <v>9.765625E-4</v>
      </c>
    </row>
    <row r="15" spans="2:37" x14ac:dyDescent="0.2">
      <c r="F15" t="s">
        <v>102</v>
      </c>
      <c r="G15">
        <f>$G$14 * ($G$13/$G$12)</f>
        <v>5992.2530787676178</v>
      </c>
      <c r="H15" t="s">
        <v>14</v>
      </c>
      <c r="J15" t="s">
        <v>138</v>
      </c>
      <c r="K15" s="1">
        <v>1</v>
      </c>
      <c r="N15" s="25" t="s">
        <v>130</v>
      </c>
      <c r="O15" s="29"/>
      <c r="P15" s="29"/>
      <c r="R15" s="25" t="s">
        <v>131</v>
      </c>
      <c r="S15" s="29"/>
      <c r="T15" s="29"/>
      <c r="V15" s="25" t="s">
        <v>132</v>
      </c>
      <c r="W15" s="29"/>
      <c r="X15" s="29"/>
      <c r="AB15" s="7">
        <v>11</v>
      </c>
      <c r="AC15" s="7">
        <f t="shared" si="7"/>
        <v>0.32666015625</v>
      </c>
      <c r="AD15" s="7">
        <f t="shared" si="0"/>
        <v>3.2435620671350529E-4</v>
      </c>
      <c r="AE15" s="7">
        <f t="shared" si="8"/>
        <v>0.3271484375</v>
      </c>
      <c r="AF15" s="7">
        <f t="shared" si="1"/>
        <v>-1.7857467773357838E-4</v>
      </c>
      <c r="AG15" s="7">
        <f t="shared" si="2"/>
        <v>0.326904296875</v>
      </c>
      <c r="AH15" s="7">
        <f t="shared" si="3"/>
        <v>7.2885352799589853E-5</v>
      </c>
      <c r="AI15" s="7">
        <f t="shared" si="4"/>
        <v>2.3640816559050527E-8</v>
      </c>
      <c r="AJ15" s="7">
        <f t="shared" si="5"/>
        <v>-1.3015478387684923E-8</v>
      </c>
      <c r="AK15" s="7">
        <f t="shared" si="6"/>
        <v>4.8828125E-4</v>
      </c>
    </row>
    <row r="16" spans="2:37" x14ac:dyDescent="0.2">
      <c r="B16" s="24" t="s">
        <v>11</v>
      </c>
      <c r="C16" s="24"/>
      <c r="D16" s="24"/>
      <c r="F16" t="s">
        <v>103</v>
      </c>
      <c r="G16">
        <f>ATAN(G12/G14)/PI()*180</f>
        <v>2.9118789347687013</v>
      </c>
      <c r="H16" t="s">
        <v>62</v>
      </c>
      <c r="K16" s="1">
        <v>1</v>
      </c>
      <c r="N16" t="s">
        <v>41</v>
      </c>
      <c r="O16">
        <f xml:space="preserve"> 90 - $C$32</f>
        <v>85</v>
      </c>
      <c r="P16" t="s">
        <v>62</v>
      </c>
      <c r="R16" t="s">
        <v>41</v>
      </c>
      <c r="S16">
        <f xml:space="preserve"> 90 - $C$32</f>
        <v>85</v>
      </c>
      <c r="T16" t="s">
        <v>62</v>
      </c>
      <c r="V16" t="s">
        <v>41</v>
      </c>
      <c r="W16">
        <f xml:space="preserve"> 90 - $C$32</f>
        <v>85</v>
      </c>
      <c r="X16" t="s">
        <v>62</v>
      </c>
      <c r="AB16" s="7">
        <v>12</v>
      </c>
      <c r="AC16" s="7">
        <f t="shared" si="7"/>
        <v>0.326904296875</v>
      </c>
      <c r="AD16" s="7">
        <f t="shared" si="0"/>
        <v>7.2885352799589853E-5</v>
      </c>
      <c r="AE16" s="7">
        <f t="shared" si="8"/>
        <v>0.3271484375</v>
      </c>
      <c r="AF16" s="7">
        <f t="shared" si="1"/>
        <v>-1.7857467773357838E-4</v>
      </c>
      <c r="AG16" s="7">
        <f t="shared" si="2"/>
        <v>0.3270263671875</v>
      </c>
      <c r="AH16" s="7">
        <f t="shared" si="3"/>
        <v>-5.2846013896268307E-5</v>
      </c>
      <c r="AI16" s="7">
        <f t="shared" si="4"/>
        <v>-3.8517003668815436E-9</v>
      </c>
      <c r="AJ16" s="7">
        <f t="shared" si="5"/>
        <v>9.4369599010303172E-9</v>
      </c>
      <c r="AK16" s="7">
        <f t="shared" si="6"/>
        <v>2.44140625E-4</v>
      </c>
    </row>
    <row r="17" spans="2:37" x14ac:dyDescent="0.2">
      <c r="B17" s="2" t="s">
        <v>54</v>
      </c>
      <c r="C17" s="2">
        <v>1040.0257300000001</v>
      </c>
      <c r="D17" s="2" t="s">
        <v>12</v>
      </c>
      <c r="F17" t="s">
        <v>133</v>
      </c>
      <c r="G17">
        <f xml:space="preserve"> 1/1000 * (O22 + O17 * (O27 * O24 + $G$11 * SIN(O16/180*PI())))</f>
        <v>63.027105144521556</v>
      </c>
      <c r="H17" t="s">
        <v>91</v>
      </c>
      <c r="K17" s="1">
        <v>50</v>
      </c>
      <c r="N17" t="s">
        <v>30</v>
      </c>
      <c r="O17">
        <f>(O12+$C$17*$C$31*SIN(G16/180*PI()))/$C$6</f>
        <v>1133.0510898501398</v>
      </c>
      <c r="P17" t="s">
        <v>31</v>
      </c>
      <c r="R17" t="s">
        <v>30</v>
      </c>
      <c r="S17">
        <f xml:space="preserve"> S12 / $C$6</f>
        <v>615.50037210886705</v>
      </c>
      <c r="T17" t="s">
        <v>31</v>
      </c>
      <c r="V17" t="s">
        <v>30</v>
      </c>
      <c r="W17">
        <f>(W12-$C$17*$C$31*SIN(G32/180*PI()))/$C$6</f>
        <v>304.42558961702883</v>
      </c>
      <c r="X17" t="s">
        <v>31</v>
      </c>
      <c r="AB17" s="7">
        <v>13</v>
      </c>
      <c r="AC17" s="7">
        <f t="shared" si="7"/>
        <v>0.326904296875</v>
      </c>
      <c r="AD17" s="7">
        <f t="shared" si="0"/>
        <v>7.2885352799589853E-5</v>
      </c>
      <c r="AE17" s="7">
        <f t="shared" si="8"/>
        <v>0.3270263671875</v>
      </c>
      <c r="AF17" s="7">
        <f t="shared" si="1"/>
        <v>-5.2846013896268307E-5</v>
      </c>
      <c r="AG17" s="7">
        <f t="shared" si="2"/>
        <v>0.32696533203125</v>
      </c>
      <c r="AH17" s="7">
        <f t="shared" si="3"/>
        <v>1.0019331407873366E-5</v>
      </c>
      <c r="AI17" s="7">
        <f t="shared" si="4"/>
        <v>7.3026250447886165E-10</v>
      </c>
      <c r="AJ17" s="7">
        <f t="shared" si="5"/>
        <v>-5.2948172681179339E-10</v>
      </c>
      <c r="AK17" s="7">
        <f t="shared" si="6"/>
        <v>1.220703125E-4</v>
      </c>
    </row>
    <row r="18" spans="2:37" x14ac:dyDescent="0.2">
      <c r="B18" t="s">
        <v>134</v>
      </c>
      <c r="C18" s="1">
        <v>1</v>
      </c>
      <c r="D18" t="s">
        <v>14</v>
      </c>
      <c r="F18" t="s">
        <v>105</v>
      </c>
      <c r="G18">
        <f>$C$6*G17</f>
        <v>63.027105144521556</v>
      </c>
      <c r="H18" t="s">
        <v>91</v>
      </c>
      <c r="K18" s="1">
        <v>16.2</v>
      </c>
      <c r="N18" t="s">
        <v>42</v>
      </c>
      <c r="O18">
        <f xml:space="preserve"> PI() * $G$11 / ($C$19 * $C$23)</f>
        <v>157.07963267948966</v>
      </c>
      <c r="P18" t="s">
        <v>43</v>
      </c>
      <c r="R18" t="s">
        <v>42</v>
      </c>
      <c r="S18">
        <f xml:space="preserve"> PI() * $C$20 / ($C$19 * $C$23)</f>
        <v>157.07963267948966</v>
      </c>
      <c r="T18" t="s">
        <v>43</v>
      </c>
      <c r="V18" t="s">
        <v>42</v>
      </c>
      <c r="W18">
        <f xml:space="preserve"> PI() * $G$27 / ($C$19 * $C$23)</f>
        <v>157.07963267948966</v>
      </c>
      <c r="X18" t="s">
        <v>43</v>
      </c>
      <c r="AB18" s="7">
        <v>14</v>
      </c>
      <c r="AC18" s="7">
        <f t="shared" si="7"/>
        <v>0.32696533203125</v>
      </c>
      <c r="AD18" s="7">
        <f t="shared" si="0"/>
        <v>1.0019331407873366E-5</v>
      </c>
      <c r="AE18" s="7">
        <f t="shared" si="8"/>
        <v>0.3270263671875</v>
      </c>
      <c r="AF18" s="7">
        <f t="shared" si="1"/>
        <v>-5.2846013896268307E-5</v>
      </c>
      <c r="AG18" s="7">
        <f t="shared" si="2"/>
        <v>0.326995849609375</v>
      </c>
      <c r="AH18" s="7">
        <f t="shared" si="3"/>
        <v>-2.1413425731808822E-5</v>
      </c>
      <c r="AI18" s="7">
        <f t="shared" si="4"/>
        <v>-2.1454820898487585E-10</v>
      </c>
      <c r="AJ18" s="7">
        <f t="shared" si="5"/>
        <v>1.1316141937898784E-9</v>
      </c>
      <c r="AK18" s="7">
        <f t="shared" si="6"/>
        <v>6.103515625E-5</v>
      </c>
    </row>
    <row r="19" spans="2:37" x14ac:dyDescent="0.2">
      <c r="B19" t="s">
        <v>135</v>
      </c>
      <c r="C19" s="1">
        <v>1</v>
      </c>
      <c r="D19" t="s">
        <v>14</v>
      </c>
      <c r="F19" t="s">
        <v>106</v>
      </c>
      <c r="G19">
        <f>$G$13/$G$12</f>
        <v>120</v>
      </c>
      <c r="H19" t="s">
        <v>22</v>
      </c>
      <c r="K19" s="1">
        <v>7.32</v>
      </c>
      <c r="N19" t="s">
        <v>44</v>
      </c>
      <c r="O19">
        <f xml:space="preserve"> $G$11 * COS(O16/180*PI()) / (O18 * $C$19)</f>
        <v>2.7742534554270868E-2</v>
      </c>
      <c r="R19" t="s">
        <v>44</v>
      </c>
      <c r="S19">
        <f xml:space="preserve"> $C$20 * COS(S16/180*PI()) / (S18 * $C$19)</f>
        <v>2.7742534554270868E-2</v>
      </c>
      <c r="V19" t="s">
        <v>44</v>
      </c>
      <c r="W19">
        <f xml:space="preserve"> $G$27 * COS(W16/180*PI()) / (W18 * $C$19)</f>
        <v>2.7742534554270868E-2</v>
      </c>
      <c r="AB19" s="7">
        <v>15</v>
      </c>
      <c r="AC19" s="7">
        <f t="shared" si="7"/>
        <v>0.32696533203125</v>
      </c>
      <c r="AD19" s="7">
        <f t="shared" si="0"/>
        <v>1.0019331407873366E-5</v>
      </c>
      <c r="AE19" s="7">
        <f t="shared" si="8"/>
        <v>0.326995849609375</v>
      </c>
      <c r="AF19" s="7">
        <f t="shared" si="1"/>
        <v>-2.1413425731808822E-5</v>
      </c>
      <c r="AG19" s="7">
        <f t="shared" si="2"/>
        <v>0.3269805908203125</v>
      </c>
      <c r="AH19" s="7">
        <f t="shared" si="3"/>
        <v>-5.6970682867918399E-6</v>
      </c>
      <c r="AI19" s="7">
        <f t="shared" si="4"/>
        <v>-5.7080815218652791E-11</v>
      </c>
      <c r="AJ19" s="7">
        <f t="shared" si="5"/>
        <v>1.2199374864826039E-10</v>
      </c>
      <c r="AK19" s="7">
        <f t="shared" si="6"/>
        <v>3.0517578125E-5</v>
      </c>
    </row>
    <row r="20" spans="2:37" x14ac:dyDescent="0.2">
      <c r="B20" t="s">
        <v>15</v>
      </c>
      <c r="C20" s="1">
        <v>50</v>
      </c>
      <c r="D20" t="s">
        <v>16</v>
      </c>
      <c r="K20" s="1">
        <v>1</v>
      </c>
      <c r="N20" t="s">
        <v>45</v>
      </c>
      <c r="O20">
        <f xml:space="preserve"> O17 / ( $C$30 * PI() * $C$19^2 * O18^2 * $C$19^2)</f>
        <v>1.1932289384122772E-2</v>
      </c>
      <c r="R20" t="s">
        <v>45</v>
      </c>
      <c r="S20">
        <f xml:space="preserve"> S17 / ( $C$30 * PI() * $C$19^2 * S18^2 * $C$19^2)</f>
        <v>6.4819041452134603E-3</v>
      </c>
      <c r="V20" t="s">
        <v>45</v>
      </c>
      <c r="W20">
        <f xml:space="preserve"> W17 / ( $C$30 * PI() * $C$19^2 * W18^2 * $C$19^2)</f>
        <v>3.2059403708998078E-3</v>
      </c>
      <c r="AB20" s="7">
        <v>16</v>
      </c>
      <c r="AC20" s="7">
        <f t="shared" si="7"/>
        <v>0.32696533203125</v>
      </c>
      <c r="AD20" s="7">
        <f t="shared" si="0"/>
        <v>1.0019331407873366E-5</v>
      </c>
      <c r="AE20" s="7">
        <f t="shared" si="8"/>
        <v>0.3269805908203125</v>
      </c>
      <c r="AF20" s="7">
        <f t="shared" si="1"/>
        <v>-5.6970682867918399E-6</v>
      </c>
      <c r="AG20" s="7">
        <f t="shared" si="2"/>
        <v>0.32697296142578125</v>
      </c>
      <c r="AH20" s="7">
        <f t="shared" si="3"/>
        <v>2.1611262789877905E-6</v>
      </c>
      <c r="AI20" s="7">
        <f t="shared" si="4"/>
        <v>2.1653040403442869E-11</v>
      </c>
      <c r="AJ20" s="7">
        <f t="shared" si="5"/>
        <v>-1.2312083987773796E-11</v>
      </c>
      <c r="AK20" s="7">
        <f t="shared" si="6"/>
        <v>1.52587890625E-5</v>
      </c>
    </row>
    <row r="21" spans="2:37" x14ac:dyDescent="0.2">
      <c r="B21" t="s">
        <v>17</v>
      </c>
      <c r="C21" s="1">
        <v>16.2</v>
      </c>
      <c r="D21" t="s">
        <v>18</v>
      </c>
      <c r="F21" s="25" t="s">
        <v>108</v>
      </c>
      <c r="G21" s="26"/>
      <c r="H21" s="26"/>
      <c r="N21" t="s">
        <v>4</v>
      </c>
      <c r="O21" s="1">
        <v>1.2E-2</v>
      </c>
      <c r="R21" t="s">
        <v>4</v>
      </c>
      <c r="S21" s="1">
        <v>1.2E-2</v>
      </c>
      <c r="V21" t="s">
        <v>4</v>
      </c>
      <c r="W21" s="1">
        <v>1.2E-2</v>
      </c>
      <c r="AB21" s="7">
        <v>17</v>
      </c>
      <c r="AC21" s="7">
        <f t="shared" si="7"/>
        <v>0.32697296142578125</v>
      </c>
      <c r="AD21" s="7">
        <f t="shared" si="0"/>
        <v>2.1611262789877905E-6</v>
      </c>
      <c r="AE21" s="7">
        <f t="shared" si="8"/>
        <v>0.3269805908203125</v>
      </c>
      <c r="AF21" s="7">
        <f t="shared" si="1"/>
        <v>-5.6970682867918399E-6</v>
      </c>
      <c r="AG21" s="7">
        <f t="shared" si="2"/>
        <v>0.32697677612304688</v>
      </c>
      <c r="AH21" s="7">
        <f t="shared" si="3"/>
        <v>-1.7679723242625123E-6</v>
      </c>
      <c r="AI21" s="7">
        <f t="shared" si="4"/>
        <v>-3.8208114504868388E-12</v>
      </c>
      <c r="AJ21" s="7">
        <f t="shared" si="5"/>
        <v>1.0072259060481618E-11</v>
      </c>
      <c r="AK21" s="7">
        <f t="shared" si="6"/>
        <v>7.62939453125E-6</v>
      </c>
    </row>
    <row r="22" spans="2:37" x14ac:dyDescent="0.2">
      <c r="B22" t="s">
        <v>5</v>
      </c>
      <c r="C22" s="1">
        <v>7.32</v>
      </c>
      <c r="F22" s="3" t="s">
        <v>136</v>
      </c>
      <c r="G22">
        <f xml:space="preserve"> 1/1000 * (S22 + S17 * (S27 * S24 + $C$20 * SIN(S16/180*PI())))</f>
        <v>34.675006674282258</v>
      </c>
      <c r="H22" t="s">
        <v>91</v>
      </c>
      <c r="J22" t="s">
        <v>139</v>
      </c>
      <c r="K22" s="1">
        <v>1.75</v>
      </c>
      <c r="N22" t="s">
        <v>46</v>
      </c>
      <c r="O22">
        <f xml:space="preserve"> ($C$8 * $O$21 / 8) * (1 + 4.65 * O19^2) * ( PI() * $C$30 * O18^3 * $C$19^ 5)</f>
        <v>2918.983971136362</v>
      </c>
      <c r="P22" t="s">
        <v>29</v>
      </c>
      <c r="R22" t="s">
        <v>46</v>
      </c>
      <c r="S22">
        <f xml:space="preserve"> ($C$8 * $S$21 / 8) * (1 + 4.65 * S19^2) * ( PI() * $C$30 * S18^3 * $C$19^5)</f>
        <v>2918.983971136362</v>
      </c>
      <c r="T22" t="s">
        <v>29</v>
      </c>
      <c r="V22" t="s">
        <v>46</v>
      </c>
      <c r="W22">
        <f xml:space="preserve"> ($C$8 * $W$21 / 8) * (1 + 4.65 * W19^2) * ( PI() * $C$30 * W18^3 * $C$19^ 5)</f>
        <v>2918.983971136362</v>
      </c>
      <c r="X22" t="s">
        <v>29</v>
      </c>
      <c r="AB22" s="7">
        <v>18</v>
      </c>
      <c r="AC22" s="7">
        <f t="shared" si="7"/>
        <v>0.32697296142578125</v>
      </c>
      <c r="AD22" s="7">
        <f t="shared" si="0"/>
        <v>2.1611262789877905E-6</v>
      </c>
      <c r="AE22" s="7">
        <f t="shared" si="8"/>
        <v>0.32697677612304688</v>
      </c>
      <c r="AF22" s="7">
        <f t="shared" si="1"/>
        <v>-1.7679723242625123E-6</v>
      </c>
      <c r="AG22" s="7">
        <f t="shared" si="2"/>
        <v>0.32697486877441406</v>
      </c>
      <c r="AH22" s="7">
        <f t="shared" si="3"/>
        <v>1.9657664723782275E-7</v>
      </c>
      <c r="AI22" s="7">
        <f t="shared" si="4"/>
        <v>4.2482695818097143E-13</v>
      </c>
      <c r="AJ22" s="7">
        <f t="shared" si="5"/>
        <v>-3.4754207191278544E-13</v>
      </c>
      <c r="AK22" s="7">
        <f t="shared" si="6"/>
        <v>3.814697265625E-6</v>
      </c>
    </row>
    <row r="23" spans="2:37" x14ac:dyDescent="0.2">
      <c r="B23" t="s">
        <v>19</v>
      </c>
      <c r="C23" s="1">
        <v>1</v>
      </c>
      <c r="F23" s="3" t="s">
        <v>137</v>
      </c>
      <c r="G23">
        <f xml:space="preserve"> $C$6 * G22</f>
        <v>34.675006674282258</v>
      </c>
      <c r="H23" t="s">
        <v>91</v>
      </c>
      <c r="K23" s="1">
        <v>0.87</v>
      </c>
      <c r="N23" t="s">
        <v>47</v>
      </c>
      <c r="O23" s="4">
        <f>AG69</f>
        <v>0.33485489012673497</v>
      </c>
      <c r="R23" t="s">
        <v>47</v>
      </c>
      <c r="S23" s="4">
        <f>AG34</f>
        <v>0.32697505922988057</v>
      </c>
      <c r="V23" t="s">
        <v>47</v>
      </c>
      <c r="W23" s="4">
        <f>AG104</f>
        <v>0.32205753540620208</v>
      </c>
      <c r="AB23" s="7">
        <v>19</v>
      </c>
      <c r="AC23" s="7">
        <f t="shared" si="7"/>
        <v>0.32697486877441406</v>
      </c>
      <c r="AD23" s="7">
        <f t="shared" si="0"/>
        <v>1.9657664723782275E-7</v>
      </c>
      <c r="AE23" s="7">
        <f t="shared" si="8"/>
        <v>0.32697677612304688</v>
      </c>
      <c r="AF23" s="7">
        <f t="shared" si="1"/>
        <v>-1.7679723242625123E-6</v>
      </c>
      <c r="AG23" s="7">
        <f t="shared" si="2"/>
        <v>0.32697582244873047</v>
      </c>
      <c r="AH23" s="7">
        <f t="shared" si="3"/>
        <v>-7.8569792100191549E-7</v>
      </c>
      <c r="AI23" s="7">
        <f t="shared" si="4"/>
        <v>-1.5444986305228428E-13</v>
      </c>
      <c r="AJ23" s="7">
        <f t="shared" si="5"/>
        <v>1.3890921795619804E-12</v>
      </c>
      <c r="AK23" s="7">
        <f t="shared" si="6"/>
        <v>1.9073486328125E-6</v>
      </c>
    </row>
    <row r="24" spans="2:37" x14ac:dyDescent="0.2">
      <c r="F24" s="3" t="s">
        <v>110</v>
      </c>
      <c r="G24">
        <f xml:space="preserve"> ($C$27-G15-G31)/$C$20</f>
        <v>1600.2478630521136</v>
      </c>
      <c r="H24" t="s">
        <v>22</v>
      </c>
      <c r="K24" s="1">
        <v>40</v>
      </c>
      <c r="N24" t="s">
        <v>48</v>
      </c>
      <c r="O24">
        <f xml:space="preserve"> O18 * $C$19 * O23 - $G$11 * SIN(O16/180*PI())</f>
        <v>2.7891482374511156</v>
      </c>
      <c r="P24" t="s">
        <v>16</v>
      </c>
      <c r="R24" t="s">
        <v>48</v>
      </c>
      <c r="S24">
        <f xml:space="preserve"> S18 * $C$19 * S23 - $C$20 * SIN(S16/180*PI())</f>
        <v>1.5513872945967364</v>
      </c>
      <c r="T24" t="s">
        <v>16</v>
      </c>
      <c r="V24" t="s">
        <v>48</v>
      </c>
      <c r="W24">
        <f xml:space="preserve"> W18 * $C$19 * W23 - $G$27 * SIN(W16/180*PI())</f>
        <v>0.77894445868067663</v>
      </c>
      <c r="X24" t="s">
        <v>16</v>
      </c>
      <c r="AB24" s="7">
        <v>20</v>
      </c>
      <c r="AC24" s="7">
        <f t="shared" si="7"/>
        <v>0.32697486877441406</v>
      </c>
      <c r="AD24" s="7">
        <f t="shared" si="0"/>
        <v>1.9657664723782275E-7</v>
      </c>
      <c r="AE24" s="7">
        <f t="shared" si="8"/>
        <v>0.32697582244873047</v>
      </c>
      <c r="AF24" s="7">
        <f t="shared" si="1"/>
        <v>-7.8569792100191549E-7</v>
      </c>
      <c r="AG24" s="7">
        <f t="shared" si="2"/>
        <v>0.32697534561157227</v>
      </c>
      <c r="AH24" s="7">
        <f t="shared" si="3"/>
        <v>-2.9456065753219463E-7</v>
      </c>
      <c r="AI24" s="7">
        <f t="shared" si="4"/>
        <v>-5.7903746465847336E-14</v>
      </c>
      <c r="AJ24" s="7">
        <f t="shared" si="5"/>
        <v>2.3143569623200254E-13</v>
      </c>
      <c r="AK24" s="7">
        <f t="shared" si="6"/>
        <v>9.5367431640625E-7</v>
      </c>
    </row>
    <row r="25" spans="2:37" x14ac:dyDescent="0.2">
      <c r="B25" s="20" t="s">
        <v>20</v>
      </c>
      <c r="C25" s="20"/>
      <c r="D25" s="20"/>
      <c r="F25" s="3"/>
      <c r="K25" s="1">
        <v>20</v>
      </c>
      <c r="N25" t="s">
        <v>49</v>
      </c>
      <c r="O25">
        <f xml:space="preserve"> 1/$C$9 - O22 * SQRT( (2*$C$30*PI()*$C$19^2) / O17^3 )</f>
        <v>1.1210013338583951</v>
      </c>
      <c r="R25" t="s">
        <v>49</v>
      </c>
      <c r="S25">
        <f xml:space="preserve"> 1/$C$9 - S22 * SQRT( (2*$C$30*PI()*$C$19^2) / S17^3 )</f>
        <v>0.80300209541960932</v>
      </c>
      <c r="V25" t="s">
        <v>49</v>
      </c>
      <c r="W25">
        <f xml:space="preserve"> 1/$C$9 - W22 * SQRT( (2*$C$30*PI()*$C$19^2) / W17^3 )</f>
        <v>-0.19130893211133038</v>
      </c>
      <c r="AB25" s="7">
        <v>21</v>
      </c>
      <c r="AC25" s="7">
        <f t="shared" si="7"/>
        <v>0.32697486877441406</v>
      </c>
      <c r="AD25" s="7">
        <f t="shared" si="0"/>
        <v>1.9657664723782275E-7</v>
      </c>
      <c r="AE25" s="7">
        <f t="shared" si="8"/>
        <v>0.32697534561157227</v>
      </c>
      <c r="AF25" s="7">
        <f t="shared" si="1"/>
        <v>-2.9456065753219463E-7</v>
      </c>
      <c r="AG25" s="7">
        <f t="shared" si="2"/>
        <v>0.32697510719299316</v>
      </c>
      <c r="AH25" s="7">
        <f t="shared" si="3"/>
        <v>-4.8992010281967424E-8</v>
      </c>
      <c r="AI25" s="7">
        <f t="shared" si="4"/>
        <v>-9.6306851226700958E-15</v>
      </c>
      <c r="AJ25" s="7">
        <f t="shared" si="5"/>
        <v>1.4431118762480364E-14</v>
      </c>
      <c r="AK25" s="7">
        <f t="shared" si="6"/>
        <v>4.76837158203125E-7</v>
      </c>
    </row>
    <row r="26" spans="2:37" x14ac:dyDescent="0.2">
      <c r="B26" t="s">
        <v>107</v>
      </c>
      <c r="C26" s="1">
        <v>400</v>
      </c>
      <c r="D26" t="s">
        <v>12</v>
      </c>
      <c r="F26" s="25" t="s">
        <v>111</v>
      </c>
      <c r="G26" s="26"/>
      <c r="H26" s="26"/>
      <c r="K26" s="1">
        <v>6</v>
      </c>
      <c r="N26" t="s">
        <v>50</v>
      </c>
      <c r="O26" s="1">
        <v>1.1499999999999999</v>
      </c>
      <c r="R26" t="s">
        <v>50</v>
      </c>
      <c r="S26" s="1">
        <v>1.1499999999999999</v>
      </c>
      <c r="V26" t="s">
        <v>50</v>
      </c>
      <c r="W26" s="1">
        <v>1.1499999999999999</v>
      </c>
      <c r="AB26" s="7">
        <v>22</v>
      </c>
      <c r="AC26" s="7">
        <f t="shared" si="7"/>
        <v>0.32697486877441406</v>
      </c>
      <c r="AD26" s="7">
        <f t="shared" si="0"/>
        <v>1.9657664723782275E-7</v>
      </c>
      <c r="AE26" s="7">
        <f t="shared" si="8"/>
        <v>0.32697510719299316</v>
      </c>
      <c r="AF26" s="7">
        <f t="shared" si="1"/>
        <v>-4.8992010281967424E-8</v>
      </c>
      <c r="AG26" s="7">
        <f t="shared" si="2"/>
        <v>0.32697498798370361</v>
      </c>
      <c r="AH26" s="7">
        <f t="shared" si="3"/>
        <v>7.3792317201171187E-8</v>
      </c>
      <c r="AI26" s="7">
        <f t="shared" si="4"/>
        <v>1.4505846307316148E-14</v>
      </c>
      <c r="AJ26" s="7">
        <f t="shared" si="5"/>
        <v>-3.6152339630499803E-15</v>
      </c>
      <c r="AK26" s="7">
        <f t="shared" si="6"/>
        <v>2.384185791015625E-7</v>
      </c>
    </row>
    <row r="27" spans="2:37" x14ac:dyDescent="0.2">
      <c r="B27" t="s">
        <v>21</v>
      </c>
      <c r="C27" s="1">
        <v>96000</v>
      </c>
      <c r="D27" t="s">
        <v>14</v>
      </c>
      <c r="F27" s="3" t="s">
        <v>97</v>
      </c>
      <c r="G27" s="1">
        <f>$C$20</f>
        <v>50</v>
      </c>
      <c r="H27" t="s">
        <v>16</v>
      </c>
      <c r="K27" s="1">
        <v>1.3</v>
      </c>
      <c r="N27" t="s">
        <v>51</v>
      </c>
      <c r="O27">
        <f xml:space="preserve"> 1/$C$36 * LN( EXP($C$36 * O25) + EXP($C$36 * O26) )</f>
        <v>1.1616643356097012</v>
      </c>
      <c r="R27" t="s">
        <v>51</v>
      </c>
      <c r="S27">
        <f xml:space="preserve"> 1/$C$36 * LN( EXP($C$36 * S25) + EXP($C$36 * S26) )</f>
        <v>1.150001004370496</v>
      </c>
      <c r="V27" t="s">
        <v>51</v>
      </c>
      <c r="W27">
        <f xml:space="preserve"> 1/$C$36 * LN( EXP($C$36 * W25) + EXP($C$36 * W26) )</f>
        <v>1.1499999999999999</v>
      </c>
      <c r="AB27" s="7">
        <v>23</v>
      </c>
      <c r="AC27" s="7">
        <f t="shared" si="7"/>
        <v>0.32697498798370361</v>
      </c>
      <c r="AD27" s="7">
        <f t="shared" si="0"/>
        <v>7.3792317201171187E-8</v>
      </c>
      <c r="AE27" s="7">
        <f t="shared" si="8"/>
        <v>0.32697510719299316</v>
      </c>
      <c r="AF27" s="7">
        <f t="shared" si="1"/>
        <v>-4.8992010281967424E-8</v>
      </c>
      <c r="AG27" s="7">
        <f t="shared" si="2"/>
        <v>0.32697504758834839</v>
      </c>
      <c r="AH27" s="7">
        <f t="shared" si="3"/>
        <v>1.2400153126534974E-8</v>
      </c>
      <c r="AI27" s="7">
        <f t="shared" si="4"/>
        <v>9.1503603285636348E-16</v>
      </c>
      <c r="AJ27" s="7">
        <f t="shared" si="5"/>
        <v>-6.0750842947317194E-16</v>
      </c>
      <c r="AK27" s="7">
        <f t="shared" si="6"/>
        <v>1.1920928955078125E-7</v>
      </c>
    </row>
    <row r="28" spans="2:37" x14ac:dyDescent="0.2">
      <c r="F28" t="s">
        <v>98</v>
      </c>
      <c r="G28" s="1">
        <v>1.524</v>
      </c>
      <c r="H28" t="s">
        <v>16</v>
      </c>
      <c r="AB28" s="7">
        <v>24</v>
      </c>
      <c r="AC28" s="7">
        <f t="shared" si="7"/>
        <v>0.32697504758834839</v>
      </c>
      <c r="AD28" s="7">
        <f t="shared" si="0"/>
        <v>1.2400153126534974E-8</v>
      </c>
      <c r="AE28" s="7">
        <f t="shared" si="8"/>
        <v>0.32697510719299316</v>
      </c>
      <c r="AF28" s="7">
        <f t="shared" si="1"/>
        <v>-4.8992010281967424E-8</v>
      </c>
      <c r="AG28" s="7">
        <f t="shared" si="2"/>
        <v>0.32697507739067078</v>
      </c>
      <c r="AH28" s="7">
        <f t="shared" si="3"/>
        <v>-1.8295928660982952E-8</v>
      </c>
      <c r="AI28" s="7">
        <f t="shared" si="4"/>
        <v>-2.2687231698834862E-16</v>
      </c>
      <c r="AJ28" s="7">
        <f t="shared" si="5"/>
        <v>8.9635432507701932E-16</v>
      </c>
      <c r="AK28" s="7">
        <f t="shared" si="6"/>
        <v>5.9604644775390625E-8</v>
      </c>
    </row>
    <row r="29" spans="2:37" x14ac:dyDescent="0.2">
      <c r="B29" s="13" t="s">
        <v>109</v>
      </c>
      <c r="C29" s="13"/>
      <c r="D29" s="13"/>
      <c r="F29" t="s">
        <v>99</v>
      </c>
      <c r="G29" s="1">
        <v>304.8</v>
      </c>
      <c r="H29" t="s">
        <v>14</v>
      </c>
      <c r="AB29" s="7">
        <v>25</v>
      </c>
      <c r="AC29" s="7">
        <f t="shared" si="7"/>
        <v>0.32697504758834839</v>
      </c>
      <c r="AD29" s="7">
        <f t="shared" si="0"/>
        <v>1.2400153126534974E-8</v>
      </c>
      <c r="AE29" s="7">
        <f t="shared" si="8"/>
        <v>0.32697507739067078</v>
      </c>
      <c r="AF29" s="7">
        <f t="shared" si="1"/>
        <v>-1.8295928660982952E-8</v>
      </c>
      <c r="AG29" s="7">
        <f t="shared" si="2"/>
        <v>0.32697506248950958</v>
      </c>
      <c r="AH29" s="7">
        <f t="shared" si="3"/>
        <v>-2.9478877672239889E-9</v>
      </c>
      <c r="AI29" s="7">
        <f t="shared" si="4"/>
        <v>-3.655425971341675E-17</v>
      </c>
      <c r="AJ29" s="7">
        <f t="shared" si="5"/>
        <v>5.393434428971442E-17</v>
      </c>
      <c r="AK29" s="7">
        <f t="shared" si="6"/>
        <v>2.9802322387695312E-8</v>
      </c>
    </row>
    <row r="30" spans="2:37" x14ac:dyDescent="0.2">
      <c r="B30" t="s">
        <v>23</v>
      </c>
      <c r="C30" s="1">
        <v>1.2250000000000001</v>
      </c>
      <c r="D30" t="s">
        <v>24</v>
      </c>
      <c r="F30" t="s">
        <v>101</v>
      </c>
      <c r="G30">
        <f>SQRT($G$27^2-$G$28^2)</f>
        <v>49.976768843133506</v>
      </c>
      <c r="H30" t="s">
        <v>16</v>
      </c>
      <c r="AB30" s="7">
        <v>26</v>
      </c>
      <c r="AC30" s="7">
        <f>IF(AI29&gt;0, AG29, AC29)</f>
        <v>0.32697504758834839</v>
      </c>
      <c r="AD30" s="7">
        <f t="shared" si="0"/>
        <v>1.2400153126534974E-8</v>
      </c>
      <c r="AE30" s="7">
        <f t="shared" si="8"/>
        <v>0.32697506248950958</v>
      </c>
      <c r="AF30" s="7">
        <f t="shared" si="1"/>
        <v>-2.9478877672239889E-9</v>
      </c>
      <c r="AG30" s="7">
        <f t="shared" si="2"/>
        <v>0.32697505503892899</v>
      </c>
      <c r="AH30" s="7">
        <f t="shared" si="3"/>
        <v>4.7261326518999169E-9</v>
      </c>
      <c r="AI30" s="7">
        <f t="shared" si="4"/>
        <v>5.8604768579875783E-17</v>
      </c>
      <c r="AJ30" s="7">
        <f t="shared" si="5"/>
        <v>-1.3932108630813636E-17</v>
      </c>
      <c r="AK30" s="7">
        <f t="shared" si="6"/>
        <v>1.4901161193847656E-8</v>
      </c>
    </row>
    <row r="31" spans="2:37" x14ac:dyDescent="0.2">
      <c r="B31" t="s">
        <v>25</v>
      </c>
      <c r="C31" s="1">
        <v>9.8066499999999994</v>
      </c>
      <c r="D31" t="s">
        <v>26</v>
      </c>
      <c r="F31" t="s">
        <v>102</v>
      </c>
      <c r="G31">
        <f>$G$30 * ($G$29/$G$28)</f>
        <v>9995.3537686267009</v>
      </c>
      <c r="H31" t="s">
        <v>14</v>
      </c>
      <c r="AB31" s="7">
        <v>27</v>
      </c>
      <c r="AC31" s="7">
        <f t="shared" si="7"/>
        <v>0.32697505503892899</v>
      </c>
      <c r="AD31" s="7">
        <f t="shared" si="0"/>
        <v>4.7261326518999169E-9</v>
      </c>
      <c r="AE31" s="7">
        <f t="shared" si="8"/>
        <v>0.32697506248950958</v>
      </c>
      <c r="AF31" s="7">
        <f t="shared" si="1"/>
        <v>-2.9478877672239889E-9</v>
      </c>
      <c r="AG31" s="7">
        <f t="shared" si="2"/>
        <v>0.32697505876421928</v>
      </c>
      <c r="AH31" s="7">
        <f t="shared" si="3"/>
        <v>8.89122442337964E-10</v>
      </c>
      <c r="AI31" s="7">
        <f t="shared" si="4"/>
        <v>4.2021106062704528E-18</v>
      </c>
      <c r="AJ31" s="7">
        <f t="shared" si="5"/>
        <v>-2.6210331713324005E-18</v>
      </c>
      <c r="AK31" s="7">
        <f t="shared" si="6"/>
        <v>7.4505805969238281E-9</v>
      </c>
    </row>
    <row r="32" spans="2:37" x14ac:dyDescent="0.2">
      <c r="B32" t="s">
        <v>61</v>
      </c>
      <c r="C32" s="1">
        <v>5</v>
      </c>
      <c r="D32" t="s">
        <v>62</v>
      </c>
      <c r="F32" t="s">
        <v>103</v>
      </c>
      <c r="G32">
        <f>ATAN(G28/G30)/PI()*180</f>
        <v>1.7466458786346903</v>
      </c>
      <c r="H32" t="s">
        <v>62</v>
      </c>
      <c r="AB32" s="7">
        <v>28</v>
      </c>
      <c r="AC32" s="7">
        <f t="shared" si="7"/>
        <v>0.32697505876421928</v>
      </c>
      <c r="AD32" s="7">
        <f t="shared" si="0"/>
        <v>8.89122442337964E-10</v>
      </c>
      <c r="AE32" s="7">
        <f t="shared" si="8"/>
        <v>0.32697506248950958</v>
      </c>
      <c r="AF32" s="7">
        <f t="shared" si="1"/>
        <v>-2.9478877672239889E-9</v>
      </c>
      <c r="AG32" s="7">
        <f t="shared" si="2"/>
        <v>0.32697506062686443</v>
      </c>
      <c r="AH32" s="7">
        <f t="shared" si="3"/>
        <v>-1.0293826901985881E-9</v>
      </c>
      <c r="AI32" s="7">
        <f t="shared" si="4"/>
        <v>-9.1524725160979239E-19</v>
      </c>
      <c r="AJ32" s="7">
        <f t="shared" si="5"/>
        <v>3.0345046402285389E-18</v>
      </c>
      <c r="AK32" s="7">
        <f t="shared" si="6"/>
        <v>3.7252902984619141E-9</v>
      </c>
    </row>
    <row r="33" spans="2:37" x14ac:dyDescent="0.2">
      <c r="B33" t="s">
        <v>112</v>
      </c>
      <c r="C33" s="1">
        <v>0.8</v>
      </c>
      <c r="F33" t="s">
        <v>133</v>
      </c>
      <c r="G33">
        <f>1/1000 * (W22 + W17 * (W27 * W24 + $G$27 * SIN(W16/180*PI())))</f>
        <v>18.355042108162948</v>
      </c>
      <c r="H33" t="s">
        <v>91</v>
      </c>
      <c r="AB33" s="7">
        <v>29</v>
      </c>
      <c r="AC33" s="7">
        <f t="shared" si="7"/>
        <v>0.32697505876421928</v>
      </c>
      <c r="AD33" s="7">
        <f t="shared" si="0"/>
        <v>8.89122442337964E-10</v>
      </c>
      <c r="AE33" s="7">
        <f t="shared" si="8"/>
        <v>0.32697506062686443</v>
      </c>
      <c r="AF33" s="7">
        <f t="shared" si="1"/>
        <v>-1.0293826901985881E-9</v>
      </c>
      <c r="AG33" s="7">
        <f t="shared" si="2"/>
        <v>0.32697505969554186</v>
      </c>
      <c r="AH33" s="7">
        <f t="shared" si="3"/>
        <v>-7.0130123930312038E-11</v>
      </c>
      <c r="AI33" s="7">
        <f t="shared" si="4"/>
        <v>-6.2354267070383135E-20</v>
      </c>
      <c r="AJ33" s="7">
        <f t="shared" si="5"/>
        <v>7.2190735635344985E-20</v>
      </c>
      <c r="AK33" s="7">
        <f t="shared" si="6"/>
        <v>1.862645149230957E-9</v>
      </c>
    </row>
    <row r="34" spans="2:37" x14ac:dyDescent="0.2">
      <c r="F34" t="s">
        <v>113</v>
      </c>
      <c r="G34">
        <f>$C$6*G33</f>
        <v>18.355042108162948</v>
      </c>
      <c r="H34" t="s">
        <v>91</v>
      </c>
      <c r="AB34" s="7">
        <v>30</v>
      </c>
      <c r="AC34" s="7">
        <f t="shared" si="7"/>
        <v>0.32697505876421928</v>
      </c>
      <c r="AD34" s="7">
        <f t="shared" si="0"/>
        <v>8.89122442337964E-10</v>
      </c>
      <c r="AE34" s="7">
        <f t="shared" si="8"/>
        <v>0.32697505969554186</v>
      </c>
      <c r="AF34" s="7">
        <f t="shared" si="1"/>
        <v>-7.0130123930312038E-11</v>
      </c>
      <c r="AG34" s="7">
        <f t="shared" si="2"/>
        <v>0.32697505922988057</v>
      </c>
      <c r="AH34" s="7">
        <f t="shared" si="3"/>
        <v>4.0949615920382598E-10</v>
      </c>
      <c r="AI34" s="7">
        <f t="shared" si="4"/>
        <v>3.6409222519932149E-19</v>
      </c>
      <c r="AJ34" s="7">
        <f t="shared" si="5"/>
        <v>-2.8718016393951105E-20</v>
      </c>
      <c r="AK34" s="7">
        <f t="shared" si="6"/>
        <v>9.3132257461547852E-10</v>
      </c>
    </row>
    <row r="35" spans="2:37" x14ac:dyDescent="0.2">
      <c r="B35" s="24" t="s">
        <v>27</v>
      </c>
      <c r="C35" s="24"/>
      <c r="D35" s="24"/>
      <c r="F35" t="s">
        <v>114</v>
      </c>
      <c r="G35">
        <f>$G$29/$G$28</f>
        <v>200</v>
      </c>
      <c r="H35" t="s">
        <v>22</v>
      </c>
    </row>
    <row r="36" spans="2:37" x14ac:dyDescent="0.2">
      <c r="B36" t="s">
        <v>28</v>
      </c>
      <c r="C36" s="1">
        <v>30</v>
      </c>
    </row>
    <row r="37" spans="2:37" x14ac:dyDescent="0.2">
      <c r="F37" s="9" t="s">
        <v>115</v>
      </c>
      <c r="G37" s="10"/>
      <c r="H37" s="10"/>
      <c r="AB37" s="5" t="s">
        <v>116</v>
      </c>
    </row>
    <row r="38" spans="2:37" x14ac:dyDescent="0.2">
      <c r="F38" t="s">
        <v>117</v>
      </c>
      <c r="G38" s="1">
        <v>1.524</v>
      </c>
      <c r="H38" t="s">
        <v>16</v>
      </c>
      <c r="AB38" s="6" t="s">
        <v>63</v>
      </c>
      <c r="AC38" s="6" t="s">
        <v>64</v>
      </c>
      <c r="AD38" s="6" t="s">
        <v>65</v>
      </c>
      <c r="AE38" s="6" t="s">
        <v>66</v>
      </c>
      <c r="AF38" s="6" t="s">
        <v>67</v>
      </c>
      <c r="AG38" s="6" t="s">
        <v>68</v>
      </c>
      <c r="AH38" s="6" t="s">
        <v>69</v>
      </c>
      <c r="AI38" s="6" t="s">
        <v>70</v>
      </c>
      <c r="AJ38" s="6" t="s">
        <v>71</v>
      </c>
      <c r="AK38" s="6" t="s">
        <v>72</v>
      </c>
    </row>
    <row r="39" spans="2:37" x14ac:dyDescent="0.2">
      <c r="F39" t="s">
        <v>118</v>
      </c>
      <c r="G39" s="1">
        <v>152.4</v>
      </c>
      <c r="H39" t="s">
        <v>14</v>
      </c>
      <c r="AB39" s="7">
        <v>0</v>
      </c>
      <c r="AC39" s="8">
        <v>0</v>
      </c>
      <c r="AD39" s="7">
        <f xml:space="preserve"> $O$19 * TAN($O$16/180*PI()) + $O$20 / (2 * SQRT($O$19^2 + AC39^2)) - AC39</f>
        <v>0.53215268101965196</v>
      </c>
      <c r="AE39" s="8">
        <v>1</v>
      </c>
      <c r="AF39" s="7">
        <f xml:space="preserve"> $O$19 * TAN($O$16/180*PI()) + $O$20 / (2 * SQRT($O$19^2 + AE39^2)) - AE39</f>
        <v>-0.67693752893335457</v>
      </c>
      <c r="AG39" s="7">
        <f xml:space="preserve"> (AC39 + AE39)/2</f>
        <v>0.5</v>
      </c>
      <c r="AH39" s="7">
        <f xml:space="preserve"> $O$19 * TAN($O$16/180*PI()) + $O$20 / (2 * SQRT($O$19^2 + AG39^2)) - AG39</f>
        <v>-0.17098741467940937</v>
      </c>
      <c r="AI39" s="7">
        <f>AD39*AH39</f>
        <v>-9.0991411142266693E-2</v>
      </c>
      <c r="AJ39" s="7">
        <f>AF39*AH39</f>
        <v>0.11574779797178217</v>
      </c>
      <c r="AK39" s="7">
        <f>AE39-AC39</f>
        <v>1</v>
      </c>
    </row>
    <row r="40" spans="2:37" x14ac:dyDescent="0.2">
      <c r="F40" t="s">
        <v>119</v>
      </c>
      <c r="G40">
        <f xml:space="preserve"> 1/1000 * IF( $G$38&gt;=2*SQRT(($C$17*$C$31)/(2*$C$30*$C$5*PI()*$C$18*$C$18)), ($C$17*$C$31)/$C$9 * ( ($G$38/2) - SQRT( ($G$38/2)^2 - ($C$17*$C$31)/(2*$C$30*$C$5*PI()*$C$18*$C$18 ) ) ), 1/$C$9 * SQRT(($C$17*$C$31)^3/(2*$C$30*$C$5*PI()*$C$18*$C$18)) )</f>
        <v>175.01807533479382</v>
      </c>
      <c r="H40" t="s">
        <v>91</v>
      </c>
      <c r="AB40" s="7">
        <v>1</v>
      </c>
      <c r="AC40" s="7">
        <f>IF(AI39&gt;0, AG39, AC39)</f>
        <v>0</v>
      </c>
      <c r="AD40" s="7">
        <f t="shared" ref="AD40:AD69" si="9" xml:space="preserve"> $O$19 * TAN($O$16/180*PI()) + $O$20 / (2 * SQRT($O$19^2 + AC40^2)) - AC40</f>
        <v>0.53215268101965196</v>
      </c>
      <c r="AE40" s="7">
        <f>IF(AJ39&gt;0, AG39, AE39)</f>
        <v>0.5</v>
      </c>
      <c r="AF40" s="7">
        <f t="shared" ref="AF40:AF69" si="10" xml:space="preserve"> $O$19 * TAN($O$16/180*PI()) + $O$20 / (2 * SQRT($O$19^2 + AE40^2)) - AE40</f>
        <v>-0.17098741467940937</v>
      </c>
      <c r="AG40" s="7">
        <f t="shared" ref="AG40:AG69" si="11" xml:space="preserve"> (AC40 + AE40)/2</f>
        <v>0.25</v>
      </c>
      <c r="AH40" s="7">
        <f t="shared" ref="AH40:AH69" si="12" xml:space="preserve"> $O$19 * TAN($O$16/180*PI()) + $O$20 / (2 * SQRT($O$19^2 + AG40^2)) - AG40</f>
        <v>9.0817604404264229E-2</v>
      </c>
      <c r="AI40" s="7">
        <f t="shared" ref="AI40:AI69" si="13">AD40*AH40</f>
        <v>4.8328831667511361E-2</v>
      </c>
      <c r="AJ40" s="7">
        <f t="shared" ref="AJ40:AJ69" si="14">AF40*AH40</f>
        <v>-1.5528667384462482E-2</v>
      </c>
      <c r="AK40" s="7">
        <f t="shared" ref="AK40:AK69" si="15">AE40-AC40</f>
        <v>0.5</v>
      </c>
    </row>
    <row r="41" spans="2:37" x14ac:dyDescent="0.2">
      <c r="F41" t="s">
        <v>30</v>
      </c>
      <c r="G41">
        <f xml:space="preserve"> $C$17 * $C$31 / $C$5</f>
        <v>1274.8960406380625</v>
      </c>
      <c r="H41" t="s">
        <v>31</v>
      </c>
      <c r="AB41" s="7">
        <v>2</v>
      </c>
      <c r="AC41" s="7">
        <f t="shared" ref="AC41:AC69" si="16">IF(AI40&gt;0, AG40, AC40)</f>
        <v>0.25</v>
      </c>
      <c r="AD41" s="7">
        <f t="shared" si="9"/>
        <v>9.0817604404264229E-2</v>
      </c>
      <c r="AE41" s="7">
        <f t="shared" ref="AE41:AE69" si="17">IF(AJ40&gt;0, AG40, AE40)</f>
        <v>0.5</v>
      </c>
      <c r="AF41" s="7">
        <f t="shared" si="10"/>
        <v>-0.17098741467940937</v>
      </c>
      <c r="AG41" s="7">
        <f t="shared" si="11"/>
        <v>0.375</v>
      </c>
      <c r="AH41" s="7">
        <f t="shared" si="12"/>
        <v>-4.203501933044268E-2</v>
      </c>
      <c r="AI41" s="7">
        <f t="shared" si="13"/>
        <v>-3.8175197566777432E-3</v>
      </c>
      <c r="AJ41" s="7">
        <f t="shared" si="14"/>
        <v>7.1874592813113911E-3</v>
      </c>
      <c r="AK41" s="7">
        <f t="shared" si="15"/>
        <v>0.25</v>
      </c>
    </row>
    <row r="42" spans="2:37" x14ac:dyDescent="0.2">
      <c r="F42" t="s">
        <v>120</v>
      </c>
      <c r="G42">
        <f xml:space="preserve"> $G$39/$G$38</f>
        <v>100</v>
      </c>
      <c r="H42" t="s">
        <v>22</v>
      </c>
      <c r="AB42" s="7">
        <v>3</v>
      </c>
      <c r="AC42" s="7">
        <f>IF(AI41&gt;0, AG41, AC41)</f>
        <v>0.25</v>
      </c>
      <c r="AD42" s="7">
        <f t="shared" si="9"/>
        <v>9.0817604404264229E-2</v>
      </c>
      <c r="AE42" s="7">
        <f t="shared" si="17"/>
        <v>0.375</v>
      </c>
      <c r="AF42" s="7">
        <f t="shared" si="10"/>
        <v>-4.203501933044268E-2</v>
      </c>
      <c r="AG42" s="7">
        <f t="shared" si="11"/>
        <v>0.3125</v>
      </c>
      <c r="AH42" s="7">
        <f t="shared" si="12"/>
        <v>2.3615493186299796E-2</v>
      </c>
      <c r="AI42" s="7">
        <f t="shared" si="13"/>
        <v>2.1447025180049723E-3</v>
      </c>
      <c r="AJ42" s="7">
        <f t="shared" si="14"/>
        <v>-9.9267771258404925E-4</v>
      </c>
      <c r="AK42" s="7">
        <f t="shared" si="15"/>
        <v>0.125</v>
      </c>
    </row>
    <row r="43" spans="2:37" x14ac:dyDescent="0.2">
      <c r="AB43" s="7">
        <v>4</v>
      </c>
      <c r="AC43" s="7">
        <f t="shared" si="16"/>
        <v>0.3125</v>
      </c>
      <c r="AD43" s="7">
        <f t="shared" si="9"/>
        <v>2.3615493186299796E-2</v>
      </c>
      <c r="AE43" s="7">
        <f t="shared" si="17"/>
        <v>0.375</v>
      </c>
      <c r="AF43" s="7">
        <f t="shared" si="10"/>
        <v>-4.203501933044268E-2</v>
      </c>
      <c r="AG43" s="7">
        <f t="shared" si="11"/>
        <v>0.34375</v>
      </c>
      <c r="AH43" s="7">
        <f t="shared" si="12"/>
        <v>-9.3515704745447681E-3</v>
      </c>
      <c r="AI43" s="7">
        <f t="shared" si="13"/>
        <v>-2.2084194882281431E-4</v>
      </c>
      <c r="AJ43" s="7">
        <f t="shared" si="14"/>
        <v>3.9309344566748633E-4</v>
      </c>
      <c r="AK43" s="7">
        <f t="shared" si="15"/>
        <v>6.25E-2</v>
      </c>
    </row>
    <row r="44" spans="2:37" x14ac:dyDescent="0.2">
      <c r="AB44" s="7">
        <v>5</v>
      </c>
      <c r="AC44" s="7">
        <f t="shared" si="16"/>
        <v>0.3125</v>
      </c>
      <c r="AD44" s="7">
        <f t="shared" si="9"/>
        <v>2.3615493186299796E-2</v>
      </c>
      <c r="AE44" s="7">
        <f t="shared" si="17"/>
        <v>0.34375</v>
      </c>
      <c r="AF44" s="7">
        <f t="shared" si="10"/>
        <v>-9.3515704745447681E-3</v>
      </c>
      <c r="AG44" s="7">
        <f t="shared" si="11"/>
        <v>0.328125</v>
      </c>
      <c r="AH44" s="7">
        <f t="shared" si="12"/>
        <v>7.0915147993709238E-3</v>
      </c>
      <c r="AI44" s="7">
        <f t="shared" si="13"/>
        <v>1.6746961942508821E-4</v>
      </c>
      <c r="AJ44" s="7">
        <f t="shared" si="14"/>
        <v>-6.6316800417594394E-5</v>
      </c>
      <c r="AK44" s="7">
        <f t="shared" si="15"/>
        <v>3.125E-2</v>
      </c>
    </row>
    <row r="45" spans="2:37" x14ac:dyDescent="0.2">
      <c r="AB45" s="7">
        <v>6</v>
      </c>
      <c r="AC45" s="7">
        <f t="shared" si="16"/>
        <v>0.328125</v>
      </c>
      <c r="AD45" s="7">
        <f t="shared" si="9"/>
        <v>7.0915147993709238E-3</v>
      </c>
      <c r="AE45" s="7">
        <f t="shared" si="17"/>
        <v>0.34375</v>
      </c>
      <c r="AF45" s="7">
        <f t="shared" si="10"/>
        <v>-9.3515704745447681E-3</v>
      </c>
      <c r="AG45" s="7">
        <f t="shared" si="11"/>
        <v>0.3359375</v>
      </c>
      <c r="AH45" s="7">
        <f t="shared" si="12"/>
        <v>-1.1394437696620185E-3</v>
      </c>
      <c r="AI45" s="7">
        <f t="shared" si="13"/>
        <v>-8.080382355609199E-6</v>
      </c>
      <c r="AJ45" s="7">
        <f t="shared" si="14"/>
        <v>1.0655588713775322E-5</v>
      </c>
      <c r="AK45" s="7">
        <f t="shared" si="15"/>
        <v>1.5625E-2</v>
      </c>
    </row>
    <row r="46" spans="2:37" x14ac:dyDescent="0.2">
      <c r="AB46" s="7">
        <v>7</v>
      </c>
      <c r="AC46" s="7">
        <f t="shared" si="16"/>
        <v>0.328125</v>
      </c>
      <c r="AD46" s="7">
        <f t="shared" si="9"/>
        <v>7.0915147993709238E-3</v>
      </c>
      <c r="AE46" s="7">
        <f t="shared" si="17"/>
        <v>0.3359375</v>
      </c>
      <c r="AF46" s="7">
        <f t="shared" si="10"/>
        <v>-1.1394437696620185E-3</v>
      </c>
      <c r="AG46" s="7">
        <f t="shared" si="11"/>
        <v>0.33203125</v>
      </c>
      <c r="AH46" s="7">
        <f t="shared" si="12"/>
        <v>2.9735995942977156E-3</v>
      </c>
      <c r="AI46" s="7">
        <f t="shared" si="13"/>
        <v>2.1087325530365623E-5</v>
      </c>
      <c r="AJ46" s="7">
        <f t="shared" si="14"/>
        <v>-3.3882495311920378E-6</v>
      </c>
      <c r="AK46" s="7">
        <f t="shared" si="15"/>
        <v>7.8125E-3</v>
      </c>
    </row>
    <row r="47" spans="2:37" x14ac:dyDescent="0.2">
      <c r="AB47" s="7">
        <v>8</v>
      </c>
      <c r="AC47" s="7">
        <f t="shared" si="16"/>
        <v>0.33203125</v>
      </c>
      <c r="AD47" s="7">
        <f t="shared" si="9"/>
        <v>2.9735995942977156E-3</v>
      </c>
      <c r="AE47" s="7">
        <f t="shared" si="17"/>
        <v>0.3359375</v>
      </c>
      <c r="AF47" s="7">
        <f t="shared" si="10"/>
        <v>-1.1394437696620185E-3</v>
      </c>
      <c r="AG47" s="7">
        <f t="shared" si="11"/>
        <v>0.333984375</v>
      </c>
      <c r="AH47" s="7">
        <f t="shared" si="12"/>
        <v>9.1647946870387909E-4</v>
      </c>
      <c r="AI47" s="7">
        <f t="shared" si="13"/>
        <v>2.7252429763200406E-6</v>
      </c>
      <c r="AJ47" s="7">
        <f t="shared" si="14"/>
        <v>-1.044276820637792E-6</v>
      </c>
      <c r="AK47" s="7">
        <f t="shared" si="15"/>
        <v>3.90625E-3</v>
      </c>
    </row>
    <row r="48" spans="2:37" x14ac:dyDescent="0.2">
      <c r="AB48" s="7">
        <v>9</v>
      </c>
      <c r="AC48" s="7">
        <f t="shared" si="16"/>
        <v>0.333984375</v>
      </c>
      <c r="AD48" s="7">
        <f t="shared" si="9"/>
        <v>9.1647946870387909E-4</v>
      </c>
      <c r="AE48" s="7">
        <f t="shared" si="17"/>
        <v>0.3359375</v>
      </c>
      <c r="AF48" s="7">
        <f t="shared" si="10"/>
        <v>-1.1394437696620185E-3</v>
      </c>
      <c r="AG48" s="7">
        <f t="shared" si="11"/>
        <v>0.3349609375</v>
      </c>
      <c r="AH48" s="7">
        <f t="shared" si="12"/>
        <v>-1.116304707328708E-4</v>
      </c>
      <c r="AI48" s="7">
        <f t="shared" si="13"/>
        <v>-1.0230703450842535E-7</v>
      </c>
      <c r="AJ48" s="7">
        <f t="shared" si="14"/>
        <v>1.2719664438100794E-7</v>
      </c>
      <c r="AK48" s="7">
        <f t="shared" si="15"/>
        <v>1.953125E-3</v>
      </c>
    </row>
    <row r="49" spans="28:37" x14ac:dyDescent="0.2">
      <c r="AB49" s="7">
        <v>10</v>
      </c>
      <c r="AC49" s="7">
        <f t="shared" si="16"/>
        <v>0.333984375</v>
      </c>
      <c r="AD49" s="7">
        <f t="shared" si="9"/>
        <v>9.1647946870387909E-4</v>
      </c>
      <c r="AE49" s="7">
        <f t="shared" si="17"/>
        <v>0.3349609375</v>
      </c>
      <c r="AF49" s="7">
        <f t="shared" si="10"/>
        <v>-1.116304707328708E-4</v>
      </c>
      <c r="AG49" s="7">
        <f t="shared" si="11"/>
        <v>0.33447265625</v>
      </c>
      <c r="AH49" s="7">
        <f t="shared" si="12"/>
        <v>4.0238725874819359E-4</v>
      </c>
      <c r="AI49" s="7">
        <f t="shared" si="13"/>
        <v>3.6877966111075478E-7</v>
      </c>
      <c r="AJ49" s="7">
        <f t="shared" si="14"/>
        <v>-4.4918679110970336E-8</v>
      </c>
      <c r="AK49" s="7">
        <f t="shared" si="15"/>
        <v>9.765625E-4</v>
      </c>
    </row>
    <row r="50" spans="28:37" x14ac:dyDescent="0.2">
      <c r="AB50" s="7">
        <v>11</v>
      </c>
      <c r="AC50" s="7">
        <f t="shared" si="16"/>
        <v>0.33447265625</v>
      </c>
      <c r="AD50" s="7">
        <f t="shared" si="9"/>
        <v>4.0238725874819359E-4</v>
      </c>
      <c r="AE50" s="7">
        <f t="shared" si="17"/>
        <v>0.3349609375</v>
      </c>
      <c r="AF50" s="7">
        <f t="shared" si="10"/>
        <v>-1.116304707328708E-4</v>
      </c>
      <c r="AG50" s="7">
        <f t="shared" si="11"/>
        <v>0.334716796875</v>
      </c>
      <c r="AH50" s="7">
        <f t="shared" si="12"/>
        <v>1.4536910404183701E-4</v>
      </c>
      <c r="AI50" s="7">
        <f t="shared" si="13"/>
        <v>5.8494675282075743E-8</v>
      </c>
      <c r="AJ50" s="7">
        <f t="shared" si="14"/>
        <v>-1.6227621514205935E-8</v>
      </c>
      <c r="AK50" s="7">
        <f t="shared" si="15"/>
        <v>4.8828125E-4</v>
      </c>
    </row>
    <row r="51" spans="28:37" x14ac:dyDescent="0.2">
      <c r="AB51" s="7">
        <v>12</v>
      </c>
      <c r="AC51" s="7">
        <f t="shared" si="16"/>
        <v>0.334716796875</v>
      </c>
      <c r="AD51" s="7">
        <f t="shared" si="9"/>
        <v>1.4536910404183701E-4</v>
      </c>
      <c r="AE51" s="7">
        <f t="shared" si="17"/>
        <v>0.3349609375</v>
      </c>
      <c r="AF51" s="7">
        <f t="shared" si="10"/>
        <v>-1.116304707328708E-4</v>
      </c>
      <c r="AG51" s="7">
        <f t="shared" si="11"/>
        <v>0.3348388671875</v>
      </c>
      <c r="AH51" s="7">
        <f t="shared" si="12"/>
        <v>1.6866996668418732E-5</v>
      </c>
      <c r="AI51" s="7">
        <f t="shared" si="13"/>
        <v>2.451940193564681E-9</v>
      </c>
      <c r="AJ51" s="7">
        <f t="shared" si="14"/>
        <v>-1.8828707779453465E-9</v>
      </c>
      <c r="AK51" s="7">
        <f t="shared" si="15"/>
        <v>2.44140625E-4</v>
      </c>
    </row>
    <row r="52" spans="28:37" x14ac:dyDescent="0.2">
      <c r="AB52" s="7">
        <v>13</v>
      </c>
      <c r="AC52" s="7">
        <f t="shared" si="16"/>
        <v>0.3348388671875</v>
      </c>
      <c r="AD52" s="7">
        <f t="shared" si="9"/>
        <v>1.6866996668418732E-5</v>
      </c>
      <c r="AE52" s="7">
        <f t="shared" si="17"/>
        <v>0.3349609375</v>
      </c>
      <c r="AF52" s="7">
        <f t="shared" si="10"/>
        <v>-1.116304707328708E-4</v>
      </c>
      <c r="AG52" s="7">
        <f t="shared" si="11"/>
        <v>0.33489990234375</v>
      </c>
      <c r="AH52" s="7">
        <f t="shared" si="12"/>
        <v>-4.7382316715971484E-5</v>
      </c>
      <c r="AI52" s="7">
        <f t="shared" si="13"/>
        <v>-7.9919737819025228E-10</v>
      </c>
      <c r="AJ52" s="7">
        <f t="shared" si="14"/>
        <v>5.2893103194178696E-9</v>
      </c>
      <c r="AK52" s="7">
        <f t="shared" si="15"/>
        <v>1.220703125E-4</v>
      </c>
    </row>
    <row r="53" spans="28:37" x14ac:dyDescent="0.2">
      <c r="AB53" s="7">
        <v>14</v>
      </c>
      <c r="AC53" s="7">
        <f t="shared" si="16"/>
        <v>0.3348388671875</v>
      </c>
      <c r="AD53" s="7">
        <f t="shared" si="9"/>
        <v>1.6866996668418732E-5</v>
      </c>
      <c r="AE53" s="7">
        <f t="shared" si="17"/>
        <v>0.33489990234375</v>
      </c>
      <c r="AF53" s="7">
        <f t="shared" si="10"/>
        <v>-4.7382316715971484E-5</v>
      </c>
      <c r="AG53" s="7">
        <f t="shared" si="11"/>
        <v>0.334869384765625</v>
      </c>
      <c r="AH53" s="7">
        <f t="shared" si="12"/>
        <v>-1.5257804983792589E-5</v>
      </c>
      <c r="AI53" s="7">
        <f t="shared" si="13"/>
        <v>-2.5735334582901231E-10</v>
      </c>
      <c r="AJ53" s="7">
        <f t="shared" si="14"/>
        <v>7.229501481325886E-10</v>
      </c>
      <c r="AK53" s="7">
        <f t="shared" si="15"/>
        <v>6.103515625E-5</v>
      </c>
    </row>
    <row r="54" spans="28:37" x14ac:dyDescent="0.2">
      <c r="AB54" s="7">
        <v>15</v>
      </c>
      <c r="AC54" s="7">
        <f t="shared" si="16"/>
        <v>0.3348388671875</v>
      </c>
      <c r="AD54" s="7">
        <f t="shared" si="9"/>
        <v>1.6866996668418732E-5</v>
      </c>
      <c r="AE54" s="7">
        <f t="shared" si="17"/>
        <v>0.334869384765625</v>
      </c>
      <c r="AF54" s="7">
        <f t="shared" si="10"/>
        <v>-1.5257804983792589E-5</v>
      </c>
      <c r="AG54" s="7">
        <f t="shared" si="11"/>
        <v>0.3348541259765625</v>
      </c>
      <c r="AH54" s="7">
        <f t="shared" si="12"/>
        <v>8.0455959744485384E-7</v>
      </c>
      <c r="AI54" s="7">
        <f t="shared" si="13"/>
        <v>1.3570504049646666E-11</v>
      </c>
      <c r="AJ54" s="7">
        <f t="shared" si="14"/>
        <v>-1.2275813435652251E-11</v>
      </c>
      <c r="AK54" s="7">
        <f t="shared" si="15"/>
        <v>3.0517578125E-5</v>
      </c>
    </row>
    <row r="55" spans="28:37" x14ac:dyDescent="0.2">
      <c r="AB55" s="7">
        <v>16</v>
      </c>
      <c r="AC55" s="7">
        <f t="shared" si="16"/>
        <v>0.3348541259765625</v>
      </c>
      <c r="AD55" s="7">
        <f t="shared" si="9"/>
        <v>8.0455959744485384E-7</v>
      </c>
      <c r="AE55" s="7">
        <f t="shared" si="17"/>
        <v>0.334869384765625</v>
      </c>
      <c r="AF55" s="7">
        <f t="shared" si="10"/>
        <v>-1.5257804983792589E-5</v>
      </c>
      <c r="AG55" s="7">
        <f t="shared" si="11"/>
        <v>0.33486175537109375</v>
      </c>
      <c r="AH55" s="7">
        <f t="shared" si="12"/>
        <v>-7.2266317537872382E-6</v>
      </c>
      <c r="AI55" s="7">
        <f t="shared" si="13"/>
        <v>-5.8142559347092586E-12</v>
      </c>
      <c r="AJ55" s="7">
        <f t="shared" si="14"/>
        <v>1.102625379889687E-10</v>
      </c>
      <c r="AK55" s="7">
        <f t="shared" si="15"/>
        <v>1.52587890625E-5</v>
      </c>
    </row>
    <row r="56" spans="28:37" x14ac:dyDescent="0.2">
      <c r="AB56" s="7">
        <v>17</v>
      </c>
      <c r="AC56" s="7">
        <f t="shared" si="16"/>
        <v>0.3348541259765625</v>
      </c>
      <c r="AD56" s="7">
        <f t="shared" si="9"/>
        <v>8.0455959744485384E-7</v>
      </c>
      <c r="AE56" s="7">
        <f t="shared" si="17"/>
        <v>0.33486175537109375</v>
      </c>
      <c r="AF56" s="7">
        <f t="shared" si="10"/>
        <v>-7.2266317537872382E-6</v>
      </c>
      <c r="AG56" s="7">
        <f t="shared" si="11"/>
        <v>0.33485794067382812</v>
      </c>
      <c r="AH56" s="7">
        <f t="shared" si="12"/>
        <v>-3.2110383433869849E-6</v>
      </c>
      <c r="AI56" s="7">
        <f t="shared" si="13"/>
        <v>-2.5834717169354231E-12</v>
      </c>
      <c r="AJ56" s="7">
        <f t="shared" si="14"/>
        <v>2.3204991654948756E-11</v>
      </c>
      <c r="AK56" s="7">
        <f t="shared" si="15"/>
        <v>7.62939453125E-6</v>
      </c>
    </row>
    <row r="57" spans="28:37" x14ac:dyDescent="0.2">
      <c r="AB57" s="7">
        <v>18</v>
      </c>
      <c r="AC57" s="7">
        <f t="shared" si="16"/>
        <v>0.3348541259765625</v>
      </c>
      <c r="AD57" s="7">
        <f t="shared" si="9"/>
        <v>8.0455959744485384E-7</v>
      </c>
      <c r="AE57" s="7">
        <f t="shared" si="17"/>
        <v>0.33485794067382812</v>
      </c>
      <c r="AF57" s="7">
        <f t="shared" si="10"/>
        <v>-3.2110383433869849E-6</v>
      </c>
      <c r="AG57" s="7">
        <f t="shared" si="11"/>
        <v>0.33485603332519531</v>
      </c>
      <c r="AH57" s="7">
        <f t="shared" si="12"/>
        <v>-1.2032399392958304E-6</v>
      </c>
      <c r="AI57" s="7">
        <f t="shared" si="13"/>
        <v>-9.6807824118942369E-13</v>
      </c>
      <c r="AJ57" s="7">
        <f t="shared" si="14"/>
        <v>3.8636495813735399E-12</v>
      </c>
      <c r="AK57" s="7">
        <f t="shared" si="15"/>
        <v>3.814697265625E-6</v>
      </c>
    </row>
    <row r="58" spans="28:37" x14ac:dyDescent="0.2">
      <c r="AB58" s="7">
        <v>19</v>
      </c>
      <c r="AC58" s="7">
        <f t="shared" si="16"/>
        <v>0.3348541259765625</v>
      </c>
      <c r="AD58" s="7">
        <f t="shared" si="9"/>
        <v>8.0455959744485384E-7</v>
      </c>
      <c r="AE58" s="7">
        <f t="shared" si="17"/>
        <v>0.33485603332519531</v>
      </c>
      <c r="AF58" s="7">
        <f t="shared" si="10"/>
        <v>-1.2032399392958304E-6</v>
      </c>
      <c r="AG58" s="7">
        <f t="shared" si="11"/>
        <v>0.33485507965087891</v>
      </c>
      <c r="AH58" s="7">
        <f t="shared" si="12"/>
        <v>-1.9934031253443507E-7</v>
      </c>
      <c r="AI58" s="7">
        <f t="shared" si="13"/>
        <v>-1.6038116160723643E-13</v>
      </c>
      <c r="AJ58" s="7">
        <f t="shared" si="14"/>
        <v>2.3985422555314553E-13</v>
      </c>
      <c r="AK58" s="7">
        <f t="shared" si="15"/>
        <v>1.9073486328125E-6</v>
      </c>
    </row>
    <row r="59" spans="28:37" x14ac:dyDescent="0.2">
      <c r="AB59" s="7">
        <v>20</v>
      </c>
      <c r="AC59" s="7">
        <f t="shared" si="16"/>
        <v>0.3348541259765625</v>
      </c>
      <c r="AD59" s="7">
        <f t="shared" si="9"/>
        <v>8.0455959744485384E-7</v>
      </c>
      <c r="AE59" s="7">
        <f t="shared" si="17"/>
        <v>0.33485507965087891</v>
      </c>
      <c r="AF59" s="7">
        <f t="shared" si="10"/>
        <v>-1.9934031253443507E-7</v>
      </c>
      <c r="AG59" s="7">
        <f t="shared" si="11"/>
        <v>0.3348546028137207</v>
      </c>
      <c r="AH59" s="7">
        <f t="shared" si="12"/>
        <v>3.026096070390949E-7</v>
      </c>
      <c r="AI59" s="7">
        <f t="shared" si="13"/>
        <v>2.4346746362231957E-13</v>
      </c>
      <c r="AJ59" s="7">
        <f t="shared" si="14"/>
        <v>-6.0322293643095754E-14</v>
      </c>
      <c r="AK59" s="7">
        <f t="shared" si="15"/>
        <v>9.5367431640625E-7</v>
      </c>
    </row>
    <row r="60" spans="28:37" x14ac:dyDescent="0.2">
      <c r="AB60" s="7">
        <v>21</v>
      </c>
      <c r="AC60" s="7">
        <f t="shared" si="16"/>
        <v>0.3348546028137207</v>
      </c>
      <c r="AD60" s="7">
        <f t="shared" si="9"/>
        <v>3.026096070390949E-7</v>
      </c>
      <c r="AE60" s="7">
        <f t="shared" si="17"/>
        <v>0.33485507965087891</v>
      </c>
      <c r="AF60" s="7">
        <f t="shared" si="10"/>
        <v>-1.9934031253443507E-7</v>
      </c>
      <c r="AG60" s="7">
        <f t="shared" si="11"/>
        <v>0.3348548412322998</v>
      </c>
      <c r="AH60" s="7">
        <f t="shared" si="12"/>
        <v>5.1634638398301291E-8</v>
      </c>
      <c r="AI60" s="7">
        <f t="shared" si="13"/>
        <v>1.5625137635315713E-14</v>
      </c>
      <c r="AJ60" s="7">
        <f t="shared" si="14"/>
        <v>-1.0292864955919921E-14</v>
      </c>
      <c r="AK60" s="7">
        <f t="shared" si="15"/>
        <v>4.76837158203125E-7</v>
      </c>
    </row>
    <row r="61" spans="28:37" x14ac:dyDescent="0.2">
      <c r="AB61" s="7">
        <v>22</v>
      </c>
      <c r="AC61" s="7">
        <f t="shared" si="16"/>
        <v>0.3348548412322998</v>
      </c>
      <c r="AD61" s="7">
        <f t="shared" si="9"/>
        <v>5.1634638398301291E-8</v>
      </c>
      <c r="AE61" s="7">
        <f t="shared" si="17"/>
        <v>0.33485507965087891</v>
      </c>
      <c r="AF61" s="7">
        <f t="shared" si="10"/>
        <v>-1.9934031253443507E-7</v>
      </c>
      <c r="AG61" s="7">
        <f t="shared" si="11"/>
        <v>0.33485496044158936</v>
      </c>
      <c r="AH61" s="7">
        <f t="shared" si="12"/>
        <v>-7.3852839288512939E-8</v>
      </c>
      <c r="AI61" s="7">
        <f t="shared" si="13"/>
        <v>-3.8133646513502246E-15</v>
      </c>
      <c r="AJ61" s="7">
        <f t="shared" si="14"/>
        <v>1.4721848065327573E-14</v>
      </c>
      <c r="AK61" s="7">
        <f t="shared" si="15"/>
        <v>2.384185791015625E-7</v>
      </c>
    </row>
    <row r="62" spans="28:37" x14ac:dyDescent="0.2">
      <c r="AB62" s="7">
        <v>23</v>
      </c>
      <c r="AC62" s="7">
        <f t="shared" si="16"/>
        <v>0.3348548412322998</v>
      </c>
      <c r="AD62" s="7">
        <f t="shared" si="9"/>
        <v>5.1634638398301291E-8</v>
      </c>
      <c r="AE62" s="7">
        <f t="shared" si="17"/>
        <v>0.33485496044158936</v>
      </c>
      <c r="AF62" s="7">
        <f t="shared" si="10"/>
        <v>-7.3852839288512939E-8</v>
      </c>
      <c r="AG62" s="7">
        <f t="shared" si="11"/>
        <v>0.33485490083694458</v>
      </c>
      <c r="AH62" s="7">
        <f t="shared" si="12"/>
        <v>-1.1109100972461761E-8</v>
      </c>
      <c r="AI62" s="7">
        <f t="shared" si="13"/>
        <v>-5.7361441164328025E-16</v>
      </c>
      <c r="AJ62" s="7">
        <f t="shared" si="14"/>
        <v>8.2043864875908119E-16</v>
      </c>
      <c r="AK62" s="7">
        <f t="shared" si="15"/>
        <v>1.1920928955078125E-7</v>
      </c>
    </row>
    <row r="63" spans="28:37" x14ac:dyDescent="0.2">
      <c r="AB63" s="7">
        <v>24</v>
      </c>
      <c r="AC63" s="7">
        <f t="shared" si="16"/>
        <v>0.3348548412322998</v>
      </c>
      <c r="AD63" s="7">
        <f t="shared" si="9"/>
        <v>5.1634638398301291E-8</v>
      </c>
      <c r="AE63" s="7">
        <f t="shared" si="17"/>
        <v>0.33485490083694458</v>
      </c>
      <c r="AF63" s="7">
        <f t="shared" si="10"/>
        <v>-1.1109100972461761E-8</v>
      </c>
      <c r="AG63" s="7">
        <f t="shared" si="11"/>
        <v>0.33485487103462219</v>
      </c>
      <c r="AH63" s="7">
        <f t="shared" si="12"/>
        <v>2.0262768574141887E-8</v>
      </c>
      <c r="AI63" s="7">
        <f t="shared" si="13"/>
        <v>1.0462607282742794E-15</v>
      </c>
      <c r="AJ63" s="7">
        <f t="shared" si="14"/>
        <v>-2.2510114207176724E-16</v>
      </c>
      <c r="AK63" s="7">
        <f t="shared" si="15"/>
        <v>5.9604644775390625E-8</v>
      </c>
    </row>
    <row r="64" spans="28:37" x14ac:dyDescent="0.2">
      <c r="AB64" s="7">
        <v>25</v>
      </c>
      <c r="AC64" s="7">
        <f t="shared" si="16"/>
        <v>0.33485487103462219</v>
      </c>
      <c r="AD64" s="7">
        <f t="shared" si="9"/>
        <v>2.0262768574141887E-8</v>
      </c>
      <c r="AE64" s="7">
        <f t="shared" si="17"/>
        <v>0.33485490083694458</v>
      </c>
      <c r="AF64" s="7">
        <f t="shared" si="10"/>
        <v>-1.1109100972461761E-8</v>
      </c>
      <c r="AG64" s="7">
        <f t="shared" si="11"/>
        <v>0.33485488593578339</v>
      </c>
      <c r="AH64" s="7">
        <f t="shared" si="12"/>
        <v>4.5768338008400633E-9</v>
      </c>
      <c r="AI64" s="7">
        <f t="shared" si="13"/>
        <v>9.2739324108732404E-17</v>
      </c>
      <c r="AJ64" s="7">
        <f t="shared" si="14"/>
        <v>-5.0844508827708203E-17</v>
      </c>
      <c r="AK64" s="7">
        <f t="shared" si="15"/>
        <v>2.9802322387695312E-8</v>
      </c>
    </row>
    <row r="65" spans="28:37" x14ac:dyDescent="0.2">
      <c r="AB65" s="7">
        <v>26</v>
      </c>
      <c r="AC65" s="7">
        <f t="shared" si="16"/>
        <v>0.33485488593578339</v>
      </c>
      <c r="AD65" s="7">
        <f t="shared" si="9"/>
        <v>4.5768338008400633E-9</v>
      </c>
      <c r="AE65" s="7">
        <f t="shared" si="17"/>
        <v>0.33485490083694458</v>
      </c>
      <c r="AF65" s="7">
        <f t="shared" si="10"/>
        <v>-1.1109100972461761E-8</v>
      </c>
      <c r="AG65" s="7">
        <f t="shared" si="11"/>
        <v>0.33485489338636398</v>
      </c>
      <c r="AH65" s="7">
        <f t="shared" si="12"/>
        <v>-3.2661335858108487E-9</v>
      </c>
      <c r="AI65" s="7">
        <f t="shared" si="13"/>
        <v>-1.4948550593598052E-17</v>
      </c>
      <c r="AJ65" s="7">
        <f t="shared" si="14"/>
        <v>3.6283807794321316E-17</v>
      </c>
      <c r="AK65" s="7">
        <f t="shared" si="15"/>
        <v>1.4901161193847656E-8</v>
      </c>
    </row>
    <row r="66" spans="28:37" x14ac:dyDescent="0.2">
      <c r="AB66" s="7">
        <v>27</v>
      </c>
      <c r="AC66" s="7">
        <f t="shared" si="16"/>
        <v>0.33485488593578339</v>
      </c>
      <c r="AD66" s="7">
        <f t="shared" si="9"/>
        <v>4.5768338008400633E-9</v>
      </c>
      <c r="AE66" s="7">
        <f t="shared" si="17"/>
        <v>0.33485489338636398</v>
      </c>
      <c r="AF66" s="7">
        <f t="shared" si="10"/>
        <v>-3.2661335858108487E-9</v>
      </c>
      <c r="AG66" s="7">
        <f t="shared" si="11"/>
        <v>0.33485488966107368</v>
      </c>
      <c r="AH66" s="7">
        <f t="shared" si="12"/>
        <v>6.5535005200345609E-10</v>
      </c>
      <c r="AI66" s="7">
        <f t="shared" si="13"/>
        <v>2.9994282693917111E-18</v>
      </c>
      <c r="AJ66" s="7">
        <f t="shared" si="14"/>
        <v>-2.1404608153113742E-18</v>
      </c>
      <c r="AK66" s="7">
        <f t="shared" si="15"/>
        <v>7.4505805969238281E-9</v>
      </c>
    </row>
    <row r="67" spans="28:37" x14ac:dyDescent="0.2">
      <c r="AB67" s="7">
        <v>28</v>
      </c>
      <c r="AC67" s="7">
        <f t="shared" si="16"/>
        <v>0.33485488966107368</v>
      </c>
      <c r="AD67" s="7">
        <f t="shared" si="9"/>
        <v>6.5535005200345609E-10</v>
      </c>
      <c r="AE67" s="7">
        <f t="shared" si="17"/>
        <v>0.33485489338636398</v>
      </c>
      <c r="AF67" s="7">
        <f t="shared" si="10"/>
        <v>-3.2661335858108487E-9</v>
      </c>
      <c r="AG67" s="7">
        <f t="shared" si="11"/>
        <v>0.33485489152371883</v>
      </c>
      <c r="AH67" s="7">
        <f t="shared" si="12"/>
        <v>-1.3053917946592719E-9</v>
      </c>
      <c r="AI67" s="7">
        <f t="shared" si="13"/>
        <v>-8.5548858051483871E-19</v>
      </c>
      <c r="AJ67" s="7">
        <f t="shared" si="14"/>
        <v>4.2635839831785468E-18</v>
      </c>
      <c r="AK67" s="7">
        <f t="shared" si="15"/>
        <v>3.7252902984619141E-9</v>
      </c>
    </row>
    <row r="68" spans="28:37" x14ac:dyDescent="0.2">
      <c r="AB68" s="7">
        <v>29</v>
      </c>
      <c r="AC68" s="7">
        <f t="shared" si="16"/>
        <v>0.33485488966107368</v>
      </c>
      <c r="AD68" s="7">
        <f t="shared" si="9"/>
        <v>6.5535005200345609E-10</v>
      </c>
      <c r="AE68" s="7">
        <f t="shared" si="17"/>
        <v>0.33485489152371883</v>
      </c>
      <c r="AF68" s="7">
        <f t="shared" si="10"/>
        <v>-1.3053917946592719E-9</v>
      </c>
      <c r="AG68" s="7">
        <f t="shared" si="11"/>
        <v>0.33485489059239626</v>
      </c>
      <c r="AH68" s="7">
        <f t="shared" si="12"/>
        <v>-3.250208435723323E-10</v>
      </c>
      <c r="AI68" s="7">
        <f t="shared" si="13"/>
        <v>-2.1300242673733514E-19</v>
      </c>
      <c r="AJ68" s="7">
        <f t="shared" si="14"/>
        <v>4.2427954229255734E-19</v>
      </c>
      <c r="AK68" s="7">
        <f t="shared" si="15"/>
        <v>1.862645149230957E-9</v>
      </c>
    </row>
    <row r="69" spans="28:37" x14ac:dyDescent="0.2">
      <c r="AB69" s="7">
        <v>30</v>
      </c>
      <c r="AC69" s="7">
        <f t="shared" si="16"/>
        <v>0.33485488966107368</v>
      </c>
      <c r="AD69" s="7">
        <f t="shared" si="9"/>
        <v>6.5535005200345609E-10</v>
      </c>
      <c r="AE69" s="7">
        <f t="shared" si="17"/>
        <v>0.33485489059239626</v>
      </c>
      <c r="AF69" s="7">
        <f t="shared" si="10"/>
        <v>-3.250208435723323E-10</v>
      </c>
      <c r="AG69" s="7">
        <f t="shared" si="11"/>
        <v>0.33485489012673497</v>
      </c>
      <c r="AH69" s="7">
        <f t="shared" si="12"/>
        <v>1.6516460421556189E-10</v>
      </c>
      <c r="AI69" s="7">
        <f t="shared" si="13"/>
        <v>1.0824063196179873E-19</v>
      </c>
      <c r="AJ69" s="7">
        <f t="shared" si="14"/>
        <v>-5.3681938990432318E-20</v>
      </c>
      <c r="AK69" s="7">
        <f t="shared" si="15"/>
        <v>9.3132257461547852E-10</v>
      </c>
    </row>
    <row r="72" spans="28:37" x14ac:dyDescent="0.2">
      <c r="AB72" s="5" t="s">
        <v>121</v>
      </c>
    </row>
    <row r="73" spans="28:37" x14ac:dyDescent="0.2">
      <c r="AB73" s="6" t="s">
        <v>63</v>
      </c>
      <c r="AC73" s="6" t="s">
        <v>64</v>
      </c>
      <c r="AD73" s="6" t="s">
        <v>65</v>
      </c>
      <c r="AE73" s="6" t="s">
        <v>66</v>
      </c>
      <c r="AF73" s="6" t="s">
        <v>67</v>
      </c>
      <c r="AG73" s="6" t="s">
        <v>68</v>
      </c>
      <c r="AH73" s="6" t="s">
        <v>69</v>
      </c>
      <c r="AI73" s="6" t="s">
        <v>70</v>
      </c>
      <c r="AJ73" s="6" t="s">
        <v>71</v>
      </c>
      <c r="AK73" s="6" t="s">
        <v>72</v>
      </c>
    </row>
    <row r="74" spans="28:37" x14ac:dyDescent="0.2">
      <c r="AB74" s="7">
        <v>0</v>
      </c>
      <c r="AC74" s="8">
        <v>0</v>
      </c>
      <c r="AD74" s="7">
        <f xml:space="preserve"> $W$19 * TAN($W$16/180*PI()) + $W$20 / (2 * SQRT($W$19^2 + AC74^2)) - AC74</f>
        <v>0.37487885666607329</v>
      </c>
      <c r="AE74" s="8">
        <v>1</v>
      </c>
      <c r="AF74" s="7">
        <f xml:space="preserve"> $W$19 * TAN($W$16/180*PI()) + $W$20 / (2 * SQRT($W$19^2 + AE74^2)) - AE74</f>
        <v>-0.68129902535380205</v>
      </c>
      <c r="AG74" s="7">
        <f xml:space="preserve"> (AC74 + AE74)/2</f>
        <v>0.5</v>
      </c>
      <c r="AH74" s="7">
        <f xml:space="preserve"> $W$19 * TAN($W$16/180*PI()) + $W$20 / (2 * SQRT($W$19^2 + AG74^2)) - AG74</f>
        <v>-0.17970036219000285</v>
      </c>
      <c r="AI74" s="7">
        <f>AD74*AH74</f>
        <v>-6.7365866320267531E-2</v>
      </c>
      <c r="AJ74" s="7">
        <f>AF74*AH74</f>
        <v>0.12242968161577417</v>
      </c>
      <c r="AK74" s="7">
        <f>AE74-AC74</f>
        <v>1</v>
      </c>
    </row>
    <row r="75" spans="28:37" x14ac:dyDescent="0.2">
      <c r="AB75" s="7">
        <v>1</v>
      </c>
      <c r="AC75" s="7">
        <f>IF(AI74&gt;0, AG74, AC74)</f>
        <v>0</v>
      </c>
      <c r="AD75" s="7">
        <f t="shared" ref="AD75:AD104" si="18" xml:space="preserve"> $W$19 * TAN($W$16/180*PI()) + $W$20 / (2 * SQRT($W$19^2 + AC75^2)) - AC75</f>
        <v>0.37487885666607329</v>
      </c>
      <c r="AE75" s="7">
        <f>IF(AJ74&gt;0, AG74, AE74)</f>
        <v>0.5</v>
      </c>
      <c r="AF75" s="7">
        <f t="shared" ref="AF75:AF104" si="19" xml:space="preserve"> $W$19 * TAN($W$16/180*PI()) + $W$20 / (2 * SQRT($W$19^2 + AE75^2)) - AE75</f>
        <v>-0.17970036219000285</v>
      </c>
      <c r="AG75" s="7">
        <f t="shared" ref="AG75:AG104" si="20" xml:space="preserve"> (AC75 + AE75)/2</f>
        <v>0.25</v>
      </c>
      <c r="AH75" s="7">
        <f t="shared" ref="AH75:AH104" si="21" xml:space="preserve"> $W$19 * TAN($W$16/180*PI()) + $W$20 / (2 * SQRT($W$19^2 + AG75^2)) - AG75</f>
        <v>7.3471383486057473E-2</v>
      </c>
      <c r="AI75" s="7">
        <f t="shared" ref="AI75:AI104" si="22">AD75*AH75</f>
        <v>2.7542868238927844E-2</v>
      </c>
      <c r="AJ75" s="7">
        <f t="shared" ref="AJ75:AJ104" si="23">AF75*AH75</f>
        <v>-1.3202834223045122E-2</v>
      </c>
      <c r="AK75" s="7">
        <f t="shared" ref="AK75:AK104" si="24">AE75-AC75</f>
        <v>0.5</v>
      </c>
    </row>
    <row r="76" spans="28:37" x14ac:dyDescent="0.2">
      <c r="AB76" s="7">
        <v>2</v>
      </c>
      <c r="AC76" s="7">
        <f t="shared" ref="AC76:AC104" si="25">IF(AI75&gt;0, AG75, AC75)</f>
        <v>0.25</v>
      </c>
      <c r="AD76" s="7">
        <f t="shared" si="18"/>
        <v>7.3471383486057473E-2</v>
      </c>
      <c r="AE76" s="7">
        <f t="shared" ref="AE76:AE104" si="26">IF(AJ75&gt;0, AG75, AE75)</f>
        <v>0.5</v>
      </c>
      <c r="AF76" s="7">
        <f t="shared" si="19"/>
        <v>-0.17970036219000285</v>
      </c>
      <c r="AG76" s="7">
        <f t="shared" si="20"/>
        <v>0.375</v>
      </c>
      <c r="AH76" s="7">
        <f t="shared" si="21"/>
        <v>-5.3638441597641973E-2</v>
      </c>
      <c r="AI76" s="7">
        <f t="shared" si="22"/>
        <v>-3.9408905122148502E-3</v>
      </c>
      <c r="AJ76" s="7">
        <f t="shared" si="23"/>
        <v>9.6388473824035783E-3</v>
      </c>
      <c r="AK76" s="7">
        <f t="shared" si="24"/>
        <v>0.25</v>
      </c>
    </row>
    <row r="77" spans="28:37" x14ac:dyDescent="0.2">
      <c r="AB77" s="7">
        <v>3</v>
      </c>
      <c r="AC77" s="7">
        <f t="shared" si="25"/>
        <v>0.25</v>
      </c>
      <c r="AD77" s="7">
        <f t="shared" si="18"/>
        <v>7.3471383486057473E-2</v>
      </c>
      <c r="AE77" s="7">
        <f t="shared" si="26"/>
        <v>0.375</v>
      </c>
      <c r="AF77" s="7">
        <f t="shared" si="19"/>
        <v>-5.3638441597641973E-2</v>
      </c>
      <c r="AG77" s="7">
        <f t="shared" si="20"/>
        <v>0.3125</v>
      </c>
      <c r="AH77" s="7">
        <f t="shared" si="21"/>
        <v>9.7080309392954534E-3</v>
      </c>
      <c r="AI77" s="7">
        <f t="shared" si="22"/>
        <v>7.13262464035487E-4</v>
      </c>
      <c r="AJ77" s="7">
        <f t="shared" si="23"/>
        <v>-5.2072365056550051E-4</v>
      </c>
      <c r="AK77" s="7">
        <f t="shared" si="24"/>
        <v>0.125</v>
      </c>
    </row>
    <row r="78" spans="28:37" x14ac:dyDescent="0.2">
      <c r="AB78" s="7">
        <v>4</v>
      </c>
      <c r="AC78" s="7">
        <f t="shared" si="25"/>
        <v>0.3125</v>
      </c>
      <c r="AD78" s="7">
        <f t="shared" si="18"/>
        <v>9.7080309392954534E-3</v>
      </c>
      <c r="AE78" s="7">
        <f t="shared" si="26"/>
        <v>0.375</v>
      </c>
      <c r="AF78" s="7">
        <f t="shared" si="19"/>
        <v>-5.3638441597641973E-2</v>
      </c>
      <c r="AG78" s="7">
        <f t="shared" si="20"/>
        <v>0.34375</v>
      </c>
      <c r="AH78" s="7">
        <f t="shared" si="21"/>
        <v>-2.2003305819518981E-2</v>
      </c>
      <c r="AI78" s="7">
        <f t="shared" si="22"/>
        <v>-2.1360877366266996E-4</v>
      </c>
      <c r="AJ78" s="7">
        <f t="shared" si="23"/>
        <v>1.1802230341553246E-3</v>
      </c>
      <c r="AK78" s="7">
        <f t="shared" si="24"/>
        <v>6.25E-2</v>
      </c>
    </row>
    <row r="79" spans="28:37" x14ac:dyDescent="0.2">
      <c r="AB79" s="7">
        <v>5</v>
      </c>
      <c r="AC79" s="7">
        <f t="shared" si="25"/>
        <v>0.3125</v>
      </c>
      <c r="AD79" s="7">
        <f t="shared" si="18"/>
        <v>9.7080309392954534E-3</v>
      </c>
      <c r="AE79" s="7">
        <f t="shared" si="26"/>
        <v>0.34375</v>
      </c>
      <c r="AF79" s="7">
        <f t="shared" si="19"/>
        <v>-2.2003305819518981E-2</v>
      </c>
      <c r="AG79" s="7">
        <f t="shared" si="20"/>
        <v>0.328125</v>
      </c>
      <c r="AH79" s="7">
        <f t="shared" si="21"/>
        <v>-6.1585045289154206E-3</v>
      </c>
      <c r="AI79" s="7">
        <f t="shared" si="22"/>
        <v>-5.9786952506502071E-5</v>
      </c>
      <c r="AJ79" s="7">
        <f t="shared" si="23"/>
        <v>1.3550745854061869E-4</v>
      </c>
      <c r="AK79" s="7">
        <f t="shared" si="24"/>
        <v>3.125E-2</v>
      </c>
    </row>
    <row r="80" spans="28:37" x14ac:dyDescent="0.2">
      <c r="AB80" s="7">
        <v>6</v>
      </c>
      <c r="AC80" s="7">
        <f t="shared" si="25"/>
        <v>0.3125</v>
      </c>
      <c r="AD80" s="7">
        <f t="shared" si="18"/>
        <v>9.7080309392954534E-3</v>
      </c>
      <c r="AE80" s="7">
        <f t="shared" si="26"/>
        <v>0.328125</v>
      </c>
      <c r="AF80" s="7">
        <f t="shared" si="19"/>
        <v>-6.1585045289154206E-3</v>
      </c>
      <c r="AG80" s="7">
        <f t="shared" si="20"/>
        <v>0.3203125</v>
      </c>
      <c r="AH80" s="7">
        <f t="shared" si="21"/>
        <v>1.7718505606606483E-3</v>
      </c>
      <c r="AI80" s="7">
        <f t="shared" si="22"/>
        <v>1.7201180062701569E-5</v>
      </c>
      <c r="AJ80" s="7">
        <f t="shared" si="23"/>
        <v>-1.0911949702389929E-5</v>
      </c>
      <c r="AK80" s="7">
        <f t="shared" si="24"/>
        <v>1.5625E-2</v>
      </c>
    </row>
    <row r="81" spans="28:37" x14ac:dyDescent="0.2">
      <c r="AB81" s="7">
        <v>7</v>
      </c>
      <c r="AC81" s="7">
        <f t="shared" si="25"/>
        <v>0.3203125</v>
      </c>
      <c r="AD81" s="7">
        <f t="shared" si="18"/>
        <v>1.7718505606606483E-3</v>
      </c>
      <c r="AE81" s="7">
        <f t="shared" si="26"/>
        <v>0.328125</v>
      </c>
      <c r="AF81" s="7">
        <f t="shared" si="19"/>
        <v>-6.1585045289154206E-3</v>
      </c>
      <c r="AG81" s="7">
        <f t="shared" si="20"/>
        <v>0.32421875</v>
      </c>
      <c r="AH81" s="7">
        <f t="shared" si="21"/>
        <v>-2.1940292131226724E-3</v>
      </c>
      <c r="AI81" s="7">
        <f t="shared" si="22"/>
        <v>-3.8874918913772481E-6</v>
      </c>
      <c r="AJ81" s="7">
        <f t="shared" si="23"/>
        <v>1.3511938845588715E-5</v>
      </c>
      <c r="AK81" s="7">
        <f t="shared" si="24"/>
        <v>7.8125E-3</v>
      </c>
    </row>
    <row r="82" spans="28:37" x14ac:dyDescent="0.2">
      <c r="AB82" s="7">
        <v>8</v>
      </c>
      <c r="AC82" s="7">
        <f t="shared" si="25"/>
        <v>0.3203125</v>
      </c>
      <c r="AD82" s="7">
        <f t="shared" si="18"/>
        <v>1.7718505606606483E-3</v>
      </c>
      <c r="AE82" s="7">
        <f t="shared" si="26"/>
        <v>0.32421875</v>
      </c>
      <c r="AF82" s="7">
        <f t="shared" si="19"/>
        <v>-2.1940292131226724E-3</v>
      </c>
      <c r="AG82" s="7">
        <f t="shared" si="20"/>
        <v>0.322265625</v>
      </c>
      <c r="AH82" s="7">
        <f t="shared" si="21"/>
        <v>-2.1126802859078309E-4</v>
      </c>
      <c r="AI82" s="7">
        <f t="shared" si="22"/>
        <v>-3.7433537490824887E-7</v>
      </c>
      <c r="AJ82" s="7">
        <f t="shared" si="23"/>
        <v>4.6352822652701405E-7</v>
      </c>
      <c r="AK82" s="7">
        <f t="shared" si="24"/>
        <v>3.90625E-3</v>
      </c>
    </row>
    <row r="83" spans="28:37" x14ac:dyDescent="0.2">
      <c r="AB83" s="7">
        <v>9</v>
      </c>
      <c r="AC83" s="7">
        <f t="shared" si="25"/>
        <v>0.3203125</v>
      </c>
      <c r="AD83" s="7">
        <f t="shared" si="18"/>
        <v>1.7718505606606483E-3</v>
      </c>
      <c r="AE83" s="7">
        <f t="shared" si="26"/>
        <v>0.322265625</v>
      </c>
      <c r="AF83" s="7">
        <f t="shared" si="19"/>
        <v>-2.1126802859078309E-4</v>
      </c>
      <c r="AG83" s="7">
        <f t="shared" si="20"/>
        <v>0.3212890625</v>
      </c>
      <c r="AH83" s="7">
        <f t="shared" si="21"/>
        <v>7.8024618909616761E-4</v>
      </c>
      <c r="AI83" s="7">
        <f t="shared" si="22"/>
        <v>1.3824796476033787E-6</v>
      </c>
      <c r="AJ83" s="7">
        <f t="shared" si="23"/>
        <v>-1.6484107418581869E-7</v>
      </c>
      <c r="AK83" s="7">
        <f t="shared" si="24"/>
        <v>1.953125E-3</v>
      </c>
    </row>
    <row r="84" spans="28:37" x14ac:dyDescent="0.2">
      <c r="AB84" s="7">
        <v>10</v>
      </c>
      <c r="AC84" s="7">
        <f t="shared" si="25"/>
        <v>0.3212890625</v>
      </c>
      <c r="AD84" s="7">
        <f t="shared" si="18"/>
        <v>7.8024618909616761E-4</v>
      </c>
      <c r="AE84" s="7">
        <f t="shared" si="26"/>
        <v>0.322265625</v>
      </c>
      <c r="AF84" s="7">
        <f t="shared" si="19"/>
        <v>-2.1126802859078309E-4</v>
      </c>
      <c r="AG84" s="7">
        <f t="shared" si="20"/>
        <v>0.32177734375</v>
      </c>
      <c r="AH84" s="7">
        <f t="shared" si="21"/>
        <v>2.8447786156021726E-4</v>
      </c>
      <c r="AI84" s="7">
        <f t="shared" si="22"/>
        <v>2.2196276736458666E-7</v>
      </c>
      <c r="AJ84" s="7">
        <f t="shared" si="23"/>
        <v>-6.0101076989548809E-8</v>
      </c>
      <c r="AK84" s="7">
        <f t="shared" si="24"/>
        <v>9.765625E-4</v>
      </c>
    </row>
    <row r="85" spans="28:37" x14ac:dyDescent="0.2">
      <c r="AB85" s="7">
        <v>11</v>
      </c>
      <c r="AC85" s="7">
        <f t="shared" si="25"/>
        <v>0.32177734375</v>
      </c>
      <c r="AD85" s="7">
        <f t="shared" si="18"/>
        <v>2.8447786156021726E-4</v>
      </c>
      <c r="AE85" s="7">
        <f t="shared" si="26"/>
        <v>0.322265625</v>
      </c>
      <c r="AF85" s="7">
        <f t="shared" si="19"/>
        <v>-2.1126802859078309E-4</v>
      </c>
      <c r="AG85" s="7">
        <f t="shared" si="20"/>
        <v>0.322021484375</v>
      </c>
      <c r="AH85" s="7">
        <f t="shared" si="21"/>
        <v>3.6602118096473735E-5</v>
      </c>
      <c r="AI85" s="7">
        <f t="shared" si="22"/>
        <v>1.0412492284659379E-8</v>
      </c>
      <c r="AJ85" s="7">
        <f t="shared" si="23"/>
        <v>-7.732857332489032E-9</v>
      </c>
      <c r="AK85" s="7">
        <f t="shared" si="24"/>
        <v>4.8828125E-4</v>
      </c>
    </row>
    <row r="86" spans="28:37" x14ac:dyDescent="0.2">
      <c r="AB86" s="7">
        <v>12</v>
      </c>
      <c r="AC86" s="7">
        <f t="shared" si="25"/>
        <v>0.322021484375</v>
      </c>
      <c r="AD86" s="7">
        <f t="shared" si="18"/>
        <v>3.6602118096473735E-5</v>
      </c>
      <c r="AE86" s="7">
        <f t="shared" si="26"/>
        <v>0.322265625</v>
      </c>
      <c r="AF86" s="7">
        <f t="shared" si="19"/>
        <v>-2.1126802859078309E-4</v>
      </c>
      <c r="AG86" s="7">
        <f t="shared" si="20"/>
        <v>0.3221435546875</v>
      </c>
      <c r="AH86" s="7">
        <f t="shared" si="21"/>
        <v>-8.7333654060661736E-5</v>
      </c>
      <c r="AI86" s="7">
        <f t="shared" si="22"/>
        <v>-3.1965967197249237E-9</v>
      </c>
      <c r="AJ86" s="7">
        <f t="shared" si="23"/>
        <v>1.8450808923025444E-8</v>
      </c>
      <c r="AK86" s="7">
        <f t="shared" si="24"/>
        <v>2.44140625E-4</v>
      </c>
    </row>
    <row r="87" spans="28:37" x14ac:dyDescent="0.2">
      <c r="AB87" s="7">
        <v>13</v>
      </c>
      <c r="AC87" s="7">
        <f t="shared" si="25"/>
        <v>0.322021484375</v>
      </c>
      <c r="AD87" s="7">
        <f t="shared" si="18"/>
        <v>3.6602118096473735E-5</v>
      </c>
      <c r="AE87" s="7">
        <f t="shared" si="26"/>
        <v>0.3221435546875</v>
      </c>
      <c r="AF87" s="7">
        <f t="shared" si="19"/>
        <v>-8.7333654060661736E-5</v>
      </c>
      <c r="AG87" s="7">
        <f t="shared" si="20"/>
        <v>0.32208251953125</v>
      </c>
      <c r="AH87" s="7">
        <f t="shared" si="21"/>
        <v>-2.5365942783350803E-5</v>
      </c>
      <c r="AI87" s="7">
        <f t="shared" si="22"/>
        <v>-9.284472333846018E-10</v>
      </c>
      <c r="AJ87" s="7">
        <f t="shared" si="23"/>
        <v>2.215300471963698E-9</v>
      </c>
      <c r="AK87" s="7">
        <f t="shared" si="24"/>
        <v>1.220703125E-4</v>
      </c>
    </row>
    <row r="88" spans="28:37" x14ac:dyDescent="0.2">
      <c r="AB88" s="7">
        <v>14</v>
      </c>
      <c r="AC88" s="7">
        <f t="shared" si="25"/>
        <v>0.322021484375</v>
      </c>
      <c r="AD88" s="7">
        <f t="shared" si="18"/>
        <v>3.6602118096473735E-5</v>
      </c>
      <c r="AE88" s="7">
        <f t="shared" si="26"/>
        <v>0.32208251953125</v>
      </c>
      <c r="AF88" s="7">
        <f t="shared" si="19"/>
        <v>-2.5365942783350803E-5</v>
      </c>
      <c r="AG88" s="7">
        <f t="shared" si="20"/>
        <v>0.322052001953125</v>
      </c>
      <c r="AH88" s="7">
        <f t="shared" si="21"/>
        <v>5.6180439440001173E-6</v>
      </c>
      <c r="AI88" s="7">
        <f t="shared" si="22"/>
        <v>2.0563230790947137E-10</v>
      </c>
      <c r="AJ88" s="7">
        <f t="shared" si="23"/>
        <v>-1.4250698123785746E-10</v>
      </c>
      <c r="AK88" s="7">
        <f t="shared" si="24"/>
        <v>6.103515625E-5</v>
      </c>
    </row>
    <row r="89" spans="28:37" x14ac:dyDescent="0.2">
      <c r="AB89" s="7">
        <v>15</v>
      </c>
      <c r="AC89" s="7">
        <f t="shared" si="25"/>
        <v>0.322052001953125</v>
      </c>
      <c r="AD89" s="7">
        <f t="shared" si="18"/>
        <v>5.6180439440001173E-6</v>
      </c>
      <c r="AE89" s="7">
        <f t="shared" si="26"/>
        <v>0.32208251953125</v>
      </c>
      <c r="AF89" s="7">
        <f t="shared" si="19"/>
        <v>-2.5365942783350803E-5</v>
      </c>
      <c r="AG89" s="7">
        <f t="shared" si="20"/>
        <v>0.3220672607421875</v>
      </c>
      <c r="AH89" s="7">
        <f t="shared" si="21"/>
        <v>-9.8739603462405512E-6</v>
      </c>
      <c r="AI89" s="7">
        <f t="shared" si="22"/>
        <v>-5.5472343126494028E-11</v>
      </c>
      <c r="AJ89" s="7">
        <f t="shared" si="23"/>
        <v>2.5046231318781251E-10</v>
      </c>
      <c r="AK89" s="7">
        <f t="shared" si="24"/>
        <v>3.0517578125E-5</v>
      </c>
    </row>
    <row r="90" spans="28:37" x14ac:dyDescent="0.2">
      <c r="AB90" s="7">
        <v>16</v>
      </c>
      <c r="AC90" s="7">
        <f t="shared" si="25"/>
        <v>0.322052001953125</v>
      </c>
      <c r="AD90" s="7">
        <f t="shared" si="18"/>
        <v>5.6180439440001173E-6</v>
      </c>
      <c r="AE90" s="7">
        <f t="shared" si="26"/>
        <v>0.3220672607421875</v>
      </c>
      <c r="AF90" s="7">
        <f t="shared" si="19"/>
        <v>-9.8739603462405512E-6</v>
      </c>
      <c r="AG90" s="7">
        <f t="shared" si="20"/>
        <v>0.32205963134765625</v>
      </c>
      <c r="AH90" s="7">
        <f t="shared" si="21"/>
        <v>-2.1279609329627469E-6</v>
      </c>
      <c r="AI90" s="7">
        <f t="shared" si="22"/>
        <v>-1.19549780325002E-11</v>
      </c>
      <c r="AJ90" s="7">
        <f t="shared" si="23"/>
        <v>2.1011401870423212E-11</v>
      </c>
      <c r="AK90" s="7">
        <f t="shared" si="24"/>
        <v>1.52587890625E-5</v>
      </c>
    </row>
    <row r="91" spans="28:37" x14ac:dyDescent="0.2">
      <c r="AB91" s="7">
        <v>17</v>
      </c>
      <c r="AC91" s="7">
        <f t="shared" si="25"/>
        <v>0.322052001953125</v>
      </c>
      <c r="AD91" s="7">
        <f t="shared" si="18"/>
        <v>5.6180439440001173E-6</v>
      </c>
      <c r="AE91" s="7">
        <f t="shared" si="26"/>
        <v>0.32205963134765625</v>
      </c>
      <c r="AF91" s="7">
        <f t="shared" si="19"/>
        <v>-2.1279609329627469E-6</v>
      </c>
      <c r="AG91" s="7">
        <f t="shared" si="20"/>
        <v>0.32205581665039062</v>
      </c>
      <c r="AH91" s="7">
        <f t="shared" si="21"/>
        <v>1.7450408225649916E-6</v>
      </c>
      <c r="AI91" s="7">
        <f t="shared" si="22"/>
        <v>9.8037160252442346E-12</v>
      </c>
      <c r="AJ91" s="7">
        <f t="shared" si="23"/>
        <v>-3.7133786968434785E-12</v>
      </c>
      <c r="AK91" s="7">
        <f t="shared" si="24"/>
        <v>7.62939453125E-6</v>
      </c>
    </row>
    <row r="92" spans="28:37" x14ac:dyDescent="0.2">
      <c r="AB92" s="7">
        <v>18</v>
      </c>
      <c r="AC92" s="7">
        <f t="shared" si="25"/>
        <v>0.32205581665039062</v>
      </c>
      <c r="AD92" s="7">
        <f t="shared" si="18"/>
        <v>1.7450408225649916E-6</v>
      </c>
      <c r="AE92" s="7">
        <f t="shared" si="26"/>
        <v>0.32205963134765625</v>
      </c>
      <c r="AF92" s="7">
        <f t="shared" si="19"/>
        <v>-2.1279609329627469E-6</v>
      </c>
      <c r="AG92" s="7">
        <f t="shared" si="20"/>
        <v>0.32205772399902344</v>
      </c>
      <c r="AH92" s="7">
        <f t="shared" si="21"/>
        <v>-1.9146022595117884E-7</v>
      </c>
      <c r="AI92" s="7">
        <f t="shared" si="22"/>
        <v>-3.3410591018232428E-13</v>
      </c>
      <c r="AJ92" s="7">
        <f t="shared" si="23"/>
        <v>4.0741988104032888E-13</v>
      </c>
      <c r="AK92" s="7">
        <f t="shared" si="24"/>
        <v>3.814697265625E-6</v>
      </c>
    </row>
    <row r="93" spans="28:37" x14ac:dyDescent="0.2">
      <c r="AB93" s="7">
        <v>19</v>
      </c>
      <c r="AC93" s="7">
        <f t="shared" si="25"/>
        <v>0.32205581665039062</v>
      </c>
      <c r="AD93" s="7">
        <f t="shared" si="18"/>
        <v>1.7450408225649916E-6</v>
      </c>
      <c r="AE93" s="7">
        <f t="shared" si="26"/>
        <v>0.32205772399902344</v>
      </c>
      <c r="AF93" s="7">
        <f t="shared" si="19"/>
        <v>-1.9146022595117884E-7</v>
      </c>
      <c r="AG93" s="7">
        <f t="shared" si="20"/>
        <v>0.32205677032470703</v>
      </c>
      <c r="AH93" s="7">
        <f t="shared" si="21"/>
        <v>7.7679025561883108E-7</v>
      </c>
      <c r="AI93" s="7">
        <f t="shared" si="22"/>
        <v>1.3555307066255551E-12</v>
      </c>
      <c r="AJ93" s="7">
        <f t="shared" si="23"/>
        <v>-1.4872443785745538E-13</v>
      </c>
      <c r="AK93" s="7">
        <f t="shared" si="24"/>
        <v>1.9073486328125E-6</v>
      </c>
    </row>
    <row r="94" spans="28:37" x14ac:dyDescent="0.2">
      <c r="AB94" s="7">
        <v>20</v>
      </c>
      <c r="AC94" s="7">
        <f t="shared" si="25"/>
        <v>0.32205677032470703</v>
      </c>
      <c r="AD94" s="7">
        <f t="shared" si="18"/>
        <v>7.7679025561883108E-7</v>
      </c>
      <c r="AE94" s="7">
        <f t="shared" si="26"/>
        <v>0.32205772399902344</v>
      </c>
      <c r="AF94" s="7">
        <f t="shared" si="19"/>
        <v>-1.9146022595117884E-7</v>
      </c>
      <c r="AG94" s="7">
        <f t="shared" si="20"/>
        <v>0.32205724716186523</v>
      </c>
      <c r="AH94" s="7">
        <f t="shared" si="21"/>
        <v>2.9266500417568508E-7</v>
      </c>
      <c r="AI94" s="7">
        <f t="shared" si="22"/>
        <v>2.2733932340431668E-13</v>
      </c>
      <c r="AJ94" s="7">
        <f t="shared" si="23"/>
        <v>-5.6033707827479367E-14</v>
      </c>
      <c r="AK94" s="7">
        <f t="shared" si="24"/>
        <v>9.5367431640625E-7</v>
      </c>
    </row>
    <row r="95" spans="28:37" x14ac:dyDescent="0.2">
      <c r="AB95" s="7">
        <v>21</v>
      </c>
      <c r="AC95" s="7">
        <f t="shared" si="25"/>
        <v>0.32205724716186523</v>
      </c>
      <c r="AD95" s="7">
        <f t="shared" si="18"/>
        <v>2.9266500417568508E-7</v>
      </c>
      <c r="AE95" s="7">
        <f t="shared" si="26"/>
        <v>0.32205772399902344</v>
      </c>
      <c r="AF95" s="7">
        <f t="shared" si="19"/>
        <v>-1.9146022595117884E-7</v>
      </c>
      <c r="AG95" s="7">
        <f t="shared" si="20"/>
        <v>0.32205748558044434</v>
      </c>
      <c r="AH95" s="7">
        <f t="shared" si="21"/>
        <v>5.0602386447717862E-8</v>
      </c>
      <c r="AI95" s="7">
        <f t="shared" si="22"/>
        <v>1.480954764102098E-14</v>
      </c>
      <c r="AJ95" s="7">
        <f t="shared" si="23"/>
        <v>-9.6883443429489316E-15</v>
      </c>
      <c r="AK95" s="7">
        <f t="shared" si="24"/>
        <v>4.76837158203125E-7</v>
      </c>
    </row>
    <row r="96" spans="28:37" x14ac:dyDescent="0.2">
      <c r="AB96" s="7">
        <v>22</v>
      </c>
      <c r="AC96" s="7">
        <f t="shared" si="25"/>
        <v>0.32205748558044434</v>
      </c>
      <c r="AD96" s="7">
        <f t="shared" si="18"/>
        <v>5.0602386447717862E-8</v>
      </c>
      <c r="AE96" s="7">
        <f t="shared" si="26"/>
        <v>0.32205772399902344</v>
      </c>
      <c r="AF96" s="7">
        <f t="shared" si="19"/>
        <v>-1.9146022595117884E-7</v>
      </c>
      <c r="AG96" s="7">
        <f t="shared" si="20"/>
        <v>0.32205760478973389</v>
      </c>
      <c r="AH96" s="7">
        <f t="shared" si="21"/>
        <v>-7.0428920417864305E-8</v>
      </c>
      <c r="AI96" s="7">
        <f t="shared" si="22"/>
        <v>-3.5638714480803368E-15</v>
      </c>
      <c r="AJ96" s="7">
        <f t="shared" si="23"/>
        <v>1.3484337016701892E-14</v>
      </c>
      <c r="AK96" s="7">
        <f t="shared" si="24"/>
        <v>2.384185791015625E-7</v>
      </c>
    </row>
    <row r="97" spans="28:37" x14ac:dyDescent="0.2">
      <c r="AB97" s="7">
        <v>23</v>
      </c>
      <c r="AC97" s="7">
        <f t="shared" si="25"/>
        <v>0.32205748558044434</v>
      </c>
      <c r="AD97" s="7">
        <f t="shared" si="18"/>
        <v>5.0602386447717862E-8</v>
      </c>
      <c r="AE97" s="7">
        <f t="shared" si="26"/>
        <v>0.32205760478973389</v>
      </c>
      <c r="AF97" s="7">
        <f t="shared" si="19"/>
        <v>-7.0428920417864305E-8</v>
      </c>
      <c r="AG97" s="7">
        <f t="shared" si="20"/>
        <v>0.32205754518508911</v>
      </c>
      <c r="AH97" s="7">
        <f t="shared" si="21"/>
        <v>-9.913267151606675E-9</v>
      </c>
      <c r="AI97" s="7">
        <f t="shared" si="22"/>
        <v>-5.0163497536506828E-16</v>
      </c>
      <c r="AJ97" s="7">
        <f t="shared" si="23"/>
        <v>6.9818070330153485E-16</v>
      </c>
      <c r="AK97" s="7">
        <f t="shared" si="24"/>
        <v>1.1920928955078125E-7</v>
      </c>
    </row>
    <row r="98" spans="28:37" x14ac:dyDescent="0.2">
      <c r="AB98" s="7">
        <v>24</v>
      </c>
      <c r="AC98" s="7">
        <f t="shared" si="25"/>
        <v>0.32205748558044434</v>
      </c>
      <c r="AD98" s="7">
        <f t="shared" si="18"/>
        <v>5.0602386447717862E-8</v>
      </c>
      <c r="AE98" s="7">
        <f t="shared" si="26"/>
        <v>0.32205754518508911</v>
      </c>
      <c r="AF98" s="7">
        <f t="shared" si="19"/>
        <v>-9.913267151606675E-9</v>
      </c>
      <c r="AG98" s="7">
        <f t="shared" si="20"/>
        <v>0.32205751538276672</v>
      </c>
      <c r="AH98" s="7">
        <f t="shared" si="21"/>
        <v>2.0344559592544442E-8</v>
      </c>
      <c r="AI98" s="7">
        <f t="shared" si="22"/>
        <v>1.0294832666105593E-15</v>
      </c>
      <c r="AJ98" s="7">
        <f t="shared" si="23"/>
        <v>-2.0168105432267531E-16</v>
      </c>
      <c r="AK98" s="7">
        <f t="shared" si="24"/>
        <v>5.9604644775390625E-8</v>
      </c>
    </row>
    <row r="99" spans="28:37" x14ac:dyDescent="0.2">
      <c r="AB99" s="7">
        <v>25</v>
      </c>
      <c r="AC99" s="7">
        <f t="shared" si="25"/>
        <v>0.32205751538276672</v>
      </c>
      <c r="AD99" s="7">
        <f t="shared" si="18"/>
        <v>2.0344559592544442E-8</v>
      </c>
      <c r="AE99" s="7">
        <f t="shared" si="26"/>
        <v>0.32205754518508911</v>
      </c>
      <c r="AF99" s="7">
        <f t="shared" si="19"/>
        <v>-9.913267151606675E-9</v>
      </c>
      <c r="AG99" s="7">
        <f t="shared" si="20"/>
        <v>0.32205753028392792</v>
      </c>
      <c r="AH99" s="7">
        <f t="shared" si="21"/>
        <v>5.215646192713308E-9</v>
      </c>
      <c r="AI99" s="7">
        <f t="shared" si="22"/>
        <v>1.0611002478128343E-16</v>
      </c>
      <c r="AJ99" s="7">
        <f t="shared" si="23"/>
        <v>-5.1704094076627251E-17</v>
      </c>
      <c r="AK99" s="7">
        <f t="shared" si="24"/>
        <v>2.9802322387695312E-8</v>
      </c>
    </row>
    <row r="100" spans="28:37" x14ac:dyDescent="0.2">
      <c r="AB100" s="7">
        <v>26</v>
      </c>
      <c r="AC100" s="7">
        <f t="shared" si="25"/>
        <v>0.32205753028392792</v>
      </c>
      <c r="AD100" s="7">
        <f t="shared" si="18"/>
        <v>5.215646192713308E-9</v>
      </c>
      <c r="AE100" s="7">
        <f t="shared" si="26"/>
        <v>0.32205754518508911</v>
      </c>
      <c r="AF100" s="7">
        <f t="shared" si="19"/>
        <v>-9.913267151606675E-9</v>
      </c>
      <c r="AG100" s="7">
        <f t="shared" si="20"/>
        <v>0.32205753773450851</v>
      </c>
      <c r="AH100" s="7">
        <f t="shared" si="21"/>
        <v>-2.3488104794466835E-9</v>
      </c>
      <c r="AI100" s="7">
        <f t="shared" si="22"/>
        <v>-1.2250564434531214E-17</v>
      </c>
      <c r="AJ100" s="7">
        <f t="shared" si="23"/>
        <v>2.3284385771248333E-17</v>
      </c>
      <c r="AK100" s="7">
        <f t="shared" si="24"/>
        <v>1.4901161193847656E-8</v>
      </c>
    </row>
    <row r="101" spans="28:37" x14ac:dyDescent="0.2">
      <c r="AB101" s="7">
        <v>27</v>
      </c>
      <c r="AC101" s="7">
        <f t="shared" si="25"/>
        <v>0.32205753028392792</v>
      </c>
      <c r="AD101" s="7">
        <f t="shared" si="18"/>
        <v>5.215646192713308E-9</v>
      </c>
      <c r="AE101" s="7">
        <f t="shared" si="26"/>
        <v>0.32205753773450851</v>
      </c>
      <c r="AF101" s="7">
        <f t="shared" si="19"/>
        <v>-2.3488104794466835E-9</v>
      </c>
      <c r="AG101" s="7">
        <f t="shared" si="20"/>
        <v>0.32205753400921822</v>
      </c>
      <c r="AH101" s="7">
        <f t="shared" si="21"/>
        <v>1.4334178288777366E-9</v>
      </c>
      <c r="AI101" s="7">
        <f t="shared" si="22"/>
        <v>7.476200241753543E-18</v>
      </c>
      <c r="AJ101" s="7">
        <f t="shared" si="23"/>
        <v>-3.3668268178937407E-18</v>
      </c>
      <c r="AK101" s="7">
        <f t="shared" si="24"/>
        <v>7.4505805969238281E-9</v>
      </c>
    </row>
    <row r="102" spans="28:37" x14ac:dyDescent="0.2">
      <c r="AB102" s="7">
        <v>28</v>
      </c>
      <c r="AC102" s="7">
        <f t="shared" si="25"/>
        <v>0.32205753400921822</v>
      </c>
      <c r="AD102" s="7">
        <f t="shared" si="18"/>
        <v>1.4334178288777366E-9</v>
      </c>
      <c r="AE102" s="7">
        <f t="shared" si="26"/>
        <v>0.32205753773450851</v>
      </c>
      <c r="AF102" s="7">
        <f t="shared" si="19"/>
        <v>-2.3488104794466835E-9</v>
      </c>
      <c r="AG102" s="7">
        <f t="shared" si="20"/>
        <v>0.32205753587186337</v>
      </c>
      <c r="AH102" s="7">
        <f t="shared" si="21"/>
        <v>-4.5769632528447346E-10</v>
      </c>
      <c r="AI102" s="7">
        <f t="shared" si="22"/>
        <v>-6.5607007287458825E-19</v>
      </c>
      <c r="AJ102" s="7">
        <f t="shared" si="23"/>
        <v>1.0750419252324093E-18</v>
      </c>
      <c r="AK102" s="7">
        <f t="shared" si="24"/>
        <v>3.7252902984619141E-9</v>
      </c>
    </row>
    <row r="103" spans="28:37" x14ac:dyDescent="0.2">
      <c r="AB103" s="7">
        <v>29</v>
      </c>
      <c r="AC103" s="7">
        <f t="shared" si="25"/>
        <v>0.32205753400921822</v>
      </c>
      <c r="AD103" s="7">
        <f t="shared" si="18"/>
        <v>1.4334178288777366E-9</v>
      </c>
      <c r="AE103" s="7">
        <f t="shared" si="26"/>
        <v>0.32205753587186337</v>
      </c>
      <c r="AF103" s="7">
        <f t="shared" si="19"/>
        <v>-4.5769632528447346E-10</v>
      </c>
      <c r="AG103" s="7">
        <f t="shared" si="20"/>
        <v>0.32205753494054079</v>
      </c>
      <c r="AH103" s="7">
        <f t="shared" si="21"/>
        <v>4.8786075179663158E-10</v>
      </c>
      <c r="AI103" s="7">
        <f t="shared" si="22"/>
        <v>6.9930829963498797E-19</v>
      </c>
      <c r="AJ103" s="7">
        <f t="shared" si="23"/>
        <v>-2.2329207334783886E-19</v>
      </c>
      <c r="AK103" s="7">
        <f t="shared" si="24"/>
        <v>1.862645149230957E-9</v>
      </c>
    </row>
    <row r="104" spans="28:37" x14ac:dyDescent="0.2">
      <c r="AB104" s="7">
        <v>30</v>
      </c>
      <c r="AC104" s="7">
        <f t="shared" si="25"/>
        <v>0.32205753494054079</v>
      </c>
      <c r="AD104" s="7">
        <f t="shared" si="18"/>
        <v>4.8786075179663158E-10</v>
      </c>
      <c r="AE104" s="7">
        <f t="shared" si="26"/>
        <v>0.32205753587186337</v>
      </c>
      <c r="AF104" s="7">
        <f t="shared" si="19"/>
        <v>-4.5769632528447346E-10</v>
      </c>
      <c r="AG104" s="7">
        <f t="shared" si="20"/>
        <v>0.32205753540620208</v>
      </c>
      <c r="AH104" s="7">
        <f t="shared" si="21"/>
        <v>1.5082213256079058E-11</v>
      </c>
      <c r="AI104" s="7">
        <f t="shared" si="22"/>
        <v>7.3580198978678518E-21</v>
      </c>
      <c r="AJ104" s="7">
        <f t="shared" si="23"/>
        <v>-6.9030735844641581E-21</v>
      </c>
      <c r="AK104" s="7">
        <f t="shared" si="24"/>
        <v>9.3132257461547852E-10</v>
      </c>
    </row>
  </sheetData>
  <mergeCells count="18">
    <mergeCell ref="B16:D16"/>
    <mergeCell ref="F21:H21"/>
    <mergeCell ref="B25:D25"/>
    <mergeCell ref="F26:H26"/>
    <mergeCell ref="B35:D35"/>
    <mergeCell ref="V3:X3"/>
    <mergeCell ref="F10:H10"/>
    <mergeCell ref="J10:L10"/>
    <mergeCell ref="B11:D11"/>
    <mergeCell ref="N15:P15"/>
    <mergeCell ref="R15:T15"/>
    <mergeCell ref="V15:X15"/>
    <mergeCell ref="R3:T3"/>
    <mergeCell ref="B1:D1"/>
    <mergeCell ref="B3:D3"/>
    <mergeCell ref="F3:H3"/>
    <mergeCell ref="J3:L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multirotor_aerofidelity1</vt:lpstr>
      <vt:lpstr>lift+cruise_aerofidelity1</vt:lpstr>
      <vt:lpstr>multirotor_aerofidelity0</vt:lpstr>
      <vt:lpstr>lift+cruise_aerofidelity0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HARIANSYAH Muhammad Alfiyandy</dc:creator>
  <cp:lastModifiedBy>HARIANSYAH Muhammad Alfiyandy</cp:lastModifiedBy>
  <dcterms:created xsi:type="dcterms:W3CDTF">2024-06-18T08:10:20Z</dcterms:created>
  <dcterms:modified xsi:type="dcterms:W3CDTF">2024-12-18T09:57:44Z</dcterms:modified>
</cp:coreProperties>
</file>