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CBFEE632-F083-1746-BA7F-6EAB2993DFEE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K11" i="12"/>
  <c r="K9" i="9"/>
  <c r="K9" i="14"/>
  <c r="G36" i="15"/>
  <c r="G32" i="12"/>
  <c r="G30" i="9"/>
  <c r="G36" i="14"/>
  <c r="K9" i="13"/>
  <c r="G34" i="13"/>
  <c r="G30" i="10"/>
  <c r="O45" i="13" l="1"/>
  <c r="O46" i="13" s="1"/>
  <c r="G7" i="13"/>
  <c r="G8" i="13" s="1"/>
  <c r="O20" i="14"/>
  <c r="G7" i="15"/>
  <c r="G8" i="15" s="1"/>
  <c r="O21" i="15"/>
  <c r="O19" i="15"/>
  <c r="O5" i="15"/>
  <c r="AH4" i="15"/>
  <c r="AD4" i="15"/>
  <c r="G7" i="14"/>
  <c r="G8" i="14" s="1"/>
  <c r="O8" i="14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O4" i="14" s="1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S22" i="15" l="1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AO6" i="13"/>
  <c r="AK6" i="13"/>
  <c r="AG7" i="13" s="1"/>
  <c r="G15" i="13"/>
  <c r="K31" i="13"/>
  <c r="AM7" i="15" l="1"/>
  <c r="AO7" i="15" s="1"/>
  <c r="AM8" i="15" s="1"/>
  <c r="AS6" i="15"/>
  <c r="AO6" i="14"/>
  <c r="AK7" i="14" s="1"/>
  <c r="AK8" i="15"/>
  <c r="AI7" i="13"/>
  <c r="AK7" i="13" s="1"/>
  <c r="AI8" i="13" s="1"/>
  <c r="AM7" i="14" l="1"/>
  <c r="AS7" i="14" s="1"/>
  <c r="AS7" i="15"/>
  <c r="AS8" i="15"/>
  <c r="AO8" i="15"/>
  <c r="AK9" i="15" s="1"/>
  <c r="AO7" i="13"/>
  <c r="AG8" i="13"/>
  <c r="AK8" i="13" s="1"/>
  <c r="AO7" i="14" l="1"/>
  <c r="AM8" i="14" s="1"/>
  <c r="AM9" i="15"/>
  <c r="AS9" i="15" s="1"/>
  <c r="AK8" i="14"/>
  <c r="AO8" i="13"/>
  <c r="AI9" i="13"/>
  <c r="AG9" i="13"/>
  <c r="AO8" i="14" l="1"/>
  <c r="AK9" i="14" s="1"/>
  <c r="AO9" i="15"/>
  <c r="AM10" i="15" s="1"/>
  <c r="AS8" i="14"/>
  <c r="AM9" i="14"/>
  <c r="AK9" i="13"/>
  <c r="AO9" i="13"/>
  <c r="AK10" i="15" l="1"/>
  <c r="AS10" i="15" s="1"/>
  <c r="AS9" i="14"/>
  <c r="AO9" i="14"/>
  <c r="AG10" i="13"/>
  <c r="AI10" i="13"/>
  <c r="AO10" i="15" l="1"/>
  <c r="AM11" i="15" s="1"/>
  <c r="AK11" i="15"/>
  <c r="AK10" i="14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K16" i="15"/>
  <c r="AM14" i="14"/>
  <c r="AK14" i="14"/>
  <c r="AO15" i="15" l="1"/>
  <c r="AM16" i="15" s="1"/>
  <c r="AS16" i="15" s="1"/>
  <c r="AO15" i="13"/>
  <c r="AO14" i="14"/>
  <c r="AM15" i="14" s="1"/>
  <c r="AK15" i="14"/>
  <c r="AS14" i="14"/>
  <c r="AG16" i="13"/>
  <c r="AI16" i="13"/>
  <c r="AO16" i="15" l="1"/>
  <c r="AM17" i="15" s="1"/>
  <c r="AK17" i="15"/>
  <c r="AO15" i="14"/>
  <c r="AK16" i="14" s="1"/>
  <c r="AM16" i="14"/>
  <c r="AS15" i="14"/>
  <c r="AO16" i="13"/>
  <c r="AK16" i="13"/>
  <c r="AS17" i="15" l="1"/>
  <c r="AO17" i="15"/>
  <c r="AS16" i="14"/>
  <c r="AO16" i="14"/>
  <c r="AG17" i="13"/>
  <c r="AI17" i="13"/>
  <c r="AM18" i="15" l="1"/>
  <c r="AK18" i="15"/>
  <c r="AM17" i="14"/>
  <c r="AK17" i="14"/>
  <c r="AK17" i="13"/>
  <c r="AO17" i="13"/>
  <c r="AO17" i="14" l="1"/>
  <c r="AK18" i="14" s="1"/>
  <c r="AO18" i="15"/>
  <c r="AK19" i="15" s="1"/>
  <c r="AS18" i="15"/>
  <c r="AM18" i="14"/>
  <c r="AS17" i="14"/>
  <c r="AI18" i="13"/>
  <c r="AG18" i="13"/>
  <c r="AM19" i="15" l="1"/>
  <c r="AS19" i="15" s="1"/>
  <c r="AS18" i="14"/>
  <c r="AO18" i="14"/>
  <c r="AK18" i="13"/>
  <c r="AG19" i="13" s="1"/>
  <c r="AO18" i="13"/>
  <c r="AO19" i="15" l="1"/>
  <c r="AK20" i="15" s="1"/>
  <c r="AK19" i="14"/>
  <c r="AM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1" i="15"/>
  <c r="AM20" i="14"/>
  <c r="AS20" i="14" s="1"/>
  <c r="AK20" i="13" l="1"/>
  <c r="AG21" i="13" s="1"/>
  <c r="AS21" i="15"/>
  <c r="AO21" i="15"/>
  <c r="AM22" i="15" s="1"/>
  <c r="AO20" i="14"/>
  <c r="AI21" i="13"/>
  <c r="AK22" i="15" l="1"/>
  <c r="AO22" i="15" s="1"/>
  <c r="AM21" i="14"/>
  <c r="AK21" i="14"/>
  <c r="AO21" i="13"/>
  <c r="AK21" i="13"/>
  <c r="AS22" i="15" l="1"/>
  <c r="AK23" i="15"/>
  <c r="AM23" i="15"/>
  <c r="AO21" i="14"/>
  <c r="AM22" i="14" s="1"/>
  <c r="AS21" i="14"/>
  <c r="AG22" i="13"/>
  <c r="AI22" i="13"/>
  <c r="AS23" i="15" l="1"/>
  <c r="AO23" i="15"/>
  <c r="AK24" i="15" s="1"/>
  <c r="AK22" i="14"/>
  <c r="AO22" i="14" s="1"/>
  <c r="AO22" i="13"/>
  <c r="AK22" i="13"/>
  <c r="AM24" i="15" l="1"/>
  <c r="AO24" i="15" s="1"/>
  <c r="AK23" i="14"/>
  <c r="AM23" i="14"/>
  <c r="AS22" i="14"/>
  <c r="AG23" i="13"/>
  <c r="AI23" i="13"/>
  <c r="AS24" i="15" l="1"/>
  <c r="AM25" i="15"/>
  <c r="AK25" i="15"/>
  <c r="AS23" i="14"/>
  <c r="AO23" i="14"/>
  <c r="AO23" i="13"/>
  <c r="AK23" i="13"/>
  <c r="AO25" i="15" l="1"/>
  <c r="AM26" i="15" s="1"/>
  <c r="AS25" i="15"/>
  <c r="AM24" i="14"/>
  <c r="AK24" i="14"/>
  <c r="AG24" i="13"/>
  <c r="AI24" i="13"/>
  <c r="AK26" i="15" l="1"/>
  <c r="AS26" i="15" s="1"/>
  <c r="AO24" i="14"/>
  <c r="AK25" i="14" s="1"/>
  <c r="AM25" i="14"/>
  <c r="AS24" i="14"/>
  <c r="AO24" i="13"/>
  <c r="AK24" i="13"/>
  <c r="AO26" i="15" l="1"/>
  <c r="AK27" i="15" s="1"/>
  <c r="AO25" i="14"/>
  <c r="AK26" i="14" s="1"/>
  <c r="AM27" i="15"/>
  <c r="AM26" i="14"/>
  <c r="AS25" i="14"/>
  <c r="AI25" i="13"/>
  <c r="AG25" i="13"/>
  <c r="AO27" i="15" l="1"/>
  <c r="AS27" i="15"/>
  <c r="AS26" i="14"/>
  <c r="AO26" i="14"/>
  <c r="AK25" i="13"/>
  <c r="AI26" i="13" s="1"/>
  <c r="AG26" i="13"/>
  <c r="AO25" i="13"/>
  <c r="AK28" i="15" l="1"/>
  <c r="AM28" i="15"/>
  <c r="AK27" i="14"/>
  <c r="AM27" i="14"/>
  <c r="AO26" i="13"/>
  <c r="AK26" i="13"/>
  <c r="AS27" i="14" l="1"/>
  <c r="AS28" i="15"/>
  <c r="AO28" i="15"/>
  <c r="AO27" i="14"/>
  <c r="AI27" i="13"/>
  <c r="AG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M30" i="14"/>
  <c r="AS29" i="14"/>
  <c r="AK28" i="13"/>
  <c r="AG29" i="13" s="1"/>
  <c r="AI29" i="13" l="1"/>
  <c r="AK29" i="13" s="1"/>
  <c r="AS30" i="15"/>
  <c r="AO30" i="15"/>
  <c r="AK31" i="15" s="1"/>
  <c r="AS30" i="14"/>
  <c r="AO30" i="14"/>
  <c r="O7" i="15"/>
  <c r="O9" i="15" s="1"/>
  <c r="O9" i="14"/>
  <c r="O10" i="14" s="1"/>
  <c r="AO29" i="13" l="1"/>
  <c r="AM31" i="15"/>
  <c r="AS31" i="15" s="1"/>
  <c r="AM31" i="14"/>
  <c r="AK31" i="14"/>
  <c r="O10" i="15"/>
  <c r="O12" i="15"/>
  <c r="O18" i="14"/>
  <c r="AG30" i="13"/>
  <c r="AI30" i="13"/>
  <c r="AO31" i="15" l="1"/>
  <c r="AO31" i="14"/>
  <c r="AK32" i="14" s="1"/>
  <c r="AM32" i="14"/>
  <c r="AS31" i="14"/>
  <c r="O21" i="14"/>
  <c r="O24" i="14" s="1"/>
  <c r="O14" i="15"/>
  <c r="AK30" i="13"/>
  <c r="AO30" i="13"/>
  <c r="AK32" i="15" l="1"/>
  <c r="AM32" i="15"/>
  <c r="AO32" i="14"/>
  <c r="AK33" i="14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M38" i="15"/>
  <c r="AS38" i="14"/>
  <c r="AO38" i="14"/>
  <c r="AO35" i="13"/>
  <c r="AK35" i="13"/>
  <c r="AS37" i="15" l="1"/>
  <c r="AS38" i="15"/>
  <c r="AO38" i="15"/>
  <c r="AM39" i="14"/>
  <c r="AK39" i="14"/>
  <c r="AG36" i="13"/>
  <c r="AI36" i="13"/>
  <c r="AO39" i="14" l="1"/>
  <c r="AM40" i="14" s="1"/>
  <c r="AK39" i="15"/>
  <c r="AM39" i="15"/>
  <c r="AK40" i="14"/>
  <c r="AS39" i="14"/>
  <c r="AO36" i="13"/>
  <c r="AK36" i="13"/>
  <c r="AO40" i="14" l="1"/>
  <c r="AM41" i="14" s="1"/>
  <c r="AS39" i="15"/>
  <c r="AO39" i="15"/>
  <c r="AK41" i="14"/>
  <c r="AS40" i="14"/>
  <c r="AG37" i="13"/>
  <c r="AI37" i="13"/>
  <c r="AS41" i="14" l="1"/>
  <c r="AK40" i="15"/>
  <c r="AM40" i="15"/>
  <c r="AO41" i="14"/>
  <c r="AO37" i="13"/>
  <c r="AK37" i="13"/>
  <c r="AS40" i="15" l="1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M43" i="15"/>
  <c r="AS44" i="14"/>
  <c r="AO44" i="14"/>
  <c r="C5" i="14" s="1"/>
  <c r="AO40" i="13"/>
  <c r="AK40" i="13"/>
  <c r="AO43" i="15" l="1"/>
  <c r="AM44" i="15" s="1"/>
  <c r="AS43" i="15"/>
  <c r="K39" i="14"/>
  <c r="K19" i="14"/>
  <c r="K23" i="14"/>
  <c r="K47" i="14"/>
  <c r="S5" i="14"/>
  <c r="S6" i="14" s="1"/>
  <c r="S8" i="14" s="1"/>
  <c r="K26" i="14"/>
  <c r="K25" i="14"/>
  <c r="G13" i="14"/>
  <c r="K18" i="14"/>
  <c r="K24" i="14"/>
  <c r="K12" i="14"/>
  <c r="G9" i="14"/>
  <c r="G30" i="14"/>
  <c r="O14" i="14"/>
  <c r="O19" i="14" s="1"/>
  <c r="G33" i="14"/>
  <c r="G31" i="14" s="1"/>
  <c r="AI41" i="13"/>
  <c r="AG41" i="13"/>
  <c r="AK44" i="15" l="1"/>
  <c r="AS44" i="15" s="1"/>
  <c r="S11" i="14"/>
  <c r="S9" i="14"/>
  <c r="S10" i="14" s="1"/>
  <c r="S14" i="14" s="1"/>
  <c r="K35" i="14"/>
  <c r="K43" i="14"/>
  <c r="O27" i="14"/>
  <c r="O29" i="14" s="1"/>
  <c r="O22" i="14"/>
  <c r="G32" i="14"/>
  <c r="AK41" i="13"/>
  <c r="AI42" i="13" s="1"/>
  <c r="AO41" i="13"/>
  <c r="AO44" i="15" l="1"/>
  <c r="C5" i="15" s="1"/>
  <c r="G13" i="15" s="1"/>
  <c r="G30" i="15"/>
  <c r="S19" i="14"/>
  <c r="K14" i="14" s="1"/>
  <c r="S15" i="14"/>
  <c r="S18" i="14" s="1"/>
  <c r="S21" i="14" s="1"/>
  <c r="AC4" i="14"/>
  <c r="AE4" i="14"/>
  <c r="AA4" i="14"/>
  <c r="AG42" i="13"/>
  <c r="AO42" i="13" s="1"/>
  <c r="O16" i="15" l="1"/>
  <c r="K24" i="15"/>
  <c r="K34" i="15"/>
  <c r="O20" i="15"/>
  <c r="K27" i="15"/>
  <c r="S6" i="15"/>
  <c r="S7" i="15" s="1"/>
  <c r="S9" i="15" s="1"/>
  <c r="S10" i="15" s="1"/>
  <c r="K29" i="15"/>
  <c r="K21" i="15"/>
  <c r="G9" i="15"/>
  <c r="K23" i="15"/>
  <c r="K14" i="15"/>
  <c r="S4" i="15"/>
  <c r="S12" i="15" s="1"/>
  <c r="S13" i="15" s="1"/>
  <c r="K26" i="15"/>
  <c r="K28" i="15"/>
  <c r="G33" i="15"/>
  <c r="G31" i="15" s="1"/>
  <c r="G32" i="15" s="1"/>
  <c r="K22" i="15"/>
  <c r="K20" i="15"/>
  <c r="O28" i="15"/>
  <c r="O30" i="15" s="1"/>
  <c r="O23" i="15"/>
  <c r="AK42" i="13"/>
  <c r="AG43" i="13" s="1"/>
  <c r="AF4" i="14"/>
  <c r="Z5" i="14" s="1"/>
  <c r="AA5" i="14" s="1"/>
  <c r="S24" i="14"/>
  <c r="S27" i="14" s="1"/>
  <c r="S29" i="14" s="1"/>
  <c r="AG4" i="14"/>
  <c r="AB5" i="14" s="1"/>
  <c r="S22" i="14"/>
  <c r="G23" i="14" s="1"/>
  <c r="G20" i="14"/>
  <c r="K15" i="14"/>
  <c r="K46" i="15" l="1"/>
  <c r="K38" i="15"/>
  <c r="AD5" i="14"/>
  <c r="AE5" i="14" s="1"/>
  <c r="AF5" i="14" s="1"/>
  <c r="Z6" i="14" s="1"/>
  <c r="AA6" i="14" s="1"/>
  <c r="S14" i="15"/>
  <c r="S16" i="15"/>
  <c r="AE4" i="15"/>
  <c r="AA4" i="15"/>
  <c r="AC4" i="15"/>
  <c r="AI43" i="13"/>
  <c r="AK43" i="13" s="1"/>
  <c r="AG44" i="13" s="1"/>
  <c r="AC38" i="14"/>
  <c r="AA38" i="14"/>
  <c r="AE38" i="14"/>
  <c r="AH5" i="14"/>
  <c r="AC5" i="14"/>
  <c r="AG5" i="14" l="1"/>
  <c r="AB6" i="14" s="1"/>
  <c r="AG4" i="15"/>
  <c r="AB5" i="15" s="1"/>
  <c r="AC5" i="15" s="1"/>
  <c r="AF4" i="15"/>
  <c r="Z5" i="15" s="1"/>
  <c r="AA5" i="15" s="1"/>
  <c r="AI44" i="13"/>
  <c r="AK44" i="13" s="1"/>
  <c r="C5" i="13" s="1"/>
  <c r="AO43" i="13"/>
  <c r="S20" i="15"/>
  <c r="K16" i="15" s="1"/>
  <c r="S15" i="15"/>
  <c r="AG38" i="14"/>
  <c r="AB39" i="14" s="1"/>
  <c r="AC39" i="14" s="1"/>
  <c r="AD6" i="14"/>
  <c r="AE6" i="14" s="1"/>
  <c r="AF6" i="14" s="1"/>
  <c r="Z7" i="14" s="1"/>
  <c r="AH6" i="14"/>
  <c r="AC6" i="14"/>
  <c r="AF38" i="14"/>
  <c r="Z39" i="14" s="1"/>
  <c r="AD5" i="15" l="1"/>
  <c r="AE5" i="15" s="1"/>
  <c r="AG5" i="15" s="1"/>
  <c r="AB6" i="15" s="1"/>
  <c r="AC6" i="15" s="1"/>
  <c r="AH5" i="15"/>
  <c r="AO44" i="13"/>
  <c r="G20" i="15"/>
  <c r="S28" i="15"/>
  <c r="S30" i="15" s="1"/>
  <c r="S23" i="15"/>
  <c r="AG6" i="14"/>
  <c r="AB7" i="14" s="1"/>
  <c r="AD7" i="14" s="1"/>
  <c r="AE7" i="14" s="1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F5" i="15" l="1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7" i="13"/>
  <c r="O48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5" i="13"/>
  <c r="O18" i="13" s="1"/>
  <c r="O21" i="13" s="1"/>
  <c r="O24" i="13" s="1"/>
  <c r="O27" i="13" s="1"/>
  <c r="O29" i="13" s="1"/>
  <c r="K14" i="13"/>
  <c r="K15" i="13" s="1"/>
  <c r="G18" i="13"/>
  <c r="AA7" i="15" l="1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Y4" i="13"/>
  <c r="W4" i="13"/>
  <c r="AA4" i="13"/>
  <c r="AD41" i="14" l="1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AC4" i="13"/>
  <c r="X5" i="13" s="1"/>
  <c r="Y5" i="13" s="1"/>
  <c r="AB4" i="13"/>
  <c r="V5" i="13" s="1"/>
  <c r="AG41" i="14" l="1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C42" i="14"/>
  <c r="AF8" i="15"/>
  <c r="Z9" i="15" s="1"/>
  <c r="AA9" i="15" s="1"/>
  <c r="AD42" i="14"/>
  <c r="AE42" i="14" s="1"/>
  <c r="AC9" i="15"/>
  <c r="AD10" i="14"/>
  <c r="AE10" i="14" s="1"/>
  <c r="AH10" i="14"/>
  <c r="AC10" i="14"/>
  <c r="AD5" i="13"/>
  <c r="W5" i="13"/>
  <c r="Z5" i="13"/>
  <c r="AA5" i="13" s="1"/>
  <c r="AC5" i="13" s="1"/>
  <c r="X6" i="13" s="1"/>
  <c r="Y6" i="13" s="1"/>
  <c r="AF10" i="14" l="1"/>
  <c r="Z11" i="14" s="1"/>
  <c r="AA11" i="14" s="1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G42" i="14"/>
  <c r="AB43" i="14" s="1"/>
  <c r="AC43" i="14" s="1"/>
  <c r="AF42" i="14"/>
  <c r="Z43" i="14" s="1"/>
  <c r="AA43" i="14" s="1"/>
  <c r="AG10" i="14"/>
  <c r="AB11" i="14" s="1"/>
  <c r="AB5" i="13"/>
  <c r="V6" i="13" s="1"/>
  <c r="Z6" i="13" s="1"/>
  <c r="AA6" i="13" s="1"/>
  <c r="AC6" i="13" s="1"/>
  <c r="X7" i="13" s="1"/>
  <c r="Y7" i="13" s="1"/>
  <c r="AD11" i="14" l="1"/>
  <c r="AE11" i="14" s="1"/>
  <c r="AF11" i="14" s="1"/>
  <c r="Z12" i="14" s="1"/>
  <c r="AA12" i="14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H11" i="14"/>
  <c r="AC11" i="14"/>
  <c r="AC42" i="15"/>
  <c r="AD6" i="13"/>
  <c r="W6" i="13"/>
  <c r="AB6" i="13" s="1"/>
  <c r="V7" i="13" s="1"/>
  <c r="Z7" i="13" s="1"/>
  <c r="AA7" i="13" s="1"/>
  <c r="AC7" i="13" s="1"/>
  <c r="X8" i="13" s="1"/>
  <c r="Y8" i="13" s="1"/>
  <c r="AG11" i="14" l="1"/>
  <c r="AB12" i="14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C12" i="14"/>
  <c r="AH12" i="14"/>
  <c r="AD12" i="14"/>
  <c r="AE12" i="14" s="1"/>
  <c r="W7" i="13"/>
  <c r="AB7" i="13" s="1"/>
  <c r="V8" i="13" s="1"/>
  <c r="Z8" i="13" s="1"/>
  <c r="AA8" i="13" s="1"/>
  <c r="AC8" i="13" s="1"/>
  <c r="X9" i="13" s="1"/>
  <c r="Y9" i="13" s="1"/>
  <c r="AD7" i="13"/>
  <c r="AD44" i="14" l="1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/>
  <c r="AB13" i="14" s="1"/>
  <c r="AC13" i="14" s="1"/>
  <c r="AF12" i="14"/>
  <c r="Z13" i="14" s="1"/>
  <c r="AD8" i="13"/>
  <c r="W8" i="13"/>
  <c r="AB8" i="13" s="1"/>
  <c r="V9" i="13" s="1"/>
  <c r="Z9" i="13" s="1"/>
  <c r="AA9" i="13" s="1"/>
  <c r="AC9" i="13" s="1"/>
  <c r="X10" i="13" s="1"/>
  <c r="AH11" i="15" l="1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D13" i="14"/>
  <c r="AE13" i="14" s="1"/>
  <c r="AG13" i="14" s="1"/>
  <c r="AB14" i="14" s="1"/>
  <c r="AA13" i="14"/>
  <c r="AH13" i="14"/>
  <c r="W9" i="13"/>
  <c r="AB9" i="13" s="1"/>
  <c r="V10" i="13" s="1"/>
  <c r="W10" i="13" s="1"/>
  <c r="AD9" i="13"/>
  <c r="Y10" i="13"/>
  <c r="AA45" i="14" l="1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/>
  <c r="Z14" i="14" s="1"/>
  <c r="AA14" i="14" s="1"/>
  <c r="AC14" i="14"/>
  <c r="Z10" i="13"/>
  <c r="AA10" i="13" s="1"/>
  <c r="AB10" i="13" s="1"/>
  <c r="V11" i="13" s="1"/>
  <c r="W11" i="13" s="1"/>
  <c r="AD10" i="13"/>
  <c r="AF45" i="14" l="1"/>
  <c r="Z46" i="14" s="1"/>
  <c r="AA46" i="14" s="1"/>
  <c r="AH14" i="14"/>
  <c r="AF12" i="15"/>
  <c r="Z13" i="15" s="1"/>
  <c r="AA13" i="15" s="1"/>
  <c r="AG44" i="15"/>
  <c r="AB45" i="15" s="1"/>
  <c r="AC45" i="15" s="1"/>
  <c r="AD14" i="14"/>
  <c r="AE14" i="14" s="1"/>
  <c r="AG14" i="14" s="1"/>
  <c r="AB15" i="14" s="1"/>
  <c r="AC13" i="15"/>
  <c r="AA45" i="15"/>
  <c r="AC10" i="13"/>
  <c r="X11" i="13" s="1"/>
  <c r="AD11" i="13" s="1"/>
  <c r="AD46" i="14" l="1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F14" i="14"/>
  <c r="Z15" i="14" s="1"/>
  <c r="AA15" i="14" s="1"/>
  <c r="AH45" i="15"/>
  <c r="AC15" i="14"/>
  <c r="Z11" i="13"/>
  <c r="AA11" i="13" s="1"/>
  <c r="AB11" i="13" s="1"/>
  <c r="V12" i="13" s="1"/>
  <c r="W12" i="13" s="1"/>
  <c r="Y11" i="13"/>
  <c r="AG13" i="15" l="1"/>
  <c r="AB14" i="15" s="1"/>
  <c r="AD14" i="15" s="1"/>
  <c r="AE14" i="15" s="1"/>
  <c r="AF14" i="15" s="1"/>
  <c r="Z15" i="15" s="1"/>
  <c r="AA15" i="15" s="1"/>
  <c r="AG46" i="14"/>
  <c r="AB47" i="14" s="1"/>
  <c r="AH15" i="14"/>
  <c r="AC47" i="14"/>
  <c r="AH47" i="14"/>
  <c r="AA47" i="14"/>
  <c r="AD47" i="14"/>
  <c r="AE47" i="14" s="1"/>
  <c r="AG45" i="15"/>
  <c r="AB46" i="15" s="1"/>
  <c r="AD46" i="15" s="1"/>
  <c r="AE46" i="15" s="1"/>
  <c r="AD15" i="14"/>
  <c r="AE15" i="14" s="1"/>
  <c r="AF15" i="14" s="1"/>
  <c r="Z16" i="14" s="1"/>
  <c r="AA16" i="14" s="1"/>
  <c r="AA46" i="15"/>
  <c r="AC11" i="13"/>
  <c r="X12" i="13" s="1"/>
  <c r="AD12" i="13" s="1"/>
  <c r="AH14" i="15" l="1"/>
  <c r="AC14" i="15"/>
  <c r="AG14" i="15" s="1"/>
  <c r="AB15" i="15" s="1"/>
  <c r="AC15" i="15" s="1"/>
  <c r="AC46" i="15"/>
  <c r="AG46" i="15" s="1"/>
  <c r="AB47" i="15" s="1"/>
  <c r="AH46" i="15"/>
  <c r="AF47" i="14"/>
  <c r="Z48" i="14" s="1"/>
  <c r="AA48" i="14" s="1"/>
  <c r="AG47" i="14"/>
  <c r="AB48" i="14" s="1"/>
  <c r="AG15" i="14"/>
  <c r="AB16" i="14" s="1"/>
  <c r="AD16" i="14" s="1"/>
  <c r="AE16" i="14" s="1"/>
  <c r="AF16" i="14" s="1"/>
  <c r="Z17" i="14" s="1"/>
  <c r="AF46" i="15"/>
  <c r="Z47" i="15" s="1"/>
  <c r="AA47" i="15" s="1"/>
  <c r="Z12" i="13"/>
  <c r="AA12" i="13" s="1"/>
  <c r="AB12" i="13" s="1"/>
  <c r="V13" i="13" s="1"/>
  <c r="W13" i="13" s="1"/>
  <c r="Y12" i="13"/>
  <c r="AD15" i="15" l="1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C48" i="14"/>
  <c r="AH48" i="14"/>
  <c r="AD48" i="14"/>
  <c r="AE48" i="14" s="1"/>
  <c r="AF48" i="14" s="1"/>
  <c r="Z49" i="14" s="1"/>
  <c r="AA49" i="14" s="1"/>
  <c r="AH47" i="15"/>
  <c r="AC47" i="15"/>
  <c r="AD47" i="15"/>
  <c r="AE47" i="15" s="1"/>
  <c r="AF47" i="15" s="1"/>
  <c r="Z48" i="15" s="1"/>
  <c r="AA17" i="14"/>
  <c r="AC12" i="13"/>
  <c r="X13" i="13" s="1"/>
  <c r="Y13" i="13" s="1"/>
  <c r="AG15" i="15" l="1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Z13" i="13"/>
  <c r="AA13" i="13" s="1"/>
  <c r="AB13" i="13" s="1"/>
  <c r="V14" i="13" s="1"/>
  <c r="W14" i="13" s="1"/>
  <c r="AD13" i="13"/>
  <c r="AD16" i="15" l="1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AC13" i="13"/>
  <c r="X14" i="13" s="1"/>
  <c r="Y14" i="13" s="1"/>
  <c r="AG16" i="15" l="1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Z14" i="13"/>
  <c r="AA14" i="13" s="1"/>
  <c r="AB14" i="13" s="1"/>
  <c r="V15" i="13" s="1"/>
  <c r="W15" i="13" s="1"/>
  <c r="AD14" i="13"/>
  <c r="AD17" i="15" l="1"/>
  <c r="AE17" i="15" s="1"/>
  <c r="AF17" i="15" s="1"/>
  <c r="Z18" i="15" s="1"/>
  <c r="AA18" i="15" s="1"/>
  <c r="AC17" i="15"/>
  <c r="AF18" i="14"/>
  <c r="Z19" i="14" s="1"/>
  <c r="AD19" i="14" s="1"/>
  <c r="AE19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G19" i="14"/>
  <c r="AB20" i="14" s="1"/>
  <c r="AC14" i="13"/>
  <c r="X15" i="13" s="1"/>
  <c r="AD15" i="13" s="1"/>
  <c r="AG49" i="15" l="1"/>
  <c r="AB50" i="15" s="1"/>
  <c r="AG17" i="15"/>
  <c r="AB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H18" i="15"/>
  <c r="AC18" i="15"/>
  <c r="AC50" i="15"/>
  <c r="AD18" i="15"/>
  <c r="AE18" i="15" s="1"/>
  <c r="AC20" i="14"/>
  <c r="Z15" i="13"/>
  <c r="AA15" i="13" s="1"/>
  <c r="AB15" i="13" s="1"/>
  <c r="V16" i="13" s="1"/>
  <c r="W16" i="13" s="1"/>
  <c r="Y15" i="13"/>
  <c r="AD50" i="15" l="1"/>
  <c r="AE50" i="15" s="1"/>
  <c r="AD20" i="14"/>
  <c r="AE20" i="14" s="1"/>
  <c r="AA20" i="14"/>
  <c r="AG18" i="15"/>
  <c r="AB19" i="15" s="1"/>
  <c r="AC19" i="15" s="1"/>
  <c r="AH50" i="15"/>
  <c r="AA50" i="15"/>
  <c r="AF50" i="15" s="1"/>
  <c r="Z51" i="15" s="1"/>
  <c r="AG50" i="15"/>
  <c r="AB51" i="15" s="1"/>
  <c r="AC51" i="15" s="1"/>
  <c r="AF18" i="15"/>
  <c r="Z19" i="15" s="1"/>
  <c r="AD52" i="14"/>
  <c r="AE52" i="14" s="1"/>
  <c r="AF52" i="14" s="1"/>
  <c r="Z53" i="14" s="1"/>
  <c r="AC52" i="14"/>
  <c r="AH52" i="14"/>
  <c r="AG20" i="14"/>
  <c r="AB21" i="14" s="1"/>
  <c r="AC21" i="14" s="1"/>
  <c r="AC15" i="13"/>
  <c r="X16" i="13" s="1"/>
  <c r="AD16" i="13" s="1"/>
  <c r="AF20" i="14" l="1"/>
  <c r="Z21" i="14" s="1"/>
  <c r="AA21" i="14" s="1"/>
  <c r="AD19" i="15"/>
  <c r="AE19" i="15" s="1"/>
  <c r="AG19" i="15" s="1"/>
  <c r="AB20" i="15" s="1"/>
  <c r="AC20" i="15" s="1"/>
  <c r="AH19" i="15"/>
  <c r="AA19" i="15"/>
  <c r="AA51" i="15"/>
  <c r="AD51" i="15"/>
  <c r="AE51" i="15" s="1"/>
  <c r="AH51" i="15"/>
  <c r="AG52" i="14"/>
  <c r="AB53" i="14" s="1"/>
  <c r="AH53" i="14" s="1"/>
  <c r="AA53" i="14"/>
  <c r="Z16" i="13"/>
  <c r="AA16" i="13" s="1"/>
  <c r="AB16" i="13" s="1"/>
  <c r="V17" i="13" s="1"/>
  <c r="W17" i="13" s="1"/>
  <c r="Y16" i="13"/>
  <c r="AD21" i="14" l="1"/>
  <c r="AE21" i="14" s="1"/>
  <c r="AG21" i="14" s="1"/>
  <c r="AB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C22" i="14"/>
  <c r="AF21" i="14"/>
  <c r="Z22" i="14" s="1"/>
  <c r="AH22" i="14" s="1"/>
  <c r="AC16" i="13"/>
  <c r="X17" i="13" s="1"/>
  <c r="Z17" i="13" s="1"/>
  <c r="AA17" i="13" s="1"/>
  <c r="AB17" i="13" s="1"/>
  <c r="V18" i="13" s="1"/>
  <c r="W18" i="13" s="1"/>
  <c r="AD20" i="15" l="1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D22" i="14"/>
  <c r="AD17" i="13"/>
  <c r="Y17" i="13"/>
  <c r="AC17" i="13" s="1"/>
  <c r="X18" i="13" s="1"/>
  <c r="Z18" i="13" s="1"/>
  <c r="AA18" i="13" s="1"/>
  <c r="AB18" i="13" s="1"/>
  <c r="V19" i="13" s="1"/>
  <c r="W19" i="13" s="1"/>
  <c r="AD54" i="14" l="1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E22" i="14"/>
  <c r="AG22" i="14" s="1"/>
  <c r="AB23" i="14" s="1"/>
  <c r="AD18" i="13"/>
  <c r="Y18" i="13"/>
  <c r="AC18" i="13" s="1"/>
  <c r="X19" i="13" s="1"/>
  <c r="Y19" i="13" s="1"/>
  <c r="AG54" i="14" l="1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Z19" i="13"/>
  <c r="AA19" i="13" s="1"/>
  <c r="AB19" i="13" s="1"/>
  <c r="V20" i="13" s="1"/>
  <c r="W20" i="13" s="1"/>
  <c r="AD19" i="13"/>
  <c r="AH55" i="14" l="1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AC19" i="13"/>
  <c r="X20" i="13" s="1"/>
  <c r="AD20" i="13" s="1"/>
  <c r="AH56" i="14" l="1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20" i="13"/>
  <c r="AA20" i="13" s="1"/>
  <c r="AB20" i="13" s="1"/>
  <c r="V21" i="13" s="1"/>
  <c r="W21" i="13" s="1"/>
  <c r="Y20" i="13"/>
  <c r="AC57" i="14" l="1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20" i="13"/>
  <c r="X21" i="13" s="1"/>
  <c r="Z21" i="13" s="1"/>
  <c r="AA21" i="13" s="1"/>
  <c r="AB21" i="13" s="1"/>
  <c r="V22" i="13" s="1"/>
  <c r="W22" i="13" s="1"/>
  <c r="AD56" i="15" l="1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1" i="13"/>
  <c r="AC21" i="13" s="1"/>
  <c r="X22" i="13" s="1"/>
  <c r="AD22" i="13" s="1"/>
  <c r="AD21" i="13"/>
  <c r="AG56" i="15" l="1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Z22" i="13"/>
  <c r="AA22" i="13" s="1"/>
  <c r="AB22" i="13" s="1"/>
  <c r="V23" i="13" s="1"/>
  <c r="W23" i="13" s="1"/>
  <c r="Y22" i="13"/>
  <c r="AC57" i="15" l="1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AC22" i="13"/>
  <c r="X23" i="13" s="1"/>
  <c r="AD23" i="13" s="1"/>
  <c r="AG57" i="15" l="1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Z23" i="13"/>
  <c r="AA23" i="13" s="1"/>
  <c r="AB23" i="13" s="1"/>
  <c r="V24" i="13" s="1"/>
  <c r="W24" i="13" s="1"/>
  <c r="Y23" i="13"/>
  <c r="AD58" i="15" l="1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/>
  <c r="X24" i="13" s="1"/>
  <c r="AD24" i="13" s="1"/>
  <c r="AG58" i="15" l="1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Z24" i="13"/>
  <c r="AA24" i="13" s="1"/>
  <c r="AB24" i="13" s="1"/>
  <c r="V25" i="13" s="1"/>
  <c r="W25" i="13" s="1"/>
  <c r="Y24" i="13"/>
  <c r="AD59" i="15" l="1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/>
  <c r="AD60" i="15"/>
  <c r="AE60" i="15" s="1"/>
  <c r="AF60" i="15" s="1"/>
  <c r="Z61" i="15" s="1"/>
  <c r="AA61" i="15" s="1"/>
  <c r="AH60" i="15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G60" i="15" l="1"/>
  <c r="AB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H61" i="15" l="1"/>
  <c r="AC61" i="15"/>
  <c r="AD61" i="15"/>
  <c r="AE61" i="15" s="1"/>
  <c r="AF61" i="15" s="1"/>
  <c r="Z62" i="15" s="1"/>
  <c r="AA62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G61" i="15" l="1"/>
  <c r="AB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D62" i="15" l="1"/>
  <c r="AE62" i="15" s="1"/>
  <c r="AF62" i="15" s="1"/>
  <c r="Z63" i="15" s="1"/>
  <c r="AH62" i="15"/>
  <c r="AC62" i="15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G62" i="15" l="1"/>
  <c r="AB63" i="15" s="1"/>
  <c r="AH63" i="15" s="1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5" i="14" s="1"/>
  <c r="S26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D68" i="15" l="1"/>
  <c r="AH68" i="15"/>
  <c r="S26" i="15"/>
  <c r="S27" i="15" s="1"/>
  <c r="G21" i="15" s="1"/>
  <c r="AE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2" i="12"/>
  <c r="O25" i="12" s="1"/>
  <c r="AA31" i="14"/>
  <c r="AD31" i="14"/>
  <c r="AH31" i="14"/>
  <c r="G6" i="12"/>
  <c r="AI6" i="12"/>
  <c r="G25" i="12"/>
  <c r="K42" i="12"/>
  <c r="G17" i="9"/>
  <c r="G18" i="9" s="1"/>
  <c r="AF68" i="15" l="1"/>
  <c r="AG68" i="15"/>
  <c r="G22" i="15"/>
  <c r="G24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37" i="15" l="1"/>
  <c r="K6" i="15"/>
  <c r="K7" i="15" s="1"/>
  <c r="AI7" i="12"/>
  <c r="AO7" i="12" s="1"/>
  <c r="AF33" i="15"/>
  <c r="Z34" i="15" s="1"/>
  <c r="AD34" i="15" s="1"/>
  <c r="AC34" i="15"/>
  <c r="AC32" i="14"/>
  <c r="AF31" i="14"/>
  <c r="Z32" i="14" s="1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7" i="12" l="1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I76" i="10"/>
  <c r="CE76" i="10"/>
  <c r="CA77" i="10" s="1"/>
  <c r="BT76" i="10" l="1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BT77" i="10" s="1"/>
  <c r="BR78" i="10" s="1"/>
  <c r="CE110" i="10"/>
  <c r="CA111" i="10" s="1"/>
  <c r="CI110" i="10"/>
  <c r="CI42" i="10" l="1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BX77" i="10"/>
  <c r="CC111" i="10"/>
  <c r="CI111" i="10" s="1"/>
  <c r="BP111" i="10" l="1"/>
  <c r="BR111" i="10"/>
  <c r="AG10" i="12"/>
  <c r="CA43" i="10"/>
  <c r="CC43" i="10"/>
  <c r="CI43" i="10" s="1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O10" i="12" l="1"/>
  <c r="BX111" i="10"/>
  <c r="BT111" i="10"/>
  <c r="AK10" i="12"/>
  <c r="AG11" i="12" s="1"/>
  <c r="CE43" i="10"/>
  <c r="BT44" i="10"/>
  <c r="BR45" i="10" s="1"/>
  <c r="AI11" i="12"/>
  <c r="AO11" i="12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/>
  <c r="BR112" i="10" l="1"/>
  <c r="BP112" i="10"/>
  <c r="CA44" i="10"/>
  <c r="CC44" i="10"/>
  <c r="CI44" i="10" s="1"/>
  <c r="BT45" i="10"/>
  <c r="BP46" i="10" s="1"/>
  <c r="AK11" i="12"/>
  <c r="AI12" i="12" s="1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BX112" i="10" l="1"/>
  <c r="BT112" i="10"/>
  <c r="BR46" i="10"/>
  <c r="BX46" i="10" s="1"/>
  <c r="CE44" i="10"/>
  <c r="CC45" i="10" s="1"/>
  <c r="AG12" i="12"/>
  <c r="AO12" i="12" s="1"/>
  <c r="AG34" i="14"/>
  <c r="O25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46" i="10" l="1"/>
  <c r="BR47" i="10" s="1"/>
  <c r="CA45" i="10"/>
  <c r="CE45" i="10" s="1"/>
  <c r="CA46" i="10" s="1"/>
  <c r="BR113" i="10"/>
  <c r="BP113" i="10"/>
  <c r="CI45" i="10"/>
  <c r="AK12" i="12"/>
  <c r="AG13" i="12" s="1"/>
  <c r="O26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/>
  <c r="BX47" i="10" s="1"/>
  <c r="CC46" i="10" l="1"/>
  <c r="CE46" i="10" s="1"/>
  <c r="BT113" i="10"/>
  <c r="BP114" i="10" s="1"/>
  <c r="BR114" i="10"/>
  <c r="BX114" i="10" s="1"/>
  <c r="BX113" i="10"/>
  <c r="AI13" i="12"/>
  <c r="AK13" i="12" s="1"/>
  <c r="AI14" i="12" s="1"/>
  <c r="AG14" i="12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A47" i="10"/>
  <c r="CC47" i="10"/>
  <c r="CI46" i="10" l="1"/>
  <c r="BT114" i="10"/>
  <c r="BR115" i="10" s="1"/>
  <c r="AO14" i="12"/>
  <c r="AO13" i="12"/>
  <c r="AK14" i="12"/>
  <c r="AG15" i="12" s="1"/>
  <c r="AI15" i="12"/>
  <c r="K4" i="14"/>
  <c r="K8" i="14"/>
  <c r="K13" i="14" s="1"/>
  <c r="G12" i="14"/>
  <c r="K22" i="14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5" i="12" l="1"/>
  <c r="AG16" i="12" s="1"/>
  <c r="AO15" i="12"/>
  <c r="AI16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O16" i="12" l="1"/>
  <c r="AK16" i="12"/>
  <c r="AG17" i="12" s="1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I17" i="12" l="1"/>
  <c r="AK17" i="12" s="1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O17" i="12" l="1"/>
  <c r="AI18" i="12"/>
  <c r="AG18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K18" i="12" l="1"/>
  <c r="AG19" i="12" s="1"/>
  <c r="AO18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I19" i="12" l="1"/>
  <c r="AK19" i="12" s="1"/>
  <c r="AI20" i="12" s="1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9" i="12" l="1"/>
  <c r="AG20" i="12"/>
  <c r="AK20" i="12" s="1"/>
  <c r="AI21" i="12" s="1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O20" i="12" l="1"/>
  <c r="AG21" i="12"/>
  <c r="AK21" i="12" s="1"/>
  <c r="AG22" i="12" s="1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1" i="12" l="1"/>
  <c r="AI22" i="12"/>
  <c r="AO22" i="12" s="1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K22" i="12" l="1"/>
  <c r="AG23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3" i="12" l="1"/>
  <c r="AK23" i="12" s="1"/>
  <c r="AI24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O23" i="12" l="1"/>
  <c r="AG24" i="12"/>
  <c r="AO24" i="12" s="1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K24" i="12" l="1"/>
  <c r="AG25" i="12" s="1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I25" i="12" l="1"/>
  <c r="AK25" i="12" s="1"/>
  <c r="AG26" i="12" s="1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6" i="12" l="1"/>
  <c r="AO26" i="12" s="1"/>
  <c r="AO25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6" i="12" l="1"/>
  <c r="AG27" i="12" s="1"/>
  <c r="AI27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O27" i="12" l="1"/>
  <c r="AK27" i="12"/>
  <c r="AI28" i="12" s="1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G28" i="12" l="1"/>
  <c r="AO28" i="12" s="1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K28" i="12" l="1"/>
  <c r="AI29" i="12" s="1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G29" i="12" l="1"/>
  <c r="AK29" i="12" s="1"/>
  <c r="AG30" i="12" s="1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29" i="12" l="1"/>
  <c r="AI30" i="12"/>
  <c r="AO30" i="12" s="1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30" i="12" l="1"/>
  <c r="AG31" i="12" s="1"/>
  <c r="AI31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1" i="12" l="1"/>
  <c r="AG32" i="12" s="1"/>
  <c r="AO31" i="12"/>
  <c r="AI32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K32" i="12" l="1"/>
  <c r="AI33" i="12" s="1"/>
  <c r="AO32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3" i="12" l="1"/>
  <c r="AK33" i="12" s="1"/>
  <c r="AI34" i="12" s="1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3" i="12" l="1"/>
  <c r="AG34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K34" i="12" l="1"/>
  <c r="AO34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G35" i="12" l="1"/>
  <c r="AI35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O35" i="12" l="1"/>
  <c r="AK35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I36" i="12" l="1"/>
  <c r="AG36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K36" i="12" l="1"/>
  <c r="AG37" i="12" s="1"/>
  <c r="AI37" i="12"/>
  <c r="AO36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K37" i="12" l="1"/>
  <c r="AI38" i="12" s="1"/>
  <c r="AO37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G38" i="12" l="1"/>
  <c r="AK38" i="12" s="1"/>
  <c r="AI39" i="12" s="1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O38" i="12" l="1"/>
  <c r="AG39" i="12"/>
  <c r="AO39" i="12" s="1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K39" i="12" l="1"/>
  <c r="AG40" i="12"/>
  <c r="AI40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K40" i="12" l="1"/>
  <c r="AO40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I41" i="12" l="1"/>
  <c r="AG41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1" i="12" l="1"/>
  <c r="AI42" i="12" s="1"/>
  <c r="AO41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G42" i="12" l="1"/>
  <c r="AO42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K42" i="12" l="1"/>
  <c r="AG43" i="12" s="1"/>
  <c r="AI43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K43" i="12" l="1"/>
  <c r="AG44" i="12" s="1"/>
  <c r="AI44" i="12"/>
  <c r="AO43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K44" i="12" l="1"/>
  <c r="AO44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C5" i="12" l="1"/>
  <c r="G29" i="12" s="1"/>
  <c r="G27" i="12" s="1"/>
  <c r="BL58" i="10"/>
  <c r="CF72" i="10" s="1"/>
  <c r="BD25" i="10"/>
  <c r="BD27" i="10" s="1"/>
  <c r="AV10" i="10" s="1"/>
  <c r="AV15" i="10" s="1"/>
  <c r="AO14" i="10"/>
  <c r="AI15" i="10"/>
  <c r="AO15" i="10" s="1"/>
  <c r="K27" i="12" l="1"/>
  <c r="O4" i="12"/>
  <c r="G26" i="12"/>
  <c r="G28" i="12" s="1"/>
  <c r="G10" i="12"/>
  <c r="K25" i="12" s="1"/>
  <c r="K34" i="12"/>
  <c r="K26" i="12"/>
  <c r="K20" i="12"/>
  <c r="K22" i="12"/>
  <c r="K21" i="12"/>
  <c r="K28" i="12"/>
  <c r="K29" i="12"/>
  <c r="K24" i="12"/>
  <c r="O6" i="12"/>
  <c r="O7" i="12" s="1"/>
  <c r="O9" i="12" s="1"/>
  <c r="O10" i="12" s="1"/>
  <c r="G7" i="12"/>
  <c r="K23" i="12"/>
  <c r="K14" i="12"/>
  <c r="O12" i="12"/>
  <c r="O13" i="12" s="1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G8" i="12" l="1"/>
  <c r="G9" i="12" s="1"/>
  <c r="K4" i="12"/>
  <c r="K5" i="12" s="1"/>
  <c r="K38" i="12"/>
  <c r="K46" i="12"/>
  <c r="K45" i="12"/>
  <c r="K37" i="12"/>
  <c r="AV16" i="10"/>
  <c r="G13" i="10"/>
  <c r="O14" i="12"/>
  <c r="O16" i="12"/>
  <c r="AV18" i="10"/>
  <c r="AV19" i="10" s="1"/>
  <c r="AV20" i="10" s="1"/>
  <c r="AG16" i="10"/>
  <c r="AK16" i="10" s="1"/>
  <c r="AG17" i="10" s="1"/>
  <c r="O20" i="12" l="1"/>
  <c r="O15" i="12"/>
  <c r="K25" i="10"/>
  <c r="AO16" i="10"/>
  <c r="AI17" i="10"/>
  <c r="AO17" i="10" s="1"/>
  <c r="G16" i="12" l="1"/>
  <c r="O23" i="12"/>
  <c r="O28" i="12"/>
  <c r="O30" i="12" s="1"/>
  <c r="K16" i="12"/>
  <c r="AK17" i="10"/>
  <c r="AI18" i="10" s="1"/>
  <c r="G19" i="12" l="1"/>
  <c r="AA4" i="12"/>
  <c r="W4" i="12"/>
  <c r="Y4" i="12"/>
  <c r="AG18" i="10"/>
  <c r="AK18" i="10" s="1"/>
  <c r="AG19" i="10" s="1"/>
  <c r="AC4" i="12" l="1"/>
  <c r="X5" i="12" s="1"/>
  <c r="Y5" i="12" s="1"/>
  <c r="AB4" i="12"/>
  <c r="V5" i="12" s="1"/>
  <c r="AO18" i="10"/>
  <c r="AI19" i="10"/>
  <c r="AK19" i="10" s="1"/>
  <c r="AG20" i="10" s="1"/>
  <c r="AD5" i="12" l="1"/>
  <c r="Z5" i="12"/>
  <c r="AA5" i="12" s="1"/>
  <c r="AC5" i="12" s="1"/>
  <c r="X6" i="12" s="1"/>
  <c r="W5" i="12"/>
  <c r="AO19" i="10"/>
  <c r="AI20" i="10"/>
  <c r="AO20" i="10" s="1"/>
  <c r="AB5" i="12" l="1"/>
  <c r="V6" i="12" s="1"/>
  <c r="W6" i="12" s="1"/>
  <c r="Y6" i="12"/>
  <c r="AK20" i="10"/>
  <c r="AG21" i="10" s="1"/>
  <c r="AD6" i="12" l="1"/>
  <c r="Z6" i="12"/>
  <c r="AA6" i="12" s="1"/>
  <c r="AC6" i="12" s="1"/>
  <c r="X7" i="12" s="1"/>
  <c r="Y7" i="12" s="1"/>
  <c r="AI21" i="10"/>
  <c r="AO21" i="10" s="1"/>
  <c r="AB6" i="12" l="1"/>
  <c r="V7" i="12" s="1"/>
  <c r="Z7" i="12" s="1"/>
  <c r="AA7" i="12" s="1"/>
  <c r="AC7" i="12" s="1"/>
  <c r="X8" i="12" s="1"/>
  <c r="AK21" i="10"/>
  <c r="AI22" i="10" s="1"/>
  <c r="W7" i="12" l="1"/>
  <c r="AB7" i="12" s="1"/>
  <c r="V8" i="12" s="1"/>
  <c r="AD7" i="12"/>
  <c r="Y8" i="12"/>
  <c r="AG22" i="10"/>
  <c r="AK22" i="10" s="1"/>
  <c r="W8" i="12" l="1"/>
  <c r="Z8" i="12"/>
  <c r="AA8" i="12" s="1"/>
  <c r="AD8" i="12"/>
  <c r="AO22" i="10"/>
  <c r="AG23" i="10"/>
  <c r="AI23" i="10"/>
  <c r="AB8" i="12" l="1"/>
  <c r="V9" i="12" s="1"/>
  <c r="W9" i="12" s="1"/>
  <c r="AC8" i="12"/>
  <c r="X9" i="12" s="1"/>
  <c r="AK23" i="10"/>
  <c r="AI24" i="10" s="1"/>
  <c r="AO23" i="10"/>
  <c r="Z9" i="12" l="1"/>
  <c r="AA9" i="12" s="1"/>
  <c r="AB9" i="12" s="1"/>
  <c r="V10" i="12" s="1"/>
  <c r="W10" i="12" s="1"/>
  <c r="AD9" i="12"/>
  <c r="Y9" i="12"/>
  <c r="AG24" i="10"/>
  <c r="AO24" i="10" s="1"/>
  <c r="AC9" i="12" l="1"/>
  <c r="X10" i="12" s="1"/>
  <c r="Z10" i="12" s="1"/>
  <c r="AA10" i="12" s="1"/>
  <c r="AB10" i="12" s="1"/>
  <c r="V11" i="12" s="1"/>
  <c r="W11" i="12" s="1"/>
  <c r="AK24" i="10"/>
  <c r="AI25" i="10" s="1"/>
  <c r="Y10" i="12" l="1"/>
  <c r="AC10" i="12" s="1"/>
  <c r="X11" i="12" s="1"/>
  <c r="Y11" i="12" s="1"/>
  <c r="AD10" i="12"/>
  <c r="AG25" i="10"/>
  <c r="AK25" i="10" s="1"/>
  <c r="AI26" i="10" s="1"/>
  <c r="Z11" i="12" l="1"/>
  <c r="AA11" i="12" s="1"/>
  <c r="AB11" i="12" s="1"/>
  <c r="V12" i="12" s="1"/>
  <c r="W12" i="12" s="1"/>
  <c r="AD11" i="12"/>
  <c r="AO25" i="10"/>
  <c r="AG26" i="10"/>
  <c r="AO26" i="10" s="1"/>
  <c r="AC11" i="12" l="1"/>
  <c r="X12" i="12" s="1"/>
  <c r="AD12" i="12" s="1"/>
  <c r="AK26" i="10"/>
  <c r="AI27" i="10" s="1"/>
  <c r="Z12" i="12" l="1"/>
  <c r="AA12" i="12" s="1"/>
  <c r="AB12" i="12" s="1"/>
  <c r="V13" i="12" s="1"/>
  <c r="W13" i="12" s="1"/>
  <c r="Y12" i="12"/>
  <c r="AG27" i="10"/>
  <c r="AK27" i="10" s="1"/>
  <c r="AI28" i="10" s="1"/>
  <c r="AC12" i="12" l="1"/>
  <c r="X13" i="12" s="1"/>
  <c r="Z13" i="12" s="1"/>
  <c r="AA13" i="12" s="1"/>
  <c r="AB13" i="12" s="1"/>
  <c r="V14" i="12" s="1"/>
  <c r="AO27" i="10"/>
  <c r="AG28" i="10"/>
  <c r="AO28" i="10" s="1"/>
  <c r="Y13" i="12" l="1"/>
  <c r="AC13" i="12" s="1"/>
  <c r="X14" i="12" s="1"/>
  <c r="AD14" i="12" s="1"/>
  <c r="AD13" i="12"/>
  <c r="W14" i="12"/>
  <c r="AK28" i="10"/>
  <c r="AG29" i="10" s="1"/>
  <c r="Z14" i="12" l="1"/>
  <c r="AA14" i="12" s="1"/>
  <c r="AB14" i="12" s="1"/>
  <c r="V15" i="12" s="1"/>
  <c r="W15" i="12" s="1"/>
  <c r="Y14" i="12"/>
  <c r="AI29" i="10"/>
  <c r="AO29" i="10" s="1"/>
  <c r="AC14" i="12" l="1"/>
  <c r="X15" i="12" s="1"/>
  <c r="Z15" i="12" s="1"/>
  <c r="AA15" i="12" s="1"/>
  <c r="AB15" i="12" s="1"/>
  <c r="V16" i="12" s="1"/>
  <c r="AK29" i="10"/>
  <c r="AI30" i="10" s="1"/>
  <c r="AD15" i="12" l="1"/>
  <c r="Y15" i="12"/>
  <c r="AC15" i="12" s="1"/>
  <c r="X16" i="12" s="1"/>
  <c r="AD16" i="12" s="1"/>
  <c r="W16" i="12"/>
  <c r="AG30" i="10"/>
  <c r="AO30" i="10" s="1"/>
  <c r="Z16" i="12" l="1"/>
  <c r="AA16" i="12" s="1"/>
  <c r="AB16" i="12" s="1"/>
  <c r="V17" i="12" s="1"/>
  <c r="W17" i="12" s="1"/>
  <c r="Y16" i="12"/>
  <c r="AK30" i="10"/>
  <c r="AG31" i="10" s="1"/>
  <c r="AC16" i="12" l="1"/>
  <c r="X17" i="12" s="1"/>
  <c r="Y17" i="12" s="1"/>
  <c r="AI31" i="10"/>
  <c r="AK31" i="10" s="1"/>
  <c r="AG32" i="10" s="1"/>
  <c r="Z17" i="12" l="1"/>
  <c r="AA17" i="12" s="1"/>
  <c r="AB17" i="12" s="1"/>
  <c r="V18" i="12" s="1"/>
  <c r="W18" i="12" s="1"/>
  <c r="AD17" i="12"/>
  <c r="AO31" i="10"/>
  <c r="AI32" i="10"/>
  <c r="AO32" i="10" s="1"/>
  <c r="AC17" i="12" l="1"/>
  <c r="X18" i="12" s="1"/>
  <c r="AD18" i="12" s="1"/>
  <c r="AK32" i="10"/>
  <c r="AG33" i="10" s="1"/>
  <c r="Z18" i="12" l="1"/>
  <c r="AA18" i="12" s="1"/>
  <c r="AB18" i="12" s="1"/>
  <c r="V19" i="12" s="1"/>
  <c r="W19" i="12" s="1"/>
  <c r="Y18" i="12"/>
  <c r="AI33" i="10"/>
  <c r="AO33" i="10" s="1"/>
  <c r="AC18" i="12" l="1"/>
  <c r="X19" i="12" s="1"/>
  <c r="AD19" i="12" s="1"/>
  <c r="AK33" i="10"/>
  <c r="AI34" i="10" s="1"/>
  <c r="Z19" i="12" l="1"/>
  <c r="AA19" i="12" s="1"/>
  <c r="AB19" i="12" s="1"/>
  <c r="V20" i="12" s="1"/>
  <c r="W20" i="12" s="1"/>
  <c r="Y19" i="12"/>
  <c r="AG34" i="10"/>
  <c r="AO34" i="10" s="1"/>
  <c r="AC19" i="12" l="1"/>
  <c r="X20" i="12" s="1"/>
  <c r="Z20" i="12" s="1"/>
  <c r="AA20" i="12" s="1"/>
  <c r="AB20" i="12" s="1"/>
  <c r="V21" i="12" s="1"/>
  <c r="AK34" i="10"/>
  <c r="AG35" i="10" s="1"/>
  <c r="Y20" i="12" l="1"/>
  <c r="AC20" i="12" s="1"/>
  <c r="X21" i="12" s="1"/>
  <c r="AD21" i="12" s="1"/>
  <c r="AD20" i="12"/>
  <c r="W21" i="12"/>
  <c r="AI35" i="10"/>
  <c r="AO35" i="10" s="1"/>
  <c r="Z21" i="12" l="1"/>
  <c r="AA21" i="12" s="1"/>
  <c r="AB21" i="12" s="1"/>
  <c r="V22" i="12" s="1"/>
  <c r="W22" i="12" s="1"/>
  <c r="Y21" i="12"/>
  <c r="AK35" i="10"/>
  <c r="AI36" i="10" s="1"/>
  <c r="AC21" i="12" l="1"/>
  <c r="X22" i="12" s="1"/>
  <c r="AD22" i="12" s="1"/>
  <c r="AG36" i="10"/>
  <c r="AO36" i="10" s="1"/>
  <c r="Z22" i="12" l="1"/>
  <c r="AA22" i="12" s="1"/>
  <c r="AB22" i="12" s="1"/>
  <c r="V23" i="12" s="1"/>
  <c r="W23" i="12" s="1"/>
  <c r="Y22" i="12"/>
  <c r="AK36" i="10"/>
  <c r="AI37" i="10" s="1"/>
  <c r="AC22" i="12" l="1"/>
  <c r="X23" i="12" s="1"/>
  <c r="Y23" i="12" s="1"/>
  <c r="AG37" i="10"/>
  <c r="AK37" i="10" s="1"/>
  <c r="AI38" i="10" s="1"/>
  <c r="AD23" i="12" l="1"/>
  <c r="Z23" i="12"/>
  <c r="AA23" i="12" s="1"/>
  <c r="AB23" i="12" s="1"/>
  <c r="V24" i="12" s="1"/>
  <c r="W24" i="12" s="1"/>
  <c r="AO37" i="10"/>
  <c r="AG38" i="10"/>
  <c r="AK38" i="10" s="1"/>
  <c r="AG39" i="10" s="1"/>
  <c r="AC23" i="12" l="1"/>
  <c r="X24" i="12" s="1"/>
  <c r="Z24" i="12" s="1"/>
  <c r="AA24" i="12" s="1"/>
  <c r="AB24" i="12" s="1"/>
  <c r="V25" i="12" s="1"/>
  <c r="W25" i="12" s="1"/>
  <c r="AO38" i="10"/>
  <c r="AI39" i="10"/>
  <c r="AK39" i="10" s="1"/>
  <c r="Y24" i="12" l="1"/>
  <c r="AC24" i="12" s="1"/>
  <c r="X25" i="12" s="1"/>
  <c r="AD25" i="12" s="1"/>
  <c r="AD24" i="12"/>
  <c r="AO39" i="10"/>
  <c r="AI40" i="10"/>
  <c r="AG40" i="10"/>
  <c r="Z25" i="12" l="1"/>
  <c r="AA25" i="12" s="1"/>
  <c r="AB25" i="12" s="1"/>
  <c r="V26" i="12" s="1"/>
  <c r="W26" i="12" s="1"/>
  <c r="Y25" i="12"/>
  <c r="AK40" i="10"/>
  <c r="AO40" i="10"/>
  <c r="AC25" i="12" l="1"/>
  <c r="X26" i="12" s="1"/>
  <c r="Y26" i="12" s="1"/>
  <c r="AI41" i="10"/>
  <c r="AG41" i="10"/>
  <c r="AD26" i="12" l="1"/>
  <c r="Z26" i="12"/>
  <c r="AA26" i="12" s="1"/>
  <c r="AB26" i="12" s="1"/>
  <c r="V27" i="12" s="1"/>
  <c r="W27" i="12" s="1"/>
  <c r="AK41" i="10"/>
  <c r="AI42" i="10" s="1"/>
  <c r="AO41" i="10"/>
  <c r="AC26" i="12" l="1"/>
  <c r="X27" i="12" s="1"/>
  <c r="Y27" i="12" s="1"/>
  <c r="AG42" i="10"/>
  <c r="AK42" i="10" s="1"/>
  <c r="AG43" i="10" s="1"/>
  <c r="AD27" i="12" l="1"/>
  <c r="Z27" i="12"/>
  <c r="AA27" i="12" s="1"/>
  <c r="AB27" i="12" s="1"/>
  <c r="V28" i="12" s="1"/>
  <c r="W28" i="12" s="1"/>
  <c r="AI43" i="10"/>
  <c r="AK43" i="10" s="1"/>
  <c r="AI44" i="10" s="1"/>
  <c r="AO42" i="10"/>
  <c r="AC27" i="12" l="1"/>
  <c r="X28" i="12" s="1"/>
  <c r="AO43" i="10"/>
  <c r="AG44" i="10"/>
  <c r="AO44" i="10" s="1"/>
  <c r="AD28" i="12" l="1"/>
  <c r="Z28" i="12"/>
  <c r="AA28" i="12" s="1"/>
  <c r="AB28" i="12" s="1"/>
  <c r="V29" i="12" s="1"/>
  <c r="W29" i="12" s="1"/>
  <c r="Y28" i="12"/>
  <c r="AK44" i="10"/>
  <c r="AC28" i="12" l="1"/>
  <c r="X29" i="12" s="1"/>
  <c r="Y29" i="12" s="1"/>
  <c r="O4" i="10"/>
  <c r="K27" i="10"/>
  <c r="K28" i="10"/>
  <c r="G26" i="10"/>
  <c r="AD29" i="12" l="1"/>
  <c r="Z29" i="12"/>
  <c r="AA29" i="12" s="1"/>
  <c r="AB29" i="12" s="1"/>
  <c r="V30" i="12" s="1"/>
  <c r="W30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AC29" i="12" l="1"/>
  <c r="X30" i="12" s="1"/>
  <c r="AD30" i="12" s="1"/>
  <c r="G11" i="10"/>
  <c r="AH49" i="10" s="1"/>
  <c r="K45" i="10"/>
  <c r="K38" i="10"/>
  <c r="O7" i="10"/>
  <c r="O9" i="10" s="1"/>
  <c r="O13" i="10" s="1"/>
  <c r="K37" i="10"/>
  <c r="K5" i="10"/>
  <c r="K46" i="10"/>
  <c r="Y30" i="12" l="1"/>
  <c r="Z30" i="12"/>
  <c r="AA30" i="12" s="1"/>
  <c r="AB30" i="12" s="1"/>
  <c r="V31" i="12" s="1"/>
  <c r="W31" i="12" s="1"/>
  <c r="AL49" i="10"/>
  <c r="AJ49" i="10"/>
  <c r="G12" i="10"/>
  <c r="O10" i="10"/>
  <c r="AC30" i="12" l="1"/>
  <c r="X31" i="12" s="1"/>
  <c r="O16" i="10"/>
  <c r="O14" i="10"/>
  <c r="AD31" i="12" l="1"/>
  <c r="Z31" i="12"/>
  <c r="AA31" i="12" s="1"/>
  <c r="AB31" i="12" s="1"/>
  <c r="V32" i="12" s="1"/>
  <c r="W32" i="12" s="1"/>
  <c r="Y31" i="12"/>
  <c r="O20" i="10"/>
  <c r="K16" i="10" s="1"/>
  <c r="O15" i="10"/>
  <c r="AC31" i="12" l="1"/>
  <c r="X32" i="12" s="1"/>
  <c r="Y32" i="12" s="1"/>
  <c r="O23" i="10"/>
  <c r="W4" i="10" s="1"/>
  <c r="O28" i="10"/>
  <c r="O30" i="10" s="1"/>
  <c r="Z32" i="12" l="1"/>
  <c r="AA32" i="12" s="1"/>
  <c r="AB32" i="12" s="1"/>
  <c r="V33" i="12" s="1"/>
  <c r="W33" i="12" s="1"/>
  <c r="AD32" i="12"/>
  <c r="Y4" i="10"/>
  <c r="AA4" i="10"/>
  <c r="AC32" i="12" l="1"/>
  <c r="X33" i="12" s="1"/>
  <c r="Z33" i="12" s="1"/>
  <c r="AA33" i="12" s="1"/>
  <c r="AB33" i="12" s="1"/>
  <c r="V34" i="12" s="1"/>
  <c r="W34" i="12" s="1"/>
  <c r="AB4" i="10"/>
  <c r="V5" i="10" s="1"/>
  <c r="W5" i="10" s="1"/>
  <c r="AC4" i="10"/>
  <c r="X5" i="10" s="1"/>
  <c r="AD33" i="12" l="1"/>
  <c r="Y33" i="12"/>
  <c r="AC33" i="12" s="1"/>
  <c r="X34" i="12" s="1"/>
  <c r="Z5" i="10"/>
  <c r="AA5" i="10" s="1"/>
  <c r="AB5" i="10" s="1"/>
  <c r="V6" i="10" s="1"/>
  <c r="W6" i="10" s="1"/>
  <c r="AD5" i="10"/>
  <c r="Y5" i="10"/>
  <c r="AD34" i="12" l="1"/>
  <c r="Y34" i="12"/>
  <c r="Z34" i="12"/>
  <c r="AC5" i="10"/>
  <c r="X6" i="10" s="1"/>
  <c r="AD6" i="10" s="1"/>
  <c r="O26" i="12" l="1"/>
  <c r="O27" i="12" s="1"/>
  <c r="G17" i="12" s="1"/>
  <c r="AA34" i="12"/>
  <c r="Z6" i="10"/>
  <c r="AA6" i="10" s="1"/>
  <c r="AB6" i="10" s="1"/>
  <c r="V7" i="10" s="1"/>
  <c r="W7" i="10" s="1"/>
  <c r="Y6" i="10"/>
  <c r="AB34" i="12" l="1"/>
  <c r="AC34" i="12"/>
  <c r="G18" i="12"/>
  <c r="G20" i="12"/>
  <c r="AC6" i="10"/>
  <c r="X7" i="10" s="1"/>
  <c r="Z7" i="10" s="1"/>
  <c r="AA7" i="10" s="1"/>
  <c r="AB7" i="10" s="1"/>
  <c r="V8" i="10" s="1"/>
  <c r="W8" i="10" s="1"/>
  <c r="K6" i="12" l="1"/>
  <c r="G33" i="12"/>
  <c r="K10" i="12" s="1"/>
  <c r="K15" i="12" s="1"/>
  <c r="Y7" i="10"/>
  <c r="AC7" i="10" s="1"/>
  <c r="X8" i="10" s="1"/>
  <c r="Y8" i="10" s="1"/>
  <c r="AD7" i="10"/>
  <c r="K43" i="12" l="1"/>
  <c r="K35" i="12"/>
  <c r="K19" i="12"/>
  <c r="K7" i="12"/>
  <c r="K18" i="12"/>
  <c r="Z8" i="10"/>
  <c r="AA8" i="10" s="1"/>
  <c r="AC8" i="10" s="1"/>
  <c r="X9" i="10" s="1"/>
  <c r="AD8" i="10"/>
  <c r="K44" i="12" l="1"/>
  <c r="K47" i="12" s="1"/>
  <c r="K36" i="12"/>
  <c r="K39" i="12" s="1"/>
  <c r="K30" i="12"/>
  <c r="AB8" i="10"/>
  <c r="V9" i="10" s="1"/>
  <c r="Z9" i="10" s="1"/>
  <c r="AA9" i="10" s="1"/>
  <c r="Y9" i="10"/>
  <c r="K31" i="12" l="1"/>
  <c r="AL4" i="12"/>
  <c r="AH4" i="12"/>
  <c r="AJ4" i="12"/>
  <c r="AD9" i="10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<sst xmlns="http://schemas.openxmlformats.org/spreadsheetml/2006/main" count="2716" uniqueCount="291">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</sst>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23.53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1438.81</c:v>
                </c:pt>
                <c:pt idx="2">
                  <c:v>736.97</c:v>
                </c:pt>
                <c:pt idx="3">
                  <c:v>201.44</c:v>
                </c:pt>
                <c:pt idx="4">
                  <c:v>154.37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23.54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1439.08</c:v>
                </c:pt>
                <c:pt idx="2">
                  <c:v>737.26</c:v>
                </c:pt>
                <c:pt idx="3">
                  <c:v>201.49</c:v>
                </c:pt>
                <c:pt idx="4">
                  <c:v>154.4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20.2</c:v>
                </c:pt>
                <c:pt idx="1">
                  <c:v>46.88</c:v>
                </c:pt>
                <c:pt idx="2">
                  <c:v>21.39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1392.73</c:v>
                </c:pt>
                <c:pt idx="2">
                  <c:v>635.34</c:v>
                </c:pt>
                <c:pt idx="3">
                  <c:v>196.82</c:v>
                </c:pt>
                <c:pt idx="4">
                  <c:v>145.85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1133.8900000000001</c:v>
                </c:pt>
                <c:pt idx="2">
                  <c:v>627.5</c:v>
                </c:pt>
                <c:pt idx="3">
                  <c:v>858.69</c:v>
                </c:pt>
                <c:pt idx="4">
                  <c:v>168.07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17.71</c:v>
                </c:pt>
                <c:pt idx="1">
                  <c:v>33.47</c:v>
                </c:pt>
                <c:pt idx="2">
                  <c:v>18.52</c:v>
                </c:pt>
                <c:pt idx="3">
                  <c:v>25.34</c:v>
                </c:pt>
                <c:pt idx="4">
                  <c:v>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1065.47</c:v>
                </c:pt>
                <c:pt idx="2">
                  <c:v>587.65</c:v>
                </c:pt>
                <c:pt idx="3">
                  <c:v>841.01</c:v>
                </c:pt>
                <c:pt idx="4">
                  <c:v>160.94999999999999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18.43</c:v>
                </c:pt>
                <c:pt idx="1">
                  <c:v>32.729999999999997</c:v>
                </c:pt>
                <c:pt idx="2">
                  <c:v>18.05</c:v>
                </c:pt>
                <c:pt idx="3">
                  <c:v>25.84</c:v>
                </c:pt>
                <c:pt idx="4">
                  <c:v>4.9400000000000004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1146.3499999999999</c:v>
                </c:pt>
                <c:pt idx="2">
                  <c:v>549.79</c:v>
                </c:pt>
                <c:pt idx="3">
                  <c:v>865.92</c:v>
                </c:pt>
                <c:pt idx="4">
                  <c:v>164.78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18.04</c:v>
                </c:pt>
                <c:pt idx="1">
                  <c:v>34.46</c:v>
                </c:pt>
                <c:pt idx="2">
                  <c:v>16.53</c:v>
                </c:pt>
                <c:pt idx="3">
                  <c:v>26.03</c:v>
                </c:pt>
                <c:pt idx="4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workbookViewId="0">
      <selection activeCell="E26" sqref="E2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6" t="s">
        <v>0</v>
      </c>
      <c r="C1" s="56"/>
      <c r="D1" s="56"/>
    </row>
    <row r="2" spans="2:41" x14ac:dyDescent="0.2">
      <c r="U2" s="16" t="s">
        <v>96</v>
      </c>
      <c r="AF2" s="16" t="s">
        <v>79</v>
      </c>
    </row>
    <row r="3" spans="2:41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609.69233634628699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1.9722870153105754E-2</v>
      </c>
      <c r="X4" s="3">
        <v>1</v>
      </c>
      <c r="Y4" s="2">
        <f t="shared" ref="Y4:Y34" si="1" xml:space="preserve"> $O$21 * TAN($O$18/180*PI()) + $O$22 / (2 * SQRT($O$21^2 + X4^2)) - X4</f>
        <v>-0.986261421314651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-0.48455476165996314</v>
      </c>
      <c r="AB4" s="2">
        <f>W4*AA4</f>
        <v>-9.5568106462885598E-3</v>
      </c>
      <c r="AC4" s="2">
        <f>Y4*AA4</f>
        <v>0.4778976679395372</v>
      </c>
      <c r="AD4" s="2">
        <f>X4-V4</f>
        <v>1</v>
      </c>
      <c r="AF4" s="2">
        <v>0</v>
      </c>
      <c r="AG4" s="2"/>
      <c r="AH4" s="2">
        <f>K27</f>
        <v>-1.5083969628904015E-9</v>
      </c>
      <c r="AI4" s="2"/>
      <c r="AJ4" s="2">
        <f>K27</f>
        <v>-1.5083969628904015E-9</v>
      </c>
      <c r="AK4" s="2"/>
      <c r="AL4" s="2">
        <f>K27</f>
        <v>-1.5083969628904015E-9</v>
      </c>
      <c r="AM4" s="2"/>
      <c r="AN4" s="2"/>
      <c r="AO4" s="2"/>
    </row>
    <row r="5" spans="2:41" x14ac:dyDescent="0.2">
      <c r="B5" s="10" t="s">
        <v>40</v>
      </c>
      <c r="C5" s="10">
        <f>AK44</f>
        <v>3131.5953327843999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152.42308408657175</v>
      </c>
      <c r="L5" s="6" t="s">
        <v>104</v>
      </c>
      <c r="N5" s="6" t="s">
        <v>119</v>
      </c>
      <c r="O5" s="6">
        <f xml:space="preserve"> $C$18 * 0.85 * ($C$5/$C$18 *2.20462/1000)^(2/3) * 0.3048^2</f>
        <v>0.45450127047678507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1.9722870153105754E-2</v>
      </c>
      <c r="X5" s="2">
        <f>IF(AC4&gt;0, Z4, X4)</f>
        <v>0.5</v>
      </c>
      <c r="Y5" s="2">
        <f t="shared" si="1"/>
        <v>-0.48455476165996314</v>
      </c>
      <c r="Z5" s="2">
        <f t="shared" ref="Z5:Z34" si="3" xml:space="preserve"> (V5 + X5)/2</f>
        <v>0.25</v>
      </c>
      <c r="AA5" s="2">
        <f t="shared" si="2"/>
        <v>-0.23247027065685807</v>
      </c>
      <c r="AB5" s="2">
        <f t="shared" ref="AB5:AB34" si="4">W5*AA5</f>
        <v>-4.5849809626225622E-3</v>
      </c>
      <c r="AC5" s="2">
        <f t="shared" ref="AC5:AC34" si="5">Y5*AA5</f>
        <v>0.11264457659116099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-1350.9822589205626</v>
      </c>
      <c r="AI5" s="3">
        <v>5000</v>
      </c>
      <c r="AJ5" s="2">
        <f t="dataTable" ref="AJ5:AJ44" dt2D="0" dtr="0" r1="C5"/>
        <v>642.28373568142933</v>
      </c>
      <c r="AK5" s="2">
        <f>(AG5+AI5)/2</f>
        <v>2750</v>
      </c>
      <c r="AL5" s="2">
        <f t="dataTable" ref="AL5:AL44" dt2D="0" dtr="0" r1="C5" ca="1"/>
        <v>-162.28513070852932</v>
      </c>
      <c r="AM5" s="2">
        <f>AH5*AL5</f>
        <v>219244.3324738277</v>
      </c>
      <c r="AN5" s="2">
        <f>AJ5*AL5</f>
        <v>-104233.09999702325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9.0420154797408569E-3</v>
      </c>
      <c r="U6" s="2">
        <v>2</v>
      </c>
      <c r="V6" s="2">
        <f t="shared" ref="V6:V34" si="7">IF(AB5&gt;0, Z5, V5)</f>
        <v>0</v>
      </c>
      <c r="W6" s="2">
        <f t="shared" si="0"/>
        <v>1.9722870153105754E-2</v>
      </c>
      <c r="X6" s="2">
        <f t="shared" ref="X6:X34" si="8">IF(AC5&gt;0, Z5, X5)</f>
        <v>0.25</v>
      </c>
      <c r="Y6" s="2">
        <f t="shared" si="1"/>
        <v>-0.23247027065685807</v>
      </c>
      <c r="Z6" s="2">
        <f t="shared" si="3"/>
        <v>0.125</v>
      </c>
      <c r="AA6" s="2">
        <f t="shared" si="2"/>
        <v>-0.10604598422187914</v>
      </c>
      <c r="AB6" s="2">
        <f t="shared" si="4"/>
        <v>-2.0915311770664238E-3</v>
      </c>
      <c r="AC6" s="2">
        <f t="shared" si="5"/>
        <v>2.4652538654133145E-2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-162.28513070852932</v>
      </c>
      <c r="AI6" s="2">
        <f>IF(AN5&gt;0, AK5, AI5)</f>
        <v>5000</v>
      </c>
      <c r="AJ6" s="2">
        <v>642.28373568142933</v>
      </c>
      <c r="AK6" s="2">
        <f t="shared" ref="AK6:AK43" si="9">(AG6+AI6)/2</f>
        <v>3875</v>
      </c>
      <c r="AL6" s="2">
        <v>286.77120754247971</v>
      </c>
      <c r="AM6" s="2">
        <f t="shared" ref="AM6:AM44" si="10">AH6*AL6</f>
        <v>-46538.702899474112</v>
      </c>
      <c r="AN6" s="2">
        <f t="shared" ref="AN6:AN44" si="11">AJ6*AL6</f>
        <v>184188.48246625834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8" t="s">
        <v>23</v>
      </c>
      <c r="K7" s="58"/>
      <c r="L7" s="58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1.9722870153105754E-2</v>
      </c>
      <c r="X7" s="2">
        <f t="shared" si="8"/>
        <v>0.125</v>
      </c>
      <c r="Y7" s="2">
        <f t="shared" si="1"/>
        <v>-0.10604598422187914</v>
      </c>
      <c r="Z7" s="2">
        <f t="shared" si="3"/>
        <v>6.25E-2</v>
      </c>
      <c r="AA7" s="2">
        <f t="shared" si="2"/>
        <v>-4.2991960246585047E-2</v>
      </c>
      <c r="AB7" s="2">
        <f t="shared" si="4"/>
        <v>-8.4792484957088132E-4</v>
      </c>
      <c r="AC7" s="2">
        <f t="shared" si="5"/>
        <v>4.5591247379770132E-3</v>
      </c>
      <c r="AD7" s="2">
        <f t="shared" si="6"/>
        <v>0.125</v>
      </c>
      <c r="AF7" s="2">
        <v>3</v>
      </c>
      <c r="AG7" s="2">
        <f t="shared" ref="AG7:AG44" si="13">IF(AM6&gt;0, AK6, AG6)</f>
        <v>2750</v>
      </c>
      <c r="AH7" s="2">
        <v>-162.28513070852932</v>
      </c>
      <c r="AI7" s="2">
        <f t="shared" ref="AI7:AI44" si="14">IF(AN6&gt;0, AK6, AI6)</f>
        <v>3875</v>
      </c>
      <c r="AJ7" s="2">
        <v>286.77120754247971</v>
      </c>
      <c r="AK7" s="2">
        <f t="shared" si="9"/>
        <v>3312.5</v>
      </c>
      <c r="AL7" s="2">
        <v>73.385828616867002</v>
      </c>
      <c r="AM7" s="2">
        <f t="shared" si="10"/>
        <v>-11909.428789241992</v>
      </c>
      <c r="AN7" s="2">
        <f t="shared" si="11"/>
        <v>21044.942688964413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8">
        <f>G7/$C$43</f>
        <v>0.50177629770214827</v>
      </c>
      <c r="H8" s="6" t="s">
        <v>131</v>
      </c>
      <c r="J8" s="6" t="s">
        <v>99</v>
      </c>
      <c r="K8" s="6">
        <f xml:space="preserve"> $C$15 * (G12*G6 + G22*G15 + G31*G27 +G35*G34)/3600</f>
        <v>244.59771703900984</v>
      </c>
      <c r="L8" s="6" t="s">
        <v>105</v>
      </c>
      <c r="N8" s="6" t="s">
        <v>122</v>
      </c>
      <c r="O8" s="6">
        <f xml:space="preserve"> $O$7 + O6</f>
        <v>2.1342865479740857E-2</v>
      </c>
      <c r="U8" s="2">
        <v>4</v>
      </c>
      <c r="V8" s="2">
        <f t="shared" si="7"/>
        <v>0</v>
      </c>
      <c r="W8" s="2">
        <f t="shared" si="0"/>
        <v>1.9722870153105754E-2</v>
      </c>
      <c r="X8" s="2">
        <f t="shared" si="8"/>
        <v>6.25E-2</v>
      </c>
      <c r="Y8" s="2">
        <f t="shared" si="1"/>
        <v>-4.2991960246585047E-2</v>
      </c>
      <c r="Z8" s="2">
        <f t="shared" si="3"/>
        <v>3.125E-2</v>
      </c>
      <c r="AA8" s="2">
        <f t="shared" si="2"/>
        <v>-1.1582491196931027E-2</v>
      </c>
      <c r="AB8" s="2">
        <f t="shared" si="4"/>
        <v>-2.2843996992656109E-4</v>
      </c>
      <c r="AC8" s="2">
        <f t="shared" si="5"/>
        <v>4.9795400109487993E-4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-162.28513070852932</v>
      </c>
      <c r="AI8" s="2">
        <f t="shared" si="14"/>
        <v>3312.5</v>
      </c>
      <c r="AJ8" s="2">
        <v>73.385828616867002</v>
      </c>
      <c r="AK8" s="2">
        <f t="shared" si="9"/>
        <v>3031.25</v>
      </c>
      <c r="AL8" s="2">
        <v>-41.693875103365372</v>
      </c>
      <c r="AM8" s="2">
        <f t="shared" si="10"/>
        <v>6766.2959708947456</v>
      </c>
      <c r="AN8" s="2">
        <f t="shared" si="11"/>
        <v>-3059.7395727086291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7673.576018112547</v>
      </c>
      <c r="H9" s="6" t="s">
        <v>22</v>
      </c>
      <c r="J9" s="6" t="s">
        <v>265</v>
      </c>
      <c r="K9" s="6">
        <f xml:space="preserve"> $C$15 * (G6 + G15 + G27 + G34)/60</f>
        <v>57.333333333333336</v>
      </c>
      <c r="L9" s="6" t="s">
        <v>106</v>
      </c>
      <c r="N9" s="6" t="s">
        <v>41</v>
      </c>
      <c r="O9" s="6">
        <f xml:space="preserve"> O4 *O8 * PI() * $C$9 * $C$9</f>
        <v>1352.4700721128318</v>
      </c>
      <c r="P9" s="6" t="s">
        <v>22</v>
      </c>
      <c r="U9" s="2">
        <v>5</v>
      </c>
      <c r="V9" s="2">
        <f t="shared" si="7"/>
        <v>0</v>
      </c>
      <c r="W9" s="2">
        <f t="shared" si="0"/>
        <v>1.9722870153105754E-2</v>
      </c>
      <c r="X9" s="2">
        <f t="shared" si="8"/>
        <v>3.125E-2</v>
      </c>
      <c r="Y9" s="2">
        <f t="shared" si="1"/>
        <v>-1.1582491196931027E-2</v>
      </c>
      <c r="Z9" s="2">
        <f t="shared" si="3"/>
        <v>1.5625E-2</v>
      </c>
      <c r="AA9" s="2">
        <f t="shared" si="2"/>
        <v>4.083921990848921E-3</v>
      </c>
      <c r="AB9" s="2">
        <f t="shared" si="4"/>
        <v>8.0546663140926419E-5</v>
      </c>
      <c r="AC9" s="2">
        <f t="shared" si="5"/>
        <v>-4.7301990507960666E-5</v>
      </c>
      <c r="AD9" s="2">
        <f t="shared" si="6"/>
        <v>3.125E-2</v>
      </c>
      <c r="AF9" s="2">
        <v>5</v>
      </c>
      <c r="AG9" s="2">
        <f t="shared" si="13"/>
        <v>3031.25</v>
      </c>
      <c r="AH9" s="2">
        <v>-41.693875103365372</v>
      </c>
      <c r="AI9" s="2">
        <f t="shared" si="14"/>
        <v>3312.5</v>
      </c>
      <c r="AJ9" s="2">
        <v>73.385828616867002</v>
      </c>
      <c r="AK9" s="2">
        <f t="shared" si="9"/>
        <v>3171.875</v>
      </c>
      <c r="AL9" s="2">
        <v>16.538407424197885</v>
      </c>
      <c r="AM9" s="2">
        <f t="shared" si="10"/>
        <v>-689.55029355307727</v>
      </c>
      <c r="AN9" s="2">
        <f t="shared" si="11"/>
        <v>1213.6847328281069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101.61538939104784</v>
      </c>
      <c r="H10" s="6" t="s">
        <v>104</v>
      </c>
      <c r="N10" s="6" t="s">
        <v>42</v>
      </c>
      <c r="O10" s="6">
        <f xml:space="preserve"> O9</f>
        <v>1352.4700721128318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4.083921990848921E-3</v>
      </c>
      <c r="X10" s="2">
        <f t="shared" si="8"/>
        <v>3.125E-2</v>
      </c>
      <c r="Y10" s="2">
        <f t="shared" si="1"/>
        <v>-1.1582491196931027E-2</v>
      </c>
      <c r="Z10" s="2">
        <f t="shared" si="3"/>
        <v>2.34375E-2</v>
      </c>
      <c r="AA10" s="2">
        <f t="shared" si="2"/>
        <v>-3.7459116176223953E-3</v>
      </c>
      <c r="AB10" s="2">
        <f t="shared" si="4"/>
        <v>-1.5298010830984555E-5</v>
      </c>
      <c r="AC10" s="2">
        <f t="shared" si="5"/>
        <v>4.3386988335593055E-5</v>
      </c>
      <c r="AD10" s="2">
        <f t="shared" si="6"/>
        <v>1.5625E-2</v>
      </c>
      <c r="AF10" s="2">
        <v>6</v>
      </c>
      <c r="AG10" s="2">
        <f t="shared" si="13"/>
        <v>3031.25</v>
      </c>
      <c r="AH10" s="2">
        <v>-41.693875103365372</v>
      </c>
      <c r="AI10" s="2">
        <f t="shared" si="14"/>
        <v>3171.875</v>
      </c>
      <c r="AJ10" s="2">
        <v>16.538407424197885</v>
      </c>
      <c r="AK10" s="2">
        <f t="shared" si="9"/>
        <v>3101.5625</v>
      </c>
      <c r="AL10" s="2">
        <v>-12.405052830222758</v>
      </c>
      <c r="AM10" s="2">
        <f t="shared" si="10"/>
        <v>517.21472335395674</v>
      </c>
      <c r="AN10" s="2">
        <f t="shared" si="11"/>
        <v>-205.15981782492304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7.7045301689811971</v>
      </c>
      <c r="H11" s="6" t="s">
        <v>275</v>
      </c>
      <c r="J11" s="54" t="s">
        <v>54</v>
      </c>
      <c r="K11" s="54"/>
      <c r="L11" s="54"/>
      <c r="N11" s="6" t="s">
        <v>118</v>
      </c>
      <c r="O11" s="6">
        <f>($O$8*PI()*$C$9^2)/(0.3048^2)/($C$5*2.20462/1000)^(2/3) + 0.85</f>
        <v>4.0348799763610099</v>
      </c>
      <c r="U11" s="2">
        <v>7</v>
      </c>
      <c r="V11" s="2">
        <f t="shared" si="7"/>
        <v>1.5625E-2</v>
      </c>
      <c r="W11" s="2">
        <f t="shared" si="0"/>
        <v>4.083921990848921E-3</v>
      </c>
      <c r="X11" s="2">
        <f t="shared" si="8"/>
        <v>2.34375E-2</v>
      </c>
      <c r="Y11" s="2">
        <f t="shared" si="1"/>
        <v>-3.7459116176223953E-3</v>
      </c>
      <c r="Z11" s="2">
        <f t="shared" si="3"/>
        <v>1.953125E-2</v>
      </c>
      <c r="AA11" s="2">
        <f t="shared" si="2"/>
        <v>1.6985796071994699E-4</v>
      </c>
      <c r="AB11" s="2">
        <f t="shared" si="4"/>
        <v>6.9368666110494381E-7</v>
      </c>
      <c r="AC11" s="2">
        <f t="shared" si="5"/>
        <v>-6.3627290840649792E-7</v>
      </c>
      <c r="AD11" s="2">
        <f t="shared" si="6"/>
        <v>7.8125E-3</v>
      </c>
      <c r="AF11" s="2">
        <v>7</v>
      </c>
      <c r="AG11" s="2">
        <f t="shared" si="13"/>
        <v>3101.5625</v>
      </c>
      <c r="AH11" s="2">
        <v>-12.405052830222758</v>
      </c>
      <c r="AI11" s="2">
        <f t="shared" si="14"/>
        <v>3171.875</v>
      </c>
      <c r="AJ11" s="2">
        <v>16.538407424197885</v>
      </c>
      <c r="AK11" s="2">
        <f t="shared" si="9"/>
        <v>3136.71875</v>
      </c>
      <c r="AL11" s="2">
        <v>2.1099216328943839</v>
      </c>
      <c r="AM11" s="2">
        <f t="shared" si="10"/>
        <v>-26.173689323684698</v>
      </c>
      <c r="AN11" s="2">
        <f t="shared" si="11"/>
        <v>34.894743597936206</v>
      </c>
      <c r="AO11" s="2">
        <f t="shared" si="12"/>
        <v>70.3125</v>
      </c>
    </row>
    <row r="12" spans="2:41" x14ac:dyDescent="0.2">
      <c r="B12" s="58" t="s">
        <v>12</v>
      </c>
      <c r="C12" s="58"/>
      <c r="D12" s="58"/>
      <c r="F12" s="42" t="s">
        <v>85</v>
      </c>
      <c r="G12" s="43">
        <f xml:space="preserve"> 1/1000 * (($C$5*$C$44)/$C$21 * ( ($G$4/2) + SQRT( ($G$4/2)^2 + ($C$5*$C$44) / (2*$C$41*PI()*$C$9^2 * $C$18) ) ) )</f>
        <v>406.46155756419137</v>
      </c>
      <c r="H12" s="43" t="s">
        <v>104</v>
      </c>
      <c r="J12" s="10" t="s">
        <v>82</v>
      </c>
      <c r="K12" s="6">
        <f>C5</f>
        <v>3131.5953327843999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1.6985796071994699E-4</v>
      </c>
      <c r="X12" s="2">
        <f t="shared" si="8"/>
        <v>2.34375E-2</v>
      </c>
      <c r="Y12" s="2">
        <f t="shared" si="1"/>
        <v>-3.7459116176223953E-3</v>
      </c>
      <c r="Z12" s="2">
        <f t="shared" si="3"/>
        <v>2.1484375E-2</v>
      </c>
      <c r="AA12" s="2">
        <f t="shared" si="2"/>
        <v>-1.7878147039000897E-3</v>
      </c>
      <c r="AB12" s="2">
        <f t="shared" si="4"/>
        <v>-3.0367455974960509E-7</v>
      </c>
      <c r="AC12" s="2">
        <f t="shared" si="5"/>
        <v>6.6969958694954886E-6</v>
      </c>
      <c r="AD12" s="2">
        <f t="shared" si="6"/>
        <v>3.90625E-3</v>
      </c>
      <c r="AF12" s="2">
        <v>8</v>
      </c>
      <c r="AG12" s="2">
        <f t="shared" si="13"/>
        <v>3101.5625</v>
      </c>
      <c r="AH12" s="2">
        <v>-12.405052830222758</v>
      </c>
      <c r="AI12" s="2">
        <f t="shared" si="14"/>
        <v>3136.71875</v>
      </c>
      <c r="AJ12" s="2">
        <v>2.1099216328943839</v>
      </c>
      <c r="AK12" s="2">
        <f t="shared" si="9"/>
        <v>3119.140625</v>
      </c>
      <c r="AL12" s="2">
        <v>-5.1367663640244245</v>
      </c>
      <c r="AM12" s="2">
        <f t="shared" si="10"/>
        <v>63.721858122234252</v>
      </c>
      <c r="AN12" s="2">
        <f t="shared" si="11"/>
        <v>-10.838174474579361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1438.8101002294698</v>
      </c>
      <c r="L13" s="6" t="s">
        <v>7</v>
      </c>
      <c r="N13" s="54" t="s">
        <v>76</v>
      </c>
      <c r="O13" s="55"/>
      <c r="P13" s="55"/>
      <c r="U13" s="2">
        <v>9</v>
      </c>
      <c r="V13" s="2">
        <f t="shared" si="7"/>
        <v>1.953125E-2</v>
      </c>
      <c r="W13" s="2">
        <f t="shared" si="0"/>
        <v>1.6985796071994699E-4</v>
      </c>
      <c r="X13" s="2">
        <f t="shared" si="8"/>
        <v>2.1484375E-2</v>
      </c>
      <c r="Y13" s="2">
        <f t="shared" si="1"/>
        <v>-1.7878147039000897E-3</v>
      </c>
      <c r="Z13" s="2">
        <f t="shared" si="3"/>
        <v>2.05078125E-2</v>
      </c>
      <c r="AA13" s="2">
        <f t="shared" si="2"/>
        <v>-8.0892519907330498E-4</v>
      </c>
      <c r="AB13" s="2">
        <f t="shared" si="4"/>
        <v>-1.3740238468956875E-7</v>
      </c>
      <c r="AC13" s="2">
        <f t="shared" si="5"/>
        <v>1.4462083652585619E-6</v>
      </c>
      <c r="AD13" s="2">
        <f t="shared" si="6"/>
        <v>1.953125E-3</v>
      </c>
      <c r="AF13" s="2">
        <v>9</v>
      </c>
      <c r="AG13" s="2">
        <f t="shared" si="13"/>
        <v>3119.140625</v>
      </c>
      <c r="AH13" s="2">
        <v>-5.1367663640244245</v>
      </c>
      <c r="AI13" s="2">
        <f t="shared" si="14"/>
        <v>3136.71875</v>
      </c>
      <c r="AJ13" s="2">
        <v>2.1099216328943839</v>
      </c>
      <c r="AK13" s="2">
        <f t="shared" si="9"/>
        <v>3127.9296875</v>
      </c>
      <c r="AL13" s="2">
        <v>-1.510740094916855</v>
      </c>
      <c r="AM13" s="2">
        <f t="shared" si="10"/>
        <v>7.7603189043519674</v>
      </c>
      <c r="AN13" s="2">
        <f t="shared" si="11"/>
        <v>-3.1875432079459873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4" t="s">
        <v>89</v>
      </c>
      <c r="G14" s="57"/>
      <c r="H14" s="57"/>
      <c r="J14" s="12" t="s">
        <v>135</v>
      </c>
      <c r="K14" s="6">
        <f xml:space="preserve"> $C$54 * $C$18 * (0.0095 * MAX(G9,O19,G28) - 1.9275)</f>
        <v>227.31276409008666</v>
      </c>
      <c r="L14" s="6" t="s">
        <v>7</v>
      </c>
      <c r="N14" s="6" t="s">
        <v>77</v>
      </c>
      <c r="O14" s="6">
        <f xml:space="preserve"> SQRT( ($C$5*$C$50)^2 + O10^2)</f>
        <v>30721.153169748242</v>
      </c>
      <c r="P14" s="6" t="s">
        <v>22</v>
      </c>
      <c r="U14" s="2">
        <v>10</v>
      </c>
      <c r="V14" s="2">
        <f t="shared" si="7"/>
        <v>1.953125E-2</v>
      </c>
      <c r="W14" s="2">
        <f t="shared" si="0"/>
        <v>1.6985796071994699E-4</v>
      </c>
      <c r="X14" s="2">
        <f t="shared" si="8"/>
        <v>2.05078125E-2</v>
      </c>
      <c r="Y14" s="2">
        <f t="shared" si="1"/>
        <v>-8.0892519907330498E-4</v>
      </c>
      <c r="Z14" s="2">
        <f t="shared" si="3"/>
        <v>2.001953125E-2</v>
      </c>
      <c r="AA14" s="2">
        <f t="shared" si="2"/>
        <v>-3.195203090494772E-4</v>
      </c>
      <c r="AB14" s="2">
        <f t="shared" si="4"/>
        <v>-5.4273068103751425E-8</v>
      </c>
      <c r="AC14" s="2">
        <f t="shared" si="5"/>
        <v>2.5846802960581227E-7</v>
      </c>
      <c r="AD14" s="2">
        <f t="shared" si="6"/>
        <v>9.765625E-4</v>
      </c>
      <c r="AF14" s="2">
        <v>10</v>
      </c>
      <c r="AG14" s="2">
        <f t="shared" si="13"/>
        <v>3127.9296875</v>
      </c>
      <c r="AH14" s="2">
        <v>-1.510740094916855</v>
      </c>
      <c r="AI14" s="2">
        <f t="shared" si="14"/>
        <v>3136.71875</v>
      </c>
      <c r="AJ14" s="2">
        <v>2.1099216328943839</v>
      </c>
      <c r="AK14" s="2">
        <f t="shared" si="9"/>
        <v>3132.32421875</v>
      </c>
      <c r="AL14" s="2">
        <v>0.30025168863767249</v>
      </c>
      <c r="AM14" s="2">
        <f t="shared" si="10"/>
        <v>-0.45360226459142333</v>
      </c>
      <c r="AN14" s="2">
        <f t="shared" si="11"/>
        <v>0.6335075331696941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349.33681304753821</v>
      </c>
      <c r="L15" s="6" t="s">
        <v>7</v>
      </c>
      <c r="N15" s="6" t="s">
        <v>78</v>
      </c>
      <c r="O15" s="6">
        <f>$C$5*$C$50/O14</f>
        <v>0.99903047081676166</v>
      </c>
      <c r="U15" s="2">
        <v>11</v>
      </c>
      <c r="V15" s="2">
        <f t="shared" si="7"/>
        <v>1.953125E-2</v>
      </c>
      <c r="W15" s="2">
        <f t="shared" si="0"/>
        <v>1.6985796071994699E-4</v>
      </c>
      <c r="X15" s="2">
        <f t="shared" si="8"/>
        <v>2.001953125E-2</v>
      </c>
      <c r="Y15" s="2">
        <f t="shared" si="1"/>
        <v>-3.195203090494772E-4</v>
      </c>
      <c r="Z15" s="2">
        <f t="shared" si="3"/>
        <v>1.9775390625E-2</v>
      </c>
      <c r="AA15" s="2">
        <f t="shared" si="2"/>
        <v>-7.4827844550595657E-5</v>
      </c>
      <c r="AB15" s="2">
        <f t="shared" si="4"/>
        <v>-1.2710105080433377E-8</v>
      </c>
      <c r="AC15" s="2">
        <f t="shared" si="5"/>
        <v>2.3909016016312562E-8</v>
      </c>
      <c r="AD15" s="2">
        <f t="shared" si="6"/>
        <v>4.8828125E-4</v>
      </c>
      <c r="AF15" s="2">
        <v>11</v>
      </c>
      <c r="AG15" s="2">
        <f t="shared" si="13"/>
        <v>3127.9296875</v>
      </c>
      <c r="AH15" s="2">
        <v>-1.510740094916855</v>
      </c>
      <c r="AI15" s="2">
        <f t="shared" si="14"/>
        <v>3132.32421875</v>
      </c>
      <c r="AJ15" s="2">
        <v>0.30025168863767249</v>
      </c>
      <c r="AK15" s="2">
        <f t="shared" si="9"/>
        <v>3130.126953125</v>
      </c>
      <c r="AL15" s="2">
        <v>-0.60504763966355313</v>
      </c>
      <c r="AM15" s="2">
        <f t="shared" si="10"/>
        <v>0.91406972857453539</v>
      </c>
      <c r="AN15" s="2">
        <f t="shared" si="11"/>
        <v>-0.18166657551521981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$C$54 * 0.2138 * K4</f>
        <v>104.28177720866893</v>
      </c>
      <c r="L16" s="6" t="s">
        <v>7</v>
      </c>
      <c r="U16" s="2">
        <v>12</v>
      </c>
      <c r="V16" s="2">
        <f t="shared" si="7"/>
        <v>1.953125E-2</v>
      </c>
      <c r="W16" s="2">
        <f t="shared" si="0"/>
        <v>1.6985796071994699E-4</v>
      </c>
      <c r="X16" s="2">
        <f t="shared" si="8"/>
        <v>1.9775390625E-2</v>
      </c>
      <c r="Y16" s="2">
        <f t="shared" si="1"/>
        <v>-7.4827844550595657E-5</v>
      </c>
      <c r="Z16" s="2">
        <f t="shared" si="3"/>
        <v>1.96533203125E-2</v>
      </c>
      <c r="AA16" s="2">
        <f t="shared" si="2"/>
        <v>4.7515890745856992E-5</v>
      </c>
      <c r="AB16" s="2">
        <f t="shared" si="4"/>
        <v>8.07095230388307E-9</v>
      </c>
      <c r="AC16" s="2">
        <f t="shared" si="5"/>
        <v>-3.5555116864140738E-9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-0.60504763966355313</v>
      </c>
      <c r="AI16" s="2">
        <f t="shared" si="14"/>
        <v>3132.32421875</v>
      </c>
      <c r="AJ16" s="2">
        <v>0.30025168863767249</v>
      </c>
      <c r="AK16" s="2">
        <f t="shared" si="9"/>
        <v>3131.2255859375</v>
      </c>
      <c r="AL16" s="2">
        <v>-0.15234088883335062</v>
      </c>
      <c r="AM16" s="2">
        <f t="shared" si="10"/>
        <v>9.2173495212866524E-2</v>
      </c>
      <c r="AN16" s="2">
        <f t="shared" si="11"/>
        <v>-4.5740609120777466E-2</v>
      </c>
      <c r="AO16" s="2">
        <f t="shared" si="12"/>
        <v>2.197265625</v>
      </c>
    </row>
    <row r="17" spans="2:41" x14ac:dyDescent="0.2">
      <c r="B17" s="59" t="s">
        <v>115</v>
      </c>
      <c r="C17" s="59"/>
      <c r="D17" s="59"/>
      <c r="F17" s="6" t="s">
        <v>133</v>
      </c>
      <c r="G17" s="6">
        <f>G16/$C$49</f>
        <v>0.56652610777154422</v>
      </c>
      <c r="H17" s="6" t="s">
        <v>131</v>
      </c>
      <c r="J17" s="13" t="s">
        <v>80</v>
      </c>
      <c r="K17" s="6">
        <f xml:space="preserve"> $C$54 * 0.1149 * K4</f>
        <v>56.0429195569507</v>
      </c>
      <c r="L17" s="6" t="s">
        <v>7</v>
      </c>
      <c r="N17" s="54" t="s">
        <v>27</v>
      </c>
      <c r="O17" s="55"/>
      <c r="P17" s="55"/>
      <c r="U17" s="2">
        <v>13</v>
      </c>
      <c r="V17" s="2">
        <f t="shared" si="7"/>
        <v>1.96533203125E-2</v>
      </c>
      <c r="W17" s="2">
        <f t="shared" si="0"/>
        <v>4.7515890745856992E-5</v>
      </c>
      <c r="X17" s="2">
        <f t="shared" si="8"/>
        <v>1.9775390625E-2</v>
      </c>
      <c r="Y17" s="2">
        <f t="shared" si="1"/>
        <v>-7.4827844550595657E-5</v>
      </c>
      <c r="Z17" s="2">
        <f t="shared" si="3"/>
        <v>1.971435546875E-2</v>
      </c>
      <c r="AA17" s="2">
        <f t="shared" si="2"/>
        <v>-1.3655768769160748E-5</v>
      </c>
      <c r="AB17" s="2">
        <f t="shared" si="4"/>
        <v>-6.4886601688612812E-10</v>
      </c>
      <c r="AC17" s="2">
        <f t="shared" si="5"/>
        <v>1.0218317426776393E-9</v>
      </c>
      <c r="AD17" s="2">
        <f t="shared" si="6"/>
        <v>1.220703125E-4</v>
      </c>
      <c r="AF17" s="2">
        <v>13</v>
      </c>
      <c r="AG17" s="2">
        <f t="shared" si="13"/>
        <v>3131.2255859375</v>
      </c>
      <c r="AH17" s="2">
        <v>-0.15234088883335062</v>
      </c>
      <c r="AI17" s="2">
        <f t="shared" si="14"/>
        <v>3132.32421875</v>
      </c>
      <c r="AJ17" s="2">
        <v>0.30025168863767249</v>
      </c>
      <c r="AK17" s="2">
        <f t="shared" si="9"/>
        <v>3131.77490234375</v>
      </c>
      <c r="AL17" s="2">
        <v>7.3973630426280579E-2</v>
      </c>
      <c r="AM17" s="2">
        <f t="shared" si="10"/>
        <v>-1.1269208609369372E-2</v>
      </c>
      <c r="AN17" s="2">
        <f t="shared" si="11"/>
        <v>2.2210707450149851E-2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7680.2882924370606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138.67695972287865</v>
      </c>
      <c r="L18" s="6" t="s">
        <v>7</v>
      </c>
      <c r="N18" s="6" t="s">
        <v>28</v>
      </c>
      <c r="O18" s="6">
        <f xml:space="preserve"> ACOS(O15)/PI()*180</f>
        <v>2.5232086681016894</v>
      </c>
      <c r="P18" s="6" t="s">
        <v>43</v>
      </c>
      <c r="U18" s="2">
        <v>14</v>
      </c>
      <c r="V18" s="2">
        <f t="shared" si="7"/>
        <v>1.96533203125E-2</v>
      </c>
      <c r="W18" s="2">
        <f t="shared" si="0"/>
        <v>4.7515890745856992E-5</v>
      </c>
      <c r="X18" s="2">
        <f t="shared" si="8"/>
        <v>1.971435546875E-2</v>
      </c>
      <c r="Y18" s="2">
        <f t="shared" si="1"/>
        <v>-1.3655768769160748E-5</v>
      </c>
      <c r="Z18" s="2">
        <f t="shared" si="3"/>
        <v>1.9683837890625E-2</v>
      </c>
      <c r="AA18" s="2">
        <f t="shared" si="2"/>
        <v>1.693011302567049E-5</v>
      </c>
      <c r="AB18" s="2">
        <f t="shared" si="4"/>
        <v>8.0444940084276941E-10</v>
      </c>
      <c r="AC18" s="2">
        <f t="shared" si="5"/>
        <v>-2.3119370871431265E-10</v>
      </c>
      <c r="AD18" s="2">
        <f t="shared" si="6"/>
        <v>6.103515625E-5</v>
      </c>
      <c r="AF18" s="2">
        <v>14</v>
      </c>
      <c r="AG18" s="2">
        <f t="shared" si="13"/>
        <v>3131.2255859375</v>
      </c>
      <c r="AH18" s="2">
        <v>-0.15234088883335062</v>
      </c>
      <c r="AI18" s="2">
        <f t="shared" si="14"/>
        <v>3131.77490234375</v>
      </c>
      <c r="AJ18" s="2">
        <v>7.3973630426280579E-2</v>
      </c>
      <c r="AK18" s="2">
        <f t="shared" si="9"/>
        <v>3131.500244140625</v>
      </c>
      <c r="AL18" s="2">
        <v>-3.9183024826797919E-2</v>
      </c>
      <c r="AM18" s="2">
        <f t="shared" si="10"/>
        <v>5.9691768292936395E-3</v>
      </c>
      <c r="AN18" s="2">
        <f t="shared" si="11"/>
        <v>-2.8985105975213258E-3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61.029282276364313</v>
      </c>
      <c r="H19" s="6" t="s">
        <v>104</v>
      </c>
      <c r="J19" s="14" t="s">
        <v>64</v>
      </c>
      <c r="K19" s="6">
        <f xml:space="preserve"> $C$55 * C31 * $C$5</f>
        <v>35.073867727185288</v>
      </c>
      <c r="L19" s="6" t="s">
        <v>7</v>
      </c>
      <c r="N19" s="6" t="s">
        <v>21</v>
      </c>
      <c r="O19" s="6">
        <f xml:space="preserve"> O14 / $C$18</f>
        <v>7680.2882924370606</v>
      </c>
      <c r="P19" s="6" t="s">
        <v>22</v>
      </c>
      <c r="U19" s="2">
        <v>15</v>
      </c>
      <c r="V19" s="2">
        <f t="shared" si="7"/>
        <v>1.9683837890625E-2</v>
      </c>
      <c r="W19" s="2">
        <f t="shared" si="0"/>
        <v>1.693011302567049E-5</v>
      </c>
      <c r="X19" s="2">
        <f t="shared" si="8"/>
        <v>1.971435546875E-2</v>
      </c>
      <c r="Y19" s="2">
        <f t="shared" si="1"/>
        <v>-1.3655768769160748E-5</v>
      </c>
      <c r="Z19" s="2">
        <f t="shared" si="3"/>
        <v>1.96990966796875E-2</v>
      </c>
      <c r="AA19" s="2">
        <f t="shared" si="2"/>
        <v>1.6371851370849955E-6</v>
      </c>
      <c r="AB19" s="2">
        <f t="shared" si="4"/>
        <v>2.7717729414796807E-11</v>
      </c>
      <c r="AC19" s="2">
        <f t="shared" si="5"/>
        <v>-2.235702166433944E-11</v>
      </c>
      <c r="AD19" s="2">
        <f t="shared" si="6"/>
        <v>3.0517578125E-5</v>
      </c>
      <c r="AF19" s="2">
        <v>15</v>
      </c>
      <c r="AG19" s="2">
        <f t="shared" si="13"/>
        <v>3131.500244140625</v>
      </c>
      <c r="AH19" s="2">
        <v>-3.9183024826797919E-2</v>
      </c>
      <c r="AI19" s="2">
        <f t="shared" si="14"/>
        <v>3131.77490234375</v>
      </c>
      <c r="AJ19" s="2">
        <v>7.3973630426280579E-2</v>
      </c>
      <c r="AK19" s="2">
        <f t="shared" si="9"/>
        <v>3131.6375732421875</v>
      </c>
      <c r="AL19" s="2">
        <v>1.7395453894550883E-2</v>
      </c>
      <c r="AM19" s="2">
        <f t="shared" si="10"/>
        <v>-6.8160650182360575E-4</v>
      </c>
      <c r="AN19" s="2">
        <f t="shared" si="11"/>
        <v>1.2868048774929103E-3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12.8406984952318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1.96990966796875E-2</v>
      </c>
      <c r="W20" s="2">
        <f t="shared" si="0"/>
        <v>1.6371851370849955E-6</v>
      </c>
      <c r="X20" s="2">
        <f t="shared" si="8"/>
        <v>1.971435546875E-2</v>
      </c>
      <c r="Y20" s="2">
        <f t="shared" si="1"/>
        <v>-1.3655768769160748E-5</v>
      </c>
      <c r="Z20" s="2">
        <f t="shared" si="3"/>
        <v>1.970672607421875E-2</v>
      </c>
      <c r="AA20" s="2">
        <f t="shared" si="2"/>
        <v>-6.0092885638962645E-6</v>
      </c>
      <c r="AB20" s="2">
        <f t="shared" si="4"/>
        <v>-9.8383179212658006E-12</v>
      </c>
      <c r="AC20" s="2">
        <f t="shared" si="5"/>
        <v>8.2061455095729449E-11</v>
      </c>
      <c r="AD20" s="2">
        <f t="shared" si="6"/>
        <v>1.52587890625E-5</v>
      </c>
      <c r="AF20" s="2">
        <v>16</v>
      </c>
      <c r="AG20" s="2">
        <f t="shared" si="13"/>
        <v>3131.500244140625</v>
      </c>
      <c r="AH20" s="2">
        <v>-3.9183024826797919E-2</v>
      </c>
      <c r="AI20" s="2">
        <f t="shared" si="14"/>
        <v>3131.6375732421875</v>
      </c>
      <c r="AJ20" s="2">
        <v>1.7395453894550883E-2</v>
      </c>
      <c r="AK20" s="2">
        <f t="shared" si="9"/>
        <v>3131.5689086914062</v>
      </c>
      <c r="AL20" s="2">
        <v>-1.0909556869592052E-2</v>
      </c>
      <c r="AM20" s="2">
        <f t="shared" si="10"/>
        <v>4.2746943767058915E-4</v>
      </c>
      <c r="AN20" s="2">
        <f t="shared" si="11"/>
        <v>-1.897766935349694E-4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6.9442923752785574E-2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0.2650010628831852</v>
      </c>
      <c r="U21" s="2">
        <v>17</v>
      </c>
      <c r="V21" s="2">
        <f t="shared" si="7"/>
        <v>1.96990966796875E-2</v>
      </c>
      <c r="W21" s="2">
        <f t="shared" si="0"/>
        <v>1.6371851370849955E-6</v>
      </c>
      <c r="X21" s="2">
        <f t="shared" si="8"/>
        <v>1.970672607421875E-2</v>
      </c>
      <c r="Y21" s="2">
        <f t="shared" si="1"/>
        <v>-6.0092885638962645E-6</v>
      </c>
      <c r="Z21" s="2">
        <f t="shared" si="3"/>
        <v>1.9702911376953125E-2</v>
      </c>
      <c r="AA21" s="2">
        <f t="shared" si="2"/>
        <v>-2.186050900361558E-6</v>
      </c>
      <c r="AB21" s="2">
        <f t="shared" si="4"/>
        <v>-3.5789700429832152E-12</v>
      </c>
      <c r="AC21" s="2">
        <f t="shared" si="5"/>
        <v>1.3136610675637844E-11</v>
      </c>
      <c r="AD21" s="2">
        <f t="shared" si="6"/>
        <v>7.62939453125E-6</v>
      </c>
      <c r="AF21" s="2">
        <v>17</v>
      </c>
      <c r="AG21" s="2">
        <f t="shared" si="13"/>
        <v>3131.5689086914062</v>
      </c>
      <c r="AH21" s="2">
        <v>-1.0909556869592052E-2</v>
      </c>
      <c r="AI21" s="2">
        <f t="shared" si="14"/>
        <v>3131.6375732421875</v>
      </c>
      <c r="AJ21" s="2">
        <v>1.7395453894550883E-2</v>
      </c>
      <c r="AK21" s="2">
        <f t="shared" si="9"/>
        <v>3131.6032409667969</v>
      </c>
      <c r="AL21" s="2">
        <v>3.227148523365031E-3</v>
      </c>
      <c r="AM21" s="2">
        <f t="shared" si="10"/>
        <v>-3.5206760342270822E-5</v>
      </c>
      <c r="AN21" s="2">
        <f t="shared" si="11"/>
        <v>5.6137713349064356E-5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244.11712910545725</v>
      </c>
      <c r="H22" s="43" t="s">
        <v>104</v>
      </c>
      <c r="J22" s="14" t="s">
        <v>117</v>
      </c>
      <c r="K22" s="6">
        <f>$C$55*(0.14*$G$12*1000/745.7)*0.453592</f>
        <v>27.691006586683056</v>
      </c>
      <c r="L22" s="6" t="s">
        <v>7</v>
      </c>
      <c r="N22" s="6" t="s">
        <v>32</v>
      </c>
      <c r="O22" s="6">
        <f xml:space="preserve"> O19 / ($C$47 * PI() * $C$9^2 * O20^2 * $C$9^2)</f>
        <v>4.2639328101960316E-3</v>
      </c>
      <c r="U22" s="2">
        <v>18</v>
      </c>
      <c r="V22" s="2">
        <f t="shared" si="7"/>
        <v>1.96990966796875E-2</v>
      </c>
      <c r="W22" s="2">
        <f t="shared" si="0"/>
        <v>1.6371851370849955E-6</v>
      </c>
      <c r="X22" s="2">
        <f t="shared" si="8"/>
        <v>1.9702911376953125E-2</v>
      </c>
      <c r="Y22" s="2">
        <f t="shared" si="1"/>
        <v>-2.186050900361558E-6</v>
      </c>
      <c r="Z22" s="2">
        <f t="shared" si="3"/>
        <v>1.9701004028320312E-2</v>
      </c>
      <c r="AA22" s="2">
        <f t="shared" si="2"/>
        <v>-2.7443267837726215E-7</v>
      </c>
      <c r="AB22" s="2">
        <f t="shared" si="4"/>
        <v>-4.4929710216968041E-13</v>
      </c>
      <c r="AC22" s="2">
        <f t="shared" si="5"/>
        <v>5.9992380365524782E-13</v>
      </c>
      <c r="AD22" s="2">
        <f t="shared" si="6"/>
        <v>3.814697265625E-6</v>
      </c>
      <c r="AF22" s="2">
        <v>18</v>
      </c>
      <c r="AG22" s="2">
        <f t="shared" si="13"/>
        <v>3131.5689086914062</v>
      </c>
      <c r="AH22" s="2">
        <v>-1.0909556869592052E-2</v>
      </c>
      <c r="AI22" s="2">
        <f t="shared" si="14"/>
        <v>3131.6032409667969</v>
      </c>
      <c r="AJ22" s="2">
        <v>3.227148523365031E-3</v>
      </c>
      <c r="AK22" s="2">
        <f t="shared" si="9"/>
        <v>3131.5860748291016</v>
      </c>
      <c r="AL22" s="2">
        <v>-3.8412017897826445E-3</v>
      </c>
      <c r="AM22" s="2">
        <f t="shared" si="10"/>
        <v>4.1905809373212534E-5</v>
      </c>
      <c r="AN22" s="2">
        <f t="shared" si="11"/>
        <v>-1.2396128683844176E-5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67.141403934897539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1.96990966796875E-2</v>
      </c>
      <c r="W23" s="2">
        <f t="shared" si="0"/>
        <v>1.6371851370849955E-6</v>
      </c>
      <c r="X23" s="2">
        <f t="shared" si="8"/>
        <v>1.9701004028320312E-2</v>
      </c>
      <c r="Y23" s="2">
        <f t="shared" si="1"/>
        <v>-2.7443267837726215E-7</v>
      </c>
      <c r="Z23" s="2">
        <f t="shared" si="3"/>
        <v>1.9700050354003906E-2</v>
      </c>
      <c r="AA23" s="2">
        <f t="shared" si="2"/>
        <v>6.8137628016912144E-7</v>
      </c>
      <c r="AB23" s="2">
        <f t="shared" si="4"/>
        <v>1.1155391186551473E-12</v>
      </c>
      <c r="AC23" s="2">
        <f t="shared" si="5"/>
        <v>-1.8699191754954777E-13</v>
      </c>
      <c r="AD23" s="2">
        <f t="shared" si="6"/>
        <v>1.9073486328125E-6</v>
      </c>
      <c r="AF23" s="2">
        <v>19</v>
      </c>
      <c r="AG23" s="2">
        <f t="shared" si="13"/>
        <v>3131.5860748291016</v>
      </c>
      <c r="AH23" s="2">
        <v>-3.8412017897826445E-3</v>
      </c>
      <c r="AI23" s="2">
        <f t="shared" si="14"/>
        <v>3131.6032409667969</v>
      </c>
      <c r="AJ23" s="2">
        <v>3.227148523365031E-3</v>
      </c>
      <c r="AK23" s="2">
        <f t="shared" si="9"/>
        <v>3131.5946578979492</v>
      </c>
      <c r="AL23" s="2">
        <v>-3.070260363529087E-4</v>
      </c>
      <c r="AM23" s="2">
        <f t="shared" si="10"/>
        <v>1.1793489603486642E-6</v>
      </c>
      <c r="AN23" s="2">
        <f t="shared" si="11"/>
        <v>-9.9081861985090769E-7</v>
      </c>
      <c r="AO23" s="2">
        <f t="shared" si="12"/>
        <v>1.71661376953125E-2</v>
      </c>
    </row>
    <row r="24" spans="2:41" x14ac:dyDescent="0.2">
      <c r="B24" s="59" t="s">
        <v>107</v>
      </c>
      <c r="C24" s="59"/>
      <c r="D24" s="59"/>
      <c r="F24" s="54" t="s">
        <v>84</v>
      </c>
      <c r="G24" s="57"/>
      <c r="H24" s="57"/>
      <c r="J24" s="15" t="s">
        <v>68</v>
      </c>
      <c r="K24" s="6">
        <f xml:space="preserve"> $C$56 * (11.5 * ($C$5*2.20462/1000)^0.4 * 0.453592)</f>
        <v>9.0384293089751129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30766.204415086162</v>
      </c>
      <c r="P24" s="6" t="s">
        <v>20</v>
      </c>
      <c r="U24" s="2">
        <v>20</v>
      </c>
      <c r="V24" s="2">
        <f t="shared" si="7"/>
        <v>1.9700050354003906E-2</v>
      </c>
      <c r="W24" s="2">
        <f t="shared" si="0"/>
        <v>6.8137628016912144E-7</v>
      </c>
      <c r="X24" s="2">
        <f t="shared" si="8"/>
        <v>1.9701004028320312E-2</v>
      </c>
      <c r="Y24" s="2">
        <f t="shared" si="1"/>
        <v>-2.7443267837726215E-7</v>
      </c>
      <c r="Z24" s="2">
        <f t="shared" si="3"/>
        <v>1.9700527191162109E-2</v>
      </c>
      <c r="AA24" s="2">
        <f t="shared" si="2"/>
        <v>2.0347181359930966E-7</v>
      </c>
      <c r="AB24" s="2">
        <f t="shared" si="4"/>
        <v>1.3864086746956248E-13</v>
      </c>
      <c r="AC24" s="2">
        <f t="shared" si="5"/>
        <v>-5.5839314780337581E-14</v>
      </c>
      <c r="AD24" s="2">
        <f t="shared" si="6"/>
        <v>9.5367431640625E-7</v>
      </c>
      <c r="AF24" s="2">
        <v>20</v>
      </c>
      <c r="AG24" s="2">
        <f t="shared" si="13"/>
        <v>3131.5946578979492</v>
      </c>
      <c r="AH24" s="2">
        <v>-3.070260363529087E-4</v>
      </c>
      <c r="AI24" s="2">
        <f t="shared" si="14"/>
        <v>3131.6032409667969</v>
      </c>
      <c r="AJ24" s="2">
        <v>3.227148523365031E-3</v>
      </c>
      <c r="AK24" s="2">
        <f t="shared" si="9"/>
        <v>3131.598949432373</v>
      </c>
      <c r="AL24" s="2">
        <v>1.4758707188775588E-3</v>
      </c>
      <c r="AM24" s="2">
        <f t="shared" si="10"/>
        <v>-4.5313073698629486E-7</v>
      </c>
      <c r="AN24" s="2">
        <f t="shared" si="11"/>
        <v>4.7628540111034006E-6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20.042210129820162</v>
      </c>
      <c r="L25" s="6" t="s">
        <v>7</v>
      </c>
      <c r="N25" s="6" t="s">
        <v>34</v>
      </c>
      <c r="O25" s="18">
        <f>Z34</f>
        <v>1.9700729753822088E-2</v>
      </c>
      <c r="U25" s="2">
        <v>21</v>
      </c>
      <c r="V25" s="2">
        <f t="shared" si="7"/>
        <v>1.9700527191162109E-2</v>
      </c>
      <c r="W25" s="2">
        <f t="shared" si="0"/>
        <v>2.0347181359930966E-7</v>
      </c>
      <c r="X25" s="2">
        <f t="shared" si="8"/>
        <v>1.9701004028320312E-2</v>
      </c>
      <c r="Y25" s="2">
        <f t="shared" si="1"/>
        <v>-2.7443267837726215E-7</v>
      </c>
      <c r="Z25" s="2">
        <f t="shared" si="3"/>
        <v>1.9700765609741211E-2</v>
      </c>
      <c r="AA25" s="2">
        <f t="shared" si="2"/>
        <v>-3.5480429212697562E-8</v>
      </c>
      <c r="AB25" s="2">
        <f t="shared" si="4"/>
        <v>-7.2192672791894998E-15</v>
      </c>
      <c r="AC25" s="2">
        <f t="shared" si="5"/>
        <v>9.7369892188154471E-15</v>
      </c>
      <c r="AD25" s="2">
        <f t="shared" si="6"/>
        <v>4.76837158203125E-7</v>
      </c>
      <c r="AF25" s="2">
        <v>21</v>
      </c>
      <c r="AG25" s="2">
        <f t="shared" si="13"/>
        <v>3131.5946578979492</v>
      </c>
      <c r="AH25" s="2">
        <v>-3.070260363529087E-4</v>
      </c>
      <c r="AI25" s="2">
        <f t="shared" si="14"/>
        <v>3131.598949432373</v>
      </c>
      <c r="AJ25" s="2">
        <v>1.4758707188775588E-3</v>
      </c>
      <c r="AK25" s="2">
        <f t="shared" si="9"/>
        <v>3131.5968036651611</v>
      </c>
      <c r="AL25" s="2">
        <v>6.0023168771294877E-4</v>
      </c>
      <c r="AM25" s="2">
        <f t="shared" si="10"/>
        <v>-1.8428675597192356E-7</v>
      </c>
      <c r="AN25" s="2">
        <f t="shared" si="11"/>
        <v>8.858643724380001E-7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58.147081242754318</v>
      </c>
      <c r="L26" s="6" t="s">
        <v>7</v>
      </c>
      <c r="N26" s="6" t="s">
        <v>35</v>
      </c>
      <c r="O26" s="6">
        <f xml:space="preserve"> O20 * $C$9 * O25 - $C$8 * SIN(O18/180*PI())</f>
        <v>1.5122967761755999</v>
      </c>
      <c r="P26" s="6" t="s">
        <v>10</v>
      </c>
      <c r="U26" s="2">
        <v>22</v>
      </c>
      <c r="V26" s="2">
        <f t="shared" si="7"/>
        <v>1.9700527191162109E-2</v>
      </c>
      <c r="W26" s="2">
        <f t="shared" si="0"/>
        <v>2.0347181359930966E-7</v>
      </c>
      <c r="X26" s="2">
        <f t="shared" si="8"/>
        <v>1.9700765609741211E-2</v>
      </c>
      <c r="Y26" s="2">
        <f t="shared" si="1"/>
        <v>-3.5480429212697562E-8</v>
      </c>
      <c r="Z26" s="2">
        <f t="shared" si="3"/>
        <v>1.970064640045166E-2</v>
      </c>
      <c r="AA26" s="2">
        <f t="shared" si="2"/>
        <v>8.3995692987809401E-8</v>
      </c>
      <c r="AB26" s="2">
        <f t="shared" si="4"/>
        <v>1.7090755986760395E-14</v>
      </c>
      <c r="AC26" s="2">
        <f t="shared" si="5"/>
        <v>-2.9802032392254482E-15</v>
      </c>
      <c r="AD26" s="2">
        <f t="shared" si="6"/>
        <v>2.384185791015625E-7</v>
      </c>
      <c r="AF26" s="2">
        <v>22</v>
      </c>
      <c r="AG26" s="2">
        <f t="shared" si="13"/>
        <v>3131.5946578979492</v>
      </c>
      <c r="AH26" s="2">
        <v>-3.070260363529087E-4</v>
      </c>
      <c r="AI26" s="2">
        <f t="shared" si="14"/>
        <v>3131.5968036651611</v>
      </c>
      <c r="AJ26" s="2">
        <v>6.0023168771294877E-4</v>
      </c>
      <c r="AK26" s="2">
        <f t="shared" si="9"/>
        <v>3131.5957307815552</v>
      </c>
      <c r="AL26" s="2">
        <v>1.6241214188994491E-4</v>
      </c>
      <c r="AM26" s="2">
        <f t="shared" si="10"/>
        <v>-4.9864756180055989E-8</v>
      </c>
      <c r="AN26" s="2">
        <f t="shared" si="11"/>
        <v>9.7484914031676539E-8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-1.5083969628904015E-9</v>
      </c>
      <c r="L27" s="10" t="s">
        <v>7</v>
      </c>
      <c r="N27" s="6" t="s">
        <v>36</v>
      </c>
      <c r="O27" s="6">
        <f xml:space="preserve"> 1/$C$21 - O24 * SQRT( (2*$C$47*PI()*$C$9^2) / O19^3 )</f>
        <v>0.87307135761300381</v>
      </c>
      <c r="U27" s="2">
        <v>23</v>
      </c>
      <c r="V27" s="2">
        <f t="shared" si="7"/>
        <v>1.970064640045166E-2</v>
      </c>
      <c r="W27" s="2">
        <f t="shared" si="0"/>
        <v>8.3995692987809401E-8</v>
      </c>
      <c r="X27" s="2">
        <f t="shared" si="8"/>
        <v>1.9700765609741211E-2</v>
      </c>
      <c r="Y27" s="2">
        <f t="shared" si="1"/>
        <v>-3.5480429212697562E-8</v>
      </c>
      <c r="Z27" s="2">
        <f t="shared" si="3"/>
        <v>1.9700706005096436E-2</v>
      </c>
      <c r="AA27" s="2">
        <f t="shared" si="2"/>
        <v>2.4257632083579672E-8</v>
      </c>
      <c r="AB27" s="2">
        <f t="shared" si="4"/>
        <v>2.0375366171035932E-15</v>
      </c>
      <c r="AC27" s="2">
        <f t="shared" si="5"/>
        <v>-8.6067119800910985E-16</v>
      </c>
      <c r="AD27" s="2">
        <f t="shared" si="6"/>
        <v>1.1920928955078125E-7</v>
      </c>
      <c r="AF27" s="2">
        <v>23</v>
      </c>
      <c r="AG27" s="2">
        <f t="shared" si="13"/>
        <v>3131.5946578979492</v>
      </c>
      <c r="AH27" s="2">
        <v>-3.070260363529087E-4</v>
      </c>
      <c r="AI27" s="2">
        <f t="shared" si="14"/>
        <v>3131.5957307815552</v>
      </c>
      <c r="AJ27" s="2">
        <v>1.6241214188994491E-4</v>
      </c>
      <c r="AK27" s="2">
        <f t="shared" si="9"/>
        <v>3131.5951943397522</v>
      </c>
      <c r="AL27" s="2">
        <v>-8.8116257302317536E-5</v>
      </c>
      <c r="AM27" s="2">
        <f t="shared" si="10"/>
        <v>2.70539852177836E-8</v>
      </c>
      <c r="AN27" s="2">
        <f t="shared" si="11"/>
        <v>-1.431115008379489E-8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7673.576018112547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1.9700706005096436E-2</v>
      </c>
      <c r="W28" s="2">
        <f t="shared" si="0"/>
        <v>2.4257632083579672E-8</v>
      </c>
      <c r="X28" s="2">
        <f t="shared" si="8"/>
        <v>1.9700765609741211E-2</v>
      </c>
      <c r="Y28" s="2">
        <f t="shared" si="1"/>
        <v>-3.5480429212697562E-8</v>
      </c>
      <c r="Z28" s="2">
        <f t="shared" si="3"/>
        <v>1.9700735807418823E-2</v>
      </c>
      <c r="AA28" s="2">
        <f t="shared" si="2"/>
        <v>-5.6113985125172405E-9</v>
      </c>
      <c r="AB28" s="2">
        <f t="shared" si="4"/>
        <v>-1.3611924059098946E-16</v>
      </c>
      <c r="AC28" s="2">
        <f t="shared" si="5"/>
        <v>1.9909482770760434E-16</v>
      </c>
      <c r="AD28" s="2">
        <f t="shared" si="6"/>
        <v>5.9604644775390625E-8</v>
      </c>
      <c r="AF28" s="2">
        <v>24</v>
      </c>
      <c r="AG28" s="2">
        <f t="shared" si="13"/>
        <v>3131.5951943397522</v>
      </c>
      <c r="AH28" s="2">
        <v>-8.8116257302317536E-5</v>
      </c>
      <c r="AI28" s="2">
        <f t="shared" si="14"/>
        <v>3131.5957307815552</v>
      </c>
      <c r="AJ28" s="2">
        <v>1.6241214188994491E-4</v>
      </c>
      <c r="AK28" s="2">
        <f t="shared" si="9"/>
        <v>3131.5954625606537</v>
      </c>
      <c r="AL28" s="2">
        <v>5.2957249863538891E-5</v>
      </c>
      <c r="AM28" s="2">
        <f t="shared" si="10"/>
        <v>-4.6663946549987131E-9</v>
      </c>
      <c r="AN28" s="2">
        <f t="shared" si="11"/>
        <v>8.6009003789383439E-9</v>
      </c>
      <c r="AO28" s="2">
        <f t="shared" si="12"/>
        <v>5.3644180297851562E-4</v>
      </c>
    </row>
    <row r="29" spans="2:41" x14ac:dyDescent="0.2">
      <c r="B29" s="59" t="s">
        <v>111</v>
      </c>
      <c r="C29" s="59"/>
      <c r="D29" s="59"/>
      <c r="F29" t="s">
        <v>100</v>
      </c>
      <c r="G29" s="6">
        <f>G31/$C$18</f>
        <v>87.663689529632364</v>
      </c>
      <c r="H29" t="s">
        <v>20</v>
      </c>
      <c r="N29" s="6" t="s">
        <v>38</v>
      </c>
      <c r="O29" s="6">
        <f xml:space="preserve"> 1/$C$53 * LN( EXP($C$53 * O27) + EXP($C$53 * O28) )</f>
        <v>1.1500082180309099</v>
      </c>
      <c r="U29" s="2">
        <v>25</v>
      </c>
      <c r="V29" s="2">
        <f t="shared" si="7"/>
        <v>1.9700706005096436E-2</v>
      </c>
      <c r="W29" s="2">
        <f t="shared" si="0"/>
        <v>2.4257632083579672E-8</v>
      </c>
      <c r="X29" s="2">
        <f t="shared" si="8"/>
        <v>1.9700735807418823E-2</v>
      </c>
      <c r="Y29" s="2">
        <f t="shared" si="1"/>
        <v>-5.6113985125172405E-9</v>
      </c>
      <c r="Z29" s="2">
        <f t="shared" si="3"/>
        <v>1.9700720906257629E-2</v>
      </c>
      <c r="AA29" s="2">
        <f t="shared" si="2"/>
        <v>9.3231167994090036E-9</v>
      </c>
      <c r="AB29" s="2">
        <f t="shared" si="4"/>
        <v>2.2615673719230447E-16</v>
      </c>
      <c r="AC29" s="2">
        <f t="shared" si="5"/>
        <v>-5.2315723740228181E-17</v>
      </c>
      <c r="AD29" s="2">
        <f t="shared" si="6"/>
        <v>2.9802322387695312E-8</v>
      </c>
      <c r="AF29" s="2">
        <v>25</v>
      </c>
      <c r="AG29" s="2">
        <f t="shared" si="13"/>
        <v>3131.5951943397522</v>
      </c>
      <c r="AH29" s="2">
        <v>-8.8116257302317536E-5</v>
      </c>
      <c r="AI29" s="2">
        <f t="shared" si="14"/>
        <v>3131.5954625606537</v>
      </c>
      <c r="AJ29" s="2">
        <v>5.2957249863538891E-5</v>
      </c>
      <c r="AK29" s="2">
        <f t="shared" si="9"/>
        <v>3131.5953284502029</v>
      </c>
      <c r="AL29" s="2">
        <v>-1.7701941033010371E-6</v>
      </c>
      <c r="AM29" s="2">
        <f t="shared" si="10"/>
        <v>1.5598287908151945E-10</v>
      </c>
      <c r="AN29" s="2">
        <f t="shared" si="11"/>
        <v>-9.3744611435476197E-11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8.9307082259121895</v>
      </c>
      <c r="H30" s="6" t="s">
        <v>275</v>
      </c>
      <c r="J30" s="58" t="s">
        <v>116</v>
      </c>
      <c r="K30" s="58"/>
      <c r="L30" s="58"/>
      <c r="U30" s="2">
        <v>26</v>
      </c>
      <c r="V30" s="2">
        <f t="shared" si="7"/>
        <v>1.9700720906257629E-2</v>
      </c>
      <c r="W30" s="2">
        <f t="shared" si="0"/>
        <v>9.3231167994090036E-9</v>
      </c>
      <c r="X30" s="2">
        <f t="shared" si="8"/>
        <v>1.9700735807418823E-2</v>
      </c>
      <c r="Y30" s="2">
        <f t="shared" si="1"/>
        <v>-5.6113985125172405E-9</v>
      </c>
      <c r="Z30" s="2">
        <f t="shared" si="3"/>
        <v>1.9700728356838226E-2</v>
      </c>
      <c r="AA30" s="2">
        <f t="shared" si="2"/>
        <v>1.8558591469153285E-9</v>
      </c>
      <c r="AB30" s="2">
        <f t="shared" si="4"/>
        <v>1.7302391589943161E-17</v>
      </c>
      <c r="AC30" s="2">
        <f t="shared" si="5"/>
        <v>-1.0413965256442189E-17</v>
      </c>
      <c r="AD30" s="2">
        <f t="shared" si="6"/>
        <v>1.4901161193847656E-8</v>
      </c>
      <c r="AF30" s="2">
        <v>26</v>
      </c>
      <c r="AG30" s="2">
        <f t="shared" si="13"/>
        <v>3131.5953284502029</v>
      </c>
      <c r="AH30" s="2">
        <v>-1.7701941033010371E-6</v>
      </c>
      <c r="AI30" s="2">
        <f t="shared" si="14"/>
        <v>3131.5954625606537</v>
      </c>
      <c r="AJ30" s="2">
        <v>5.2957249863538891E-5</v>
      </c>
      <c r="AK30" s="2">
        <f t="shared" si="9"/>
        <v>3131.5953955054283</v>
      </c>
      <c r="AL30" s="2">
        <v>2.5593528789613629E-5</v>
      </c>
      <c r="AM30" s="2">
        <f t="shared" si="10"/>
        <v>-4.5305513746039375E-11</v>
      </c>
      <c r="AN30" s="2">
        <f t="shared" si="11"/>
        <v>1.355362899001245E-9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350.65475811852946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1.9700728356838226E-2</v>
      </c>
      <c r="W31" s="2">
        <f t="shared" si="0"/>
        <v>1.8558591469153285E-9</v>
      </c>
      <c r="X31" s="2">
        <f t="shared" si="8"/>
        <v>1.9700735807418823E-2</v>
      </c>
      <c r="Y31" s="2">
        <f t="shared" si="1"/>
        <v>-5.6113985125172405E-9</v>
      </c>
      <c r="Z31" s="2">
        <f t="shared" si="3"/>
        <v>1.9700732082128525E-2</v>
      </c>
      <c r="AA31" s="2">
        <f t="shared" si="2"/>
        <v>-1.877769682800956E-9</v>
      </c>
      <c r="AB31" s="2">
        <f t="shared" si="4"/>
        <v>-3.4848760416264489E-18</v>
      </c>
      <c r="AC31" s="2">
        <f t="shared" si="5"/>
        <v>1.0536914004919256E-17</v>
      </c>
      <c r="AD31" s="2">
        <f t="shared" si="6"/>
        <v>7.4505805969238281E-9</v>
      </c>
      <c r="AF31" s="2">
        <v>27</v>
      </c>
      <c r="AG31" s="2">
        <f t="shared" si="13"/>
        <v>3131.5953284502029</v>
      </c>
      <c r="AH31" s="2">
        <v>-1.7701941033010371E-6</v>
      </c>
      <c r="AI31" s="2">
        <f t="shared" si="14"/>
        <v>3131.5953955054283</v>
      </c>
      <c r="AJ31" s="2">
        <v>2.5593528789613629E-5</v>
      </c>
      <c r="AK31" s="2">
        <f t="shared" si="9"/>
        <v>3131.5953619778156</v>
      </c>
      <c r="AL31" s="2">
        <v>1.191166711578262E-5</v>
      </c>
      <c r="AM31" s="2">
        <f t="shared" si="10"/>
        <v>-2.1085962888843267E-11</v>
      </c>
      <c r="AN31" s="2">
        <f t="shared" si="11"/>
        <v>3.0486159526007643E-10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1438.81</v>
      </c>
      <c r="L32" s="6" t="s">
        <v>7</v>
      </c>
      <c r="U32" s="2">
        <v>28</v>
      </c>
      <c r="V32" s="2">
        <f t="shared" si="7"/>
        <v>1.9700728356838226E-2</v>
      </c>
      <c r="W32" s="2">
        <f t="shared" si="0"/>
        <v>1.8558591469153285E-9</v>
      </c>
      <c r="X32" s="2">
        <f t="shared" si="8"/>
        <v>1.9700732082128525E-2</v>
      </c>
      <c r="Y32" s="2">
        <f t="shared" si="1"/>
        <v>-1.877769682800956E-9</v>
      </c>
      <c r="Z32" s="2">
        <f t="shared" si="3"/>
        <v>1.9700730219483376E-2</v>
      </c>
      <c r="AA32" s="2">
        <f t="shared" si="2"/>
        <v>-1.0955267942813762E-11</v>
      </c>
      <c r="AB32" s="2">
        <f t="shared" si="4"/>
        <v>-2.0331434218579195E-20</v>
      </c>
      <c r="AC32" s="2">
        <f t="shared" si="5"/>
        <v>2.057147000997688E-20</v>
      </c>
      <c r="AD32" s="2">
        <f t="shared" si="6"/>
        <v>3.7252902984619141E-9</v>
      </c>
      <c r="AF32" s="2">
        <v>28</v>
      </c>
      <c r="AG32" s="2">
        <f t="shared" si="13"/>
        <v>3131.5953284502029</v>
      </c>
      <c r="AH32" s="2">
        <v>-1.7701941033010371E-6</v>
      </c>
      <c r="AI32" s="2">
        <f t="shared" si="14"/>
        <v>3131.5953619778156</v>
      </c>
      <c r="AJ32" s="2">
        <v>1.191166711578262E-5</v>
      </c>
      <c r="AK32" s="2">
        <f t="shared" si="9"/>
        <v>3131.5953452140093</v>
      </c>
      <c r="AL32" s="2">
        <v>5.0707358241197653E-6</v>
      </c>
      <c r="AM32" s="2">
        <f t="shared" si="10"/>
        <v>-8.9761866552541333E-12</v>
      </c>
      <c r="AN32" s="2">
        <f t="shared" si="11"/>
        <v>6.0400917168988294E-11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4" t="s">
        <v>289</v>
      </c>
      <c r="G33" s="57"/>
      <c r="H33" s="57"/>
      <c r="J33" s="19" t="s">
        <v>81</v>
      </c>
      <c r="K33" s="6">
        <f>ROUND(SUM(K14:K17),2)</f>
        <v>736.97</v>
      </c>
      <c r="L33" s="6" t="s">
        <v>7</v>
      </c>
      <c r="U33" s="2">
        <v>29</v>
      </c>
      <c r="V33" s="2">
        <f t="shared" si="7"/>
        <v>1.9700728356838226E-2</v>
      </c>
      <c r="W33" s="2">
        <f t="shared" si="0"/>
        <v>1.8558591469153285E-9</v>
      </c>
      <c r="X33" s="2">
        <f t="shared" si="8"/>
        <v>1.9700730219483376E-2</v>
      </c>
      <c r="Y33" s="2">
        <f t="shared" si="1"/>
        <v>-1.0955267942813762E-11</v>
      </c>
      <c r="Z33" s="2">
        <f t="shared" si="3"/>
        <v>1.9700729288160801E-2</v>
      </c>
      <c r="AA33" s="2">
        <f t="shared" si="2"/>
        <v>9.2245194122098084E-10</v>
      </c>
      <c r="AB33" s="2">
        <f t="shared" si="4"/>
        <v>1.7119408727047583E-18</v>
      </c>
      <c r="AC33" s="2">
        <f t="shared" si="5"/>
        <v>-1.0105708180444536E-20</v>
      </c>
      <c r="AD33" s="2">
        <f t="shared" si="6"/>
        <v>1.862645149230957E-9</v>
      </c>
      <c r="AF33" s="2">
        <v>29</v>
      </c>
      <c r="AG33" s="2">
        <f t="shared" si="13"/>
        <v>3131.5953284502029</v>
      </c>
      <c r="AH33" s="2">
        <v>-1.7701941033010371E-6</v>
      </c>
      <c r="AI33" s="2">
        <f t="shared" si="14"/>
        <v>3131.5953452140093</v>
      </c>
      <c r="AJ33" s="2">
        <v>5.0707358241197653E-6</v>
      </c>
      <c r="AK33" s="2">
        <f t="shared" si="9"/>
        <v>3131.5953368321061</v>
      </c>
      <c r="AL33" s="2">
        <v>1.6502694961673114E-6</v>
      </c>
      <c r="AM33" s="2">
        <f t="shared" si="10"/>
        <v>-2.9212973309729482E-12</v>
      </c>
      <c r="AN33" s="2">
        <f t="shared" si="11"/>
        <v>8.3680806536676619E-12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201.44</v>
      </c>
      <c r="L34" s="6" t="s">
        <v>7</v>
      </c>
      <c r="U34" s="2">
        <v>30</v>
      </c>
      <c r="V34" s="2">
        <f t="shared" si="7"/>
        <v>1.9700729288160801E-2</v>
      </c>
      <c r="W34" s="2">
        <f t="shared" si="0"/>
        <v>9.2245194122098084E-10</v>
      </c>
      <c r="X34" s="2">
        <f t="shared" si="8"/>
        <v>1.9700730219483376E-2</v>
      </c>
      <c r="Y34" s="2">
        <f t="shared" si="1"/>
        <v>-1.0955267942813762E-11</v>
      </c>
      <c r="Z34" s="2">
        <f t="shared" si="3"/>
        <v>1.9700729753822088E-2</v>
      </c>
      <c r="AA34" s="2">
        <f t="shared" si="2"/>
        <v>4.5574833490436006E-10</v>
      </c>
      <c r="AB34" s="2">
        <f t="shared" si="4"/>
        <v>4.2040593624075664E-19</v>
      </c>
      <c r="AC34" s="2">
        <f t="shared" si="5"/>
        <v>-4.9928451233684862E-21</v>
      </c>
      <c r="AD34" s="2">
        <f>X34-V34</f>
        <v>9.3132257461547852E-10</v>
      </c>
      <c r="AF34" s="2">
        <v>30</v>
      </c>
      <c r="AG34" s="2">
        <f t="shared" si="13"/>
        <v>3131.5953284502029</v>
      </c>
      <c r="AH34" s="2">
        <v>-1.7701941033010371E-6</v>
      </c>
      <c r="AI34" s="2">
        <f t="shared" si="14"/>
        <v>3131.5953368321061</v>
      </c>
      <c r="AJ34" s="2">
        <v>1.6502694961673114E-6</v>
      </c>
      <c r="AK34" s="2">
        <f t="shared" si="9"/>
        <v>3131.5953326411545</v>
      </c>
      <c r="AL34" s="2">
        <v>-5.9965259424643591E-8</v>
      </c>
      <c r="AM34" s="2">
        <f t="shared" si="10"/>
        <v>1.0615014863642103E-13</v>
      </c>
      <c r="AN34" s="2">
        <f t="shared" si="11"/>
        <v>-9.8958838458248703E-14</v>
      </c>
      <c r="AO34" s="2">
        <f t="shared" si="12"/>
        <v>8.3819031715393066E-6</v>
      </c>
    </row>
    <row r="35" spans="2:41" x14ac:dyDescent="0.2">
      <c r="B35" s="58" t="s">
        <v>2</v>
      </c>
      <c r="C35" s="58"/>
      <c r="D35" s="58"/>
      <c r="F35" s="44" t="s">
        <v>225</v>
      </c>
      <c r="G35" s="43">
        <f xml:space="preserve"> G22</f>
        <v>244.11712910545725</v>
      </c>
      <c r="H35" s="43" t="s">
        <v>104</v>
      </c>
      <c r="J35" s="15" t="s">
        <v>73</v>
      </c>
      <c r="K35" s="6">
        <f>ROUND(SUM(K23:K26),2)</f>
        <v>154.37</v>
      </c>
      <c r="L35" s="6" t="s">
        <v>7</v>
      </c>
      <c r="AF35" s="2">
        <v>31</v>
      </c>
      <c r="AG35" s="2">
        <f t="shared" si="13"/>
        <v>3131.5953326411545</v>
      </c>
      <c r="AH35" s="2">
        <v>-5.9965259424643591E-8</v>
      </c>
      <c r="AI35" s="2">
        <f t="shared" si="14"/>
        <v>3131.5953368321061</v>
      </c>
      <c r="AJ35" s="2">
        <v>1.6502694961673114E-6</v>
      </c>
      <c r="AK35" s="2">
        <f t="shared" si="9"/>
        <v>3131.5953347366303</v>
      </c>
      <c r="AL35" s="2">
        <v>7.9515393736073747E-7</v>
      </c>
      <c r="AM35" s="2">
        <f t="shared" si="10"/>
        <v>-4.7681612136363422E-14</v>
      </c>
      <c r="AN35" s="2">
        <f t="shared" si="11"/>
        <v>1.3122182875837582E-12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3131.5899999999997</v>
      </c>
      <c r="L36" s="6" t="s">
        <v>7</v>
      </c>
      <c r="AF36" s="2">
        <v>32</v>
      </c>
      <c r="AG36" s="2">
        <f t="shared" si="13"/>
        <v>3131.5953326411545</v>
      </c>
      <c r="AH36" s="2">
        <v>-5.9965259424643591E-8</v>
      </c>
      <c r="AI36" s="2">
        <f t="shared" si="14"/>
        <v>3131.5953347366303</v>
      </c>
      <c r="AJ36" s="2">
        <v>7.9515393736073747E-7</v>
      </c>
      <c r="AK36" s="2">
        <f t="shared" si="9"/>
        <v>3131.5953336888924</v>
      </c>
      <c r="AL36" s="2">
        <v>3.6759320209966972E-7</v>
      </c>
      <c r="AM36" s="2">
        <f t="shared" si="10"/>
        <v>-2.2042821726642136E-14</v>
      </c>
      <c r="AN36" s="2">
        <f t="shared" si="11"/>
        <v>2.9229318199659369E-13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3131.5953326411545</v>
      </c>
      <c r="AH37" s="2">
        <v>-5.9965259424643591E-8</v>
      </c>
      <c r="AI37" s="2">
        <f t="shared" si="14"/>
        <v>3131.5953336888924</v>
      </c>
      <c r="AJ37" s="2">
        <v>3.6759320209966972E-7</v>
      </c>
      <c r="AK37" s="2">
        <f t="shared" si="9"/>
        <v>3131.5953331650235</v>
      </c>
      <c r="AL37" s="2">
        <v>1.5381829143734649E-7</v>
      </c>
      <c r="AM37" s="2">
        <f t="shared" si="10"/>
        <v>-9.2237537502959161E-15</v>
      </c>
      <c r="AN37" s="2">
        <f t="shared" si="11"/>
        <v>5.6542558290954405E-14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8" t="s">
        <v>59</v>
      </c>
      <c r="K38" s="58"/>
      <c r="L38" s="58"/>
      <c r="AF38" s="2">
        <v>34</v>
      </c>
      <c r="AG38" s="2">
        <f t="shared" si="13"/>
        <v>3131.5953326411545</v>
      </c>
      <c r="AH38" s="2">
        <v>-5.9965259424643591E-8</v>
      </c>
      <c r="AI38" s="2">
        <f t="shared" si="14"/>
        <v>3131.5953331650235</v>
      </c>
      <c r="AJ38" s="2">
        <v>1.5381829143734649E-7</v>
      </c>
      <c r="AK38" s="2">
        <f t="shared" si="9"/>
        <v>3131.595332903089</v>
      </c>
      <c r="AL38" s="2">
        <v>4.6927198127377778E-8</v>
      </c>
      <c r="AM38" s="2">
        <f t="shared" si="10"/>
        <v>-2.8140016097798574E-15</v>
      </c>
      <c r="AN38" s="2">
        <f t="shared" si="11"/>
        <v>7.2182614378950955E-15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19.16</v>
      </c>
      <c r="L39" s="6" t="s">
        <v>61</v>
      </c>
      <c r="AF39" s="2">
        <v>35</v>
      </c>
      <c r="AG39" s="2">
        <f t="shared" si="13"/>
        <v>3131.5953326411545</v>
      </c>
      <c r="AH39" s="2">
        <v>-5.9965259424643591E-8</v>
      </c>
      <c r="AI39" s="2">
        <f t="shared" si="14"/>
        <v>3131.595332903089</v>
      </c>
      <c r="AJ39" s="2">
        <v>4.6927198127377778E-8</v>
      </c>
      <c r="AK39" s="2">
        <f t="shared" si="9"/>
        <v>3131.5953327721218</v>
      </c>
      <c r="AL39" s="2">
        <v>-6.5165295382030308E-9</v>
      </c>
      <c r="AM39" s="2">
        <f t="shared" si="10"/>
        <v>3.9076538430669764E-16</v>
      </c>
      <c r="AN39" s="2">
        <f t="shared" si="11"/>
        <v>-3.0580247274216325E-16</v>
      </c>
      <c r="AO39" s="2">
        <f t="shared" si="12"/>
        <v>2.6193447411060333E-7</v>
      </c>
    </row>
    <row r="40" spans="2:41" x14ac:dyDescent="0.2">
      <c r="B40" s="58" t="s">
        <v>272</v>
      </c>
      <c r="C40" s="60"/>
      <c r="D40" s="60"/>
      <c r="J40" s="11" t="s">
        <v>55</v>
      </c>
      <c r="K40" s="6">
        <f>ROUND(K13/$C$5 * 100, 2)</f>
        <v>45.94</v>
      </c>
      <c r="L40" s="6" t="s">
        <v>61</v>
      </c>
      <c r="AF40" s="2">
        <v>36</v>
      </c>
      <c r="AG40" s="2">
        <f t="shared" si="13"/>
        <v>3131.5953327721218</v>
      </c>
      <c r="AH40" s="2">
        <v>-6.5165295382030308E-9</v>
      </c>
      <c r="AI40" s="2">
        <f t="shared" si="14"/>
        <v>3131.595332903089</v>
      </c>
      <c r="AJ40" s="2">
        <v>4.6927198127377778E-8</v>
      </c>
      <c r="AK40" s="2">
        <f t="shared" si="9"/>
        <v>3131.5953328376054</v>
      </c>
      <c r="AL40" s="2">
        <v>2.0202605810482055E-8</v>
      </c>
      <c r="AM40" s="2">
        <f t="shared" si="10"/>
        <v>-1.3165087751267849E-16</v>
      </c>
      <c r="AN40" s="2">
        <f t="shared" si="11"/>
        <v>9.4805168555780491E-16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23.53</v>
      </c>
      <c r="L41" s="6" t="s">
        <v>61</v>
      </c>
      <c r="AF41" s="2">
        <v>37</v>
      </c>
      <c r="AG41" s="2">
        <f t="shared" si="13"/>
        <v>3131.5953327721218</v>
      </c>
      <c r="AH41" s="2">
        <v>-6.5165295382030308E-9</v>
      </c>
      <c r="AI41" s="2">
        <f t="shared" si="14"/>
        <v>3131.5953328376054</v>
      </c>
      <c r="AJ41" s="2">
        <v>2.0202605810482055E-8</v>
      </c>
      <c r="AK41" s="2">
        <f t="shared" si="9"/>
        <v>3131.5953328048636</v>
      </c>
      <c r="AL41" s="2">
        <v>6.8453118728939444E-9</v>
      </c>
      <c r="AM41" s="2">
        <f t="shared" si="10"/>
        <v>-4.4607677017925299E-17</v>
      </c>
      <c r="AN41" s="2">
        <f t="shared" si="11"/>
        <v>1.38293137417889E-16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AF42" s="2">
        <v>38</v>
      </c>
      <c r="AG42" s="2">
        <f t="shared" si="13"/>
        <v>3131.5953327721218</v>
      </c>
      <c r="AH42" s="2">
        <v>-6.5165295382030308E-9</v>
      </c>
      <c r="AI42" s="2">
        <f t="shared" si="14"/>
        <v>3131.5953328048636</v>
      </c>
      <c r="AJ42" s="2">
        <v>6.8453118728939444E-9</v>
      </c>
      <c r="AK42" s="2">
        <f t="shared" si="9"/>
        <v>3131.5953327884927</v>
      </c>
      <c r="AL42" s="2">
        <v>1.6370904631912708E-10</v>
      </c>
      <c r="AM42" s="2">
        <f t="shared" si="10"/>
        <v>-1.0668148360096398E-18</v>
      </c>
      <c r="AN42" s="2">
        <f t="shared" si="11"/>
        <v>1.1206394784684653E-18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AF43" s="2">
        <v>39</v>
      </c>
      <c r="AG43" s="2">
        <f t="shared" si="13"/>
        <v>3131.5953327721218</v>
      </c>
      <c r="AH43" s="2">
        <v>-6.5165295382030308E-9</v>
      </c>
      <c r="AI43" s="2">
        <f t="shared" si="14"/>
        <v>3131.5953327884927</v>
      </c>
      <c r="AJ43" s="2">
        <v>1.6370904631912708E-10</v>
      </c>
      <c r="AK43" s="2">
        <f t="shared" si="9"/>
        <v>3131.5953327803072</v>
      </c>
      <c r="AL43" s="2">
        <v>-3.1768649932928383E-9</v>
      </c>
      <c r="AM43" s="2">
        <f t="shared" si="10"/>
        <v>2.0702134567675954E-17</v>
      </c>
      <c r="AN43" s="2">
        <f t="shared" si="11"/>
        <v>-5.2008153833659062E-19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99.990000000000009</v>
      </c>
      <c r="L44" s="10" t="s">
        <v>61</v>
      </c>
      <c r="N44" s="6" t="s">
        <v>284</v>
      </c>
      <c r="O44" s="6">
        <v>3</v>
      </c>
      <c r="AF44" s="2">
        <v>40</v>
      </c>
      <c r="AG44" s="2">
        <f t="shared" si="13"/>
        <v>3131.5953327803072</v>
      </c>
      <c r="AH44" s="2">
        <v>-3.1768649932928383E-9</v>
      </c>
      <c r="AI44" s="2">
        <f t="shared" si="14"/>
        <v>3131.5953327884927</v>
      </c>
      <c r="AJ44" s="2">
        <v>1.6370904631912708E-10</v>
      </c>
      <c r="AK44" s="5">
        <f>(AG44+AI44)/2</f>
        <v>3131.5953327843999</v>
      </c>
      <c r="AL44" s="2">
        <v>-1.5083969628904015E-9</v>
      </c>
      <c r="AM44" s="2">
        <f t="shared" si="10"/>
        <v>4.791973507395753E-18</v>
      </c>
      <c r="AN44" s="2">
        <f t="shared" si="11"/>
        <v>-2.4693822826545535E-19</v>
      </c>
      <c r="AO44" s="2">
        <f t="shared" si="12"/>
        <v>8.1854523159563541E-9</v>
      </c>
    </row>
    <row r="45" spans="2:41" x14ac:dyDescent="0.2">
      <c r="N45" s="6" t="s">
        <v>285</v>
      </c>
      <c r="O45" s="6">
        <f>O44*C6</f>
        <v>1200</v>
      </c>
      <c r="P45" s="6" t="s">
        <v>134</v>
      </c>
    </row>
    <row r="46" spans="2:41" x14ac:dyDescent="0.2">
      <c r="B46" s="58" t="s">
        <v>273</v>
      </c>
      <c r="C46" s="60"/>
      <c r="D46" s="60"/>
      <c r="J46" s="58" t="s">
        <v>59</v>
      </c>
      <c r="K46" s="58"/>
      <c r="L46" s="58"/>
      <c r="N46" s="6" t="s">
        <v>283</v>
      </c>
      <c r="O46" s="6">
        <f>O45*2*PI()/60</f>
        <v>125.66370614359172</v>
      </c>
      <c r="P46" s="6" t="s">
        <v>30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N47" s="6" t="s">
        <v>286</v>
      </c>
      <c r="O47" s="6">
        <f>G12*1000/O46</f>
        <v>3234.5183031586007</v>
      </c>
      <c r="P47" s="6" t="s">
        <v>179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N48" s="6" t="s">
        <v>287</v>
      </c>
      <c r="O48" s="6">
        <f>0.377*O47^0.6945</f>
        <v>103.25334416104974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8" t="s">
        <v>74</v>
      </c>
      <c r="C52" s="58"/>
      <c r="D52" s="58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56" t="s">
        <v>0</v>
      </c>
      <c r="C1" s="56"/>
      <c r="D1" s="56"/>
    </row>
    <row r="2" spans="2:45" x14ac:dyDescent="0.2">
      <c r="Y2" s="16" t="s">
        <v>278</v>
      </c>
      <c r="AJ2" s="16" t="s">
        <v>79</v>
      </c>
    </row>
    <row r="3" spans="2:45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279</v>
      </c>
      <c r="O3" s="58"/>
      <c r="P3" s="58"/>
      <c r="R3" s="58" t="s">
        <v>95</v>
      </c>
      <c r="S3" s="58"/>
      <c r="T3" s="58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610.46275839986185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2615513015655.0337</v>
      </c>
      <c r="AB4" s="3">
        <v>1</v>
      </c>
      <c r="AC4" s="37">
        <f xml:space="preserve"> $O$21 * TAN($O$18/180*PI()) + $O$22 / (2 * SQRT($O$21^2 + AB4^2)) - AB4</f>
        <v>-0.98222497752801108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-0.47960946338552574</v>
      </c>
      <c r="AF4" s="2">
        <f>AA4*AE4</f>
        <v>-1254424793916.1689</v>
      </c>
      <c r="AG4" s="2">
        <f>AC4*AE4</f>
        <v>0.47108439439606947</v>
      </c>
      <c r="AH4" s="2">
        <f>AB4-Z4</f>
        <v>0.999999999999999</v>
      </c>
      <c r="AJ4" s="2">
        <v>0</v>
      </c>
      <c r="AK4" s="2"/>
      <c r="AL4" s="2">
        <f>K27</f>
        <v>7.5306161306798458E-10</v>
      </c>
      <c r="AM4" s="2"/>
      <c r="AN4" s="2">
        <f>K27</f>
        <v>7.5306161306798458E-10</v>
      </c>
      <c r="AO4" s="2"/>
      <c r="AP4" s="2">
        <f>K27</f>
        <v>7.5306161306798458E-10</v>
      </c>
      <c r="AQ4" s="2"/>
      <c r="AR4" s="2"/>
      <c r="AS4" s="2"/>
    </row>
    <row r="5" spans="2:45" x14ac:dyDescent="0.2">
      <c r="B5" s="10" t="s">
        <v>40</v>
      </c>
      <c r="C5" s="10">
        <f>AO44</f>
        <v>3132.228911333641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152.61568959996546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0.45456257097825514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2615513015655.0337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-0.47960946338552574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-0.22437843510055416</v>
      </c>
      <c r="AF5" s="2">
        <f t="shared" ref="AF5:AF34" si="4">AA5*AE5</f>
        <v>-586864717437.80774</v>
      </c>
      <c r="AG5" s="2">
        <f t="shared" ref="AG5:AG34" si="5">AC5*AE5</f>
        <v>0.10761402085386079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-1367.0679092077576</v>
      </c>
      <c r="AM5" s="3">
        <v>5000</v>
      </c>
      <c r="AN5" s="2">
        <f t="dataTable" ref="AN5:AN44" dt2D="0" dtr="0" r1="C5"/>
        <v>662.99081192180029</v>
      </c>
      <c r="AO5" s="2">
        <f>(AK5+AM5)/2</f>
        <v>2750</v>
      </c>
      <c r="AP5" s="2">
        <f t="dataTable" ref="AP5:AP44" dt2D="0" dtr="0" r1="C5" ca="1"/>
        <v>-169.26145923971353</v>
      </c>
      <c r="AQ5" s="2">
        <f>AL5*AP5</f>
        <v>231391.90919228925</v>
      </c>
      <c r="AR5" s="2">
        <f>AN5*AP5</f>
        <v>-112218.79228840637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9.0432350144687285E-3</v>
      </c>
      <c r="Y6" s="2">
        <v>2</v>
      </c>
      <c r="Z6" s="2">
        <f t="shared" ref="Z6:Z34" si="7">IF(AF5&gt;0, AD5, Z5)</f>
        <v>1.0000000000000001E-15</v>
      </c>
      <c r="AA6" s="37">
        <f t="shared" si="0"/>
        <v>2615513015655.0337</v>
      </c>
      <c r="AB6" s="2">
        <f t="shared" ref="AB6:AB34" si="8">IF(AG5&gt;0, AD5, AB5)</f>
        <v>0.25000000000000078</v>
      </c>
      <c r="AC6" s="37">
        <f t="shared" si="1"/>
        <v>-0.22437843510055416</v>
      </c>
      <c r="AD6" s="2">
        <f t="shared" si="2"/>
        <v>0.12500000000000089</v>
      </c>
      <c r="AE6" s="37">
        <f t="shared" si="3"/>
        <v>-8.891637853061081E-2</v>
      </c>
      <c r="AF6" s="2">
        <f t="shared" si="4"/>
        <v>-232561945351.72238</v>
      </c>
      <c r="AG6" s="2">
        <f t="shared" si="5"/>
        <v>1.9950917869506965E-2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-169.26145923971353</v>
      </c>
      <c r="AM6" s="2">
        <f>IF(AR5&gt;0, AO5, AM5)</f>
        <v>5000</v>
      </c>
      <c r="AN6" s="2">
        <v>662.99081192180029</v>
      </c>
      <c r="AO6" s="2">
        <f t="shared" ref="AO6:AO43" si="9">(AK6+AM6)/2</f>
        <v>3875</v>
      </c>
      <c r="AP6" s="2">
        <v>297.38705129605069</v>
      </c>
      <c r="AQ6" s="2">
        <f t="shared" ref="AQ6:AQ44" si="10">AL6*AP6</f>
        <v>-50336.166261365077</v>
      </c>
      <c r="AR6" s="2">
        <f t="shared" ref="AR6:AR44" si="11">AN6*AP6</f>
        <v>197164.88259379871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8" t="s">
        <v>23</v>
      </c>
      <c r="K7" s="58"/>
      <c r="L7" s="58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2615513015655.0337</v>
      </c>
      <c r="AB7" s="2">
        <f t="shared" si="8"/>
        <v>0.12500000000000089</v>
      </c>
      <c r="AC7" s="37">
        <f t="shared" si="1"/>
        <v>-8.891637853061081E-2</v>
      </c>
      <c r="AD7" s="2">
        <f t="shared" si="2"/>
        <v>6.2500000000000944E-2</v>
      </c>
      <c r="AE7" s="37">
        <f t="shared" si="3"/>
        <v>-5.4922653907241437E-3</v>
      </c>
      <c r="AF7" s="2">
        <f t="shared" si="4"/>
        <v>-14365091614.870676</v>
      </c>
      <c r="AG7" s="2">
        <f t="shared" si="5"/>
        <v>4.8835234847220102E-4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2750</v>
      </c>
      <c r="AL7" s="2">
        <v>-169.26145923971353</v>
      </c>
      <c r="AM7" s="2">
        <f t="shared" ref="AM7:AM44" si="14">IF(AR6&gt;0, AO6, AM6)</f>
        <v>3875</v>
      </c>
      <c r="AN7" s="2">
        <v>297.38705129605069</v>
      </c>
      <c r="AO7" s="2">
        <f t="shared" si="9"/>
        <v>3312.5</v>
      </c>
      <c r="AP7" s="2">
        <v>76.120837478722478</v>
      </c>
      <c r="AQ7" s="2">
        <f t="shared" si="10"/>
        <v>-12884.324030197642</v>
      </c>
      <c r="AR7" s="2">
        <f t="shared" si="11"/>
        <v>22637.351399983178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G7/C43</f>
        <v>0.50177629770214827</v>
      </c>
      <c r="H8" s="6" t="s">
        <v>131</v>
      </c>
      <c r="J8" s="6" t="s">
        <v>99</v>
      </c>
      <c r="K8" s="6">
        <f xml:space="preserve"> $C$15 * (G14*G6 + G24*G17 + G33*G29 + G37*G36)/3600</f>
        <v>244.64281657168195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2.1344085014468731E-2</v>
      </c>
      <c r="Y8" s="2">
        <v>4</v>
      </c>
      <c r="Z8" s="2">
        <f t="shared" si="7"/>
        <v>1.0000000000000001E-15</v>
      </c>
      <c r="AA8" s="37">
        <f t="shared" si="0"/>
        <v>2615513015655.0337</v>
      </c>
      <c r="AB8" s="2">
        <f t="shared" si="8"/>
        <v>6.2500000000000944E-2</v>
      </c>
      <c r="AC8" s="37">
        <f t="shared" si="1"/>
        <v>-5.4922653907241437E-3</v>
      </c>
      <c r="AD8" s="2">
        <f t="shared" si="2"/>
        <v>3.1250000000000971E-2</v>
      </c>
      <c r="AE8" s="37">
        <f t="shared" si="3"/>
        <v>6.7605960889048272E-2</v>
      </c>
      <c r="AF8" s="2">
        <f t="shared" si="4"/>
        <v>176824270641.1709</v>
      </c>
      <c r="AG8" s="2">
        <f t="shared" si="5"/>
        <v>-3.713098791975699E-4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-169.26145923971353</v>
      </c>
      <c r="AM8" s="2">
        <f t="shared" si="14"/>
        <v>3312.5</v>
      </c>
      <c r="AN8" s="2">
        <v>76.120837478722478</v>
      </c>
      <c r="AO8" s="2">
        <f t="shared" si="9"/>
        <v>3031.25</v>
      </c>
      <c r="AP8" s="2">
        <v>-43.697805296711067</v>
      </c>
      <c r="AQ8" s="2">
        <f t="shared" si="10"/>
        <v>7396.3542900941984</v>
      </c>
      <c r="AR8" s="2">
        <f t="shared" si="11"/>
        <v>-3326.3135351678015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7675.1285217550667</v>
      </c>
      <c r="H9" s="6" t="s">
        <v>22</v>
      </c>
      <c r="J9" s="6" t="s">
        <v>265</v>
      </c>
      <c r="K9" s="6">
        <f xml:space="preserve"> $C$15 * (G6 + G17 + G29 + G36)/60</f>
        <v>57.333333333333336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1352.5473524678487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6.7605960889048272E-2</v>
      </c>
      <c r="AB9" s="2">
        <f t="shared" si="8"/>
        <v>6.2500000000000944E-2</v>
      </c>
      <c r="AC9" s="37">
        <f t="shared" si="1"/>
        <v>-5.4922653907241437E-3</v>
      </c>
      <c r="AD9" s="2">
        <f t="shared" si="2"/>
        <v>4.6875000000000958E-2</v>
      </c>
      <c r="AE9" s="37">
        <f t="shared" si="3"/>
        <v>2.4082143369200129E-2</v>
      </c>
      <c r="AF9" s="2">
        <f t="shared" si="4"/>
        <v>1.628096442742597E-3</v>
      </c>
      <c r="AG9" s="2">
        <f t="shared" si="5"/>
        <v>-1.322655225611148E-4</v>
      </c>
      <c r="AH9" s="2">
        <f t="shared" si="6"/>
        <v>3.1249999999999972E-2</v>
      </c>
      <c r="AJ9" s="2">
        <v>5</v>
      </c>
      <c r="AK9" s="2">
        <f t="shared" si="13"/>
        <v>3031.25</v>
      </c>
      <c r="AL9" s="2">
        <v>-43.697805296711067</v>
      </c>
      <c r="AM9" s="2">
        <f t="shared" si="14"/>
        <v>3312.5</v>
      </c>
      <c r="AN9" s="2">
        <v>76.120837478722478</v>
      </c>
      <c r="AO9" s="2">
        <f t="shared" si="9"/>
        <v>3171.875</v>
      </c>
      <c r="AP9" s="2">
        <v>16.950632555953234</v>
      </c>
      <c r="AQ9" s="2">
        <f t="shared" si="10"/>
        <v>-740.70544108613626</v>
      </c>
      <c r="AR9" s="2">
        <f t="shared" si="11"/>
        <v>1290.2963459532584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101.74379306664365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1352.5473524678487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2.4082143369200129E-2</v>
      </c>
      <c r="AB10" s="2">
        <f t="shared" si="8"/>
        <v>6.2500000000000944E-2</v>
      </c>
      <c r="AC10" s="37">
        <f t="shared" si="1"/>
        <v>-5.4922653907241437E-3</v>
      </c>
      <c r="AD10" s="2">
        <f t="shared" si="2"/>
        <v>5.4687500000000951E-2</v>
      </c>
      <c r="AE10" s="37">
        <f t="shared" si="3"/>
        <v>8.2985526492434167E-3</v>
      </c>
      <c r="AF10" s="2">
        <f t="shared" si="4"/>
        <v>1.9984693465593552E-4</v>
      </c>
      <c r="AG10" s="2">
        <f t="shared" si="5"/>
        <v>-4.5577853508541771E-5</v>
      </c>
      <c r="AH10" s="2">
        <f t="shared" si="6"/>
        <v>1.5624999999999986E-2</v>
      </c>
      <c r="AJ10" s="2">
        <v>6</v>
      </c>
      <c r="AK10" s="2">
        <f t="shared" si="13"/>
        <v>3031.25</v>
      </c>
      <c r="AL10" s="2">
        <v>-43.697805296711067</v>
      </c>
      <c r="AM10" s="2">
        <f t="shared" si="14"/>
        <v>3171.875</v>
      </c>
      <c r="AN10" s="2">
        <v>16.950632555953234</v>
      </c>
      <c r="AO10" s="2">
        <f t="shared" si="9"/>
        <v>3101.5625</v>
      </c>
      <c r="AP10" s="2">
        <v>-13.191421877769244</v>
      </c>
      <c r="AQ10" s="2">
        <f t="shared" si="10"/>
        <v>576.43618480153509</v>
      </c>
      <c r="AR10" s="2">
        <f t="shared" si="11"/>
        <v>-223.60294514062909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7.6963636230909591</v>
      </c>
      <c r="H11" s="6" t="s">
        <v>275</v>
      </c>
      <c r="J11" s="54" t="s">
        <v>54</v>
      </c>
      <c r="K11" s="54"/>
      <c r="L11" s="54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4.0346324361137142</v>
      </c>
      <c r="Y11" s="2">
        <v>7</v>
      </c>
      <c r="Z11" s="2">
        <f t="shared" si="7"/>
        <v>5.4687500000000951E-2</v>
      </c>
      <c r="AA11" s="37">
        <f t="shared" si="0"/>
        <v>8.2985526492434167E-3</v>
      </c>
      <c r="AB11" s="2">
        <f t="shared" si="8"/>
        <v>6.2500000000000944E-2</v>
      </c>
      <c r="AC11" s="37">
        <f t="shared" si="1"/>
        <v>-5.4922653907241437E-3</v>
      </c>
      <c r="AD11" s="2">
        <f t="shared" si="2"/>
        <v>5.8593750000000944E-2</v>
      </c>
      <c r="AE11" s="37">
        <f t="shared" si="3"/>
        <v>1.2038663612607275E-3</v>
      </c>
      <c r="AF11" s="2">
        <f t="shared" si="4"/>
        <v>9.990348381575242E-6</v>
      </c>
      <c r="AG11" s="2">
        <f t="shared" si="5"/>
        <v>-6.6119535510093031E-6</v>
      </c>
      <c r="AH11" s="2">
        <f t="shared" si="6"/>
        <v>7.8124999999999931E-3</v>
      </c>
      <c r="AJ11" s="2">
        <v>7</v>
      </c>
      <c r="AK11" s="2">
        <f t="shared" si="13"/>
        <v>3101.5625</v>
      </c>
      <c r="AL11" s="2">
        <v>-13.191421877769244</v>
      </c>
      <c r="AM11" s="2">
        <f t="shared" si="14"/>
        <v>3171.875</v>
      </c>
      <c r="AN11" s="2">
        <v>16.950632555953234</v>
      </c>
      <c r="AO11" s="2">
        <f t="shared" si="9"/>
        <v>3136.71875</v>
      </c>
      <c r="AP11" s="2">
        <v>1.9255027241460994</v>
      </c>
      <c r="AQ11" s="2">
        <f t="shared" si="10"/>
        <v>-25.400118761005132</v>
      </c>
      <c r="AR11" s="2">
        <f t="shared" si="11"/>
        <v>32.63848916248751</v>
      </c>
      <c r="AS11" s="2">
        <f t="shared" si="12"/>
        <v>70.3125</v>
      </c>
    </row>
    <row r="12" spans="2:45" x14ac:dyDescent="0.2">
      <c r="B12" s="58" t="s">
        <v>12</v>
      </c>
      <c r="C12" s="58"/>
      <c r="D12" s="58"/>
      <c r="F12" t="s">
        <v>281</v>
      </c>
      <c r="G12" s="6">
        <f>G13/G14</f>
        <v>0.74926969823908629</v>
      </c>
      <c r="J12" s="10" t="s">
        <v>82</v>
      </c>
      <c r="K12" s="6">
        <f>C5</f>
        <v>3132.228911333641</v>
      </c>
      <c r="L12" s="6" t="s">
        <v>7</v>
      </c>
      <c r="Y12" s="2">
        <v>8</v>
      </c>
      <c r="Z12" s="2">
        <f t="shared" si="7"/>
        <v>5.8593750000000944E-2</v>
      </c>
      <c r="AA12" s="37">
        <f t="shared" si="0"/>
        <v>1.2038663612607275E-3</v>
      </c>
      <c r="AB12" s="2">
        <f t="shared" si="8"/>
        <v>6.2500000000000944E-2</v>
      </c>
      <c r="AC12" s="37">
        <f t="shared" si="1"/>
        <v>-5.4922653907241437E-3</v>
      </c>
      <c r="AD12" s="2">
        <f t="shared" si="2"/>
        <v>6.0546875000000944E-2</v>
      </c>
      <c r="AE12" s="37">
        <f t="shared" si="3"/>
        <v>-2.1891976075056538E-3</v>
      </c>
      <c r="AF12" s="2">
        <f t="shared" si="4"/>
        <v>-2.6355013578285216E-6</v>
      </c>
      <c r="AG12" s="2">
        <f t="shared" si="5"/>
        <v>1.20236542531594E-5</v>
      </c>
      <c r="AH12" s="2">
        <f t="shared" si="6"/>
        <v>3.90625E-3</v>
      </c>
      <c r="AJ12" s="2">
        <v>8</v>
      </c>
      <c r="AK12" s="2">
        <f t="shared" si="13"/>
        <v>3101.5625</v>
      </c>
      <c r="AL12" s="2">
        <v>-13.191421877769244</v>
      </c>
      <c r="AM12" s="2">
        <f t="shared" si="14"/>
        <v>3136.71875</v>
      </c>
      <c r="AN12" s="2">
        <v>1.9255027241460994</v>
      </c>
      <c r="AO12" s="2">
        <f t="shared" si="9"/>
        <v>3119.140625</v>
      </c>
      <c r="AP12" s="2">
        <v>-5.6215320789624457</v>
      </c>
      <c r="AQ12" s="2">
        <f t="shared" si="10"/>
        <v>74.156001253006821</v>
      </c>
      <c r="AR12" s="2">
        <f t="shared" si="11"/>
        <v>-10.824275331916875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304.93416451497649</v>
      </c>
      <c r="H13" s="6" t="s">
        <v>104</v>
      </c>
      <c r="J13" s="11" t="s">
        <v>55</v>
      </c>
      <c r="K13" s="6">
        <f xml:space="preserve"> K8 * 1000 / ($C$36 * $C$37 * $C$38)</f>
        <v>1439.075391598129</v>
      </c>
      <c r="L13" s="6" t="s">
        <v>7</v>
      </c>
      <c r="N13" s="54" t="s">
        <v>76</v>
      </c>
      <c r="O13" s="55"/>
      <c r="P13" s="55"/>
      <c r="R13" s="54" t="s">
        <v>76</v>
      </c>
      <c r="S13" s="55"/>
      <c r="T13" s="55"/>
      <c r="Y13" s="2">
        <v>9</v>
      </c>
      <c r="Z13" s="2">
        <f t="shared" si="7"/>
        <v>5.8593750000000944E-2</v>
      </c>
      <c r="AA13" s="37">
        <f t="shared" si="0"/>
        <v>1.2038663612607275E-3</v>
      </c>
      <c r="AB13" s="2">
        <f t="shared" si="8"/>
        <v>6.0546875000000944E-2</v>
      </c>
      <c r="AC13" s="37">
        <f t="shared" si="1"/>
        <v>-2.1891976075056538E-3</v>
      </c>
      <c r="AD13" s="2">
        <f t="shared" si="2"/>
        <v>5.9570312500000944E-2</v>
      </c>
      <c r="AE13" s="37">
        <f t="shared" si="3"/>
        <v>-5.0446840155497774E-4</v>
      </c>
      <c r="AF13" s="2">
        <f t="shared" si="4"/>
        <v>-6.0731253895100661E-7</v>
      </c>
      <c r="AG13" s="2">
        <f t="shared" si="5"/>
        <v>1.1043810177463587E-6</v>
      </c>
      <c r="AH13" s="2">
        <f t="shared" si="6"/>
        <v>1.953125E-3</v>
      </c>
      <c r="AJ13" s="2">
        <v>9</v>
      </c>
      <c r="AK13" s="2">
        <f t="shared" si="13"/>
        <v>3119.140625</v>
      </c>
      <c r="AL13" s="2">
        <v>-5.6215320789624457</v>
      </c>
      <c r="AM13" s="2">
        <f t="shared" si="14"/>
        <v>3136.71875</v>
      </c>
      <c r="AN13" s="2">
        <v>1.9255027241460994</v>
      </c>
      <c r="AO13" s="2">
        <f t="shared" si="9"/>
        <v>3127.9296875</v>
      </c>
      <c r="AP13" s="2">
        <v>-1.8451712923233572</v>
      </c>
      <c r="AQ13" s="2">
        <f t="shared" si="10"/>
        <v>10.372689610976344</v>
      </c>
      <c r="AR13" s="2">
        <f t="shared" si="11"/>
        <v>-3.5528823498848028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406.97517226657459</v>
      </c>
      <c r="H14" s="43" t="s">
        <v>104</v>
      </c>
      <c r="J14" s="12" t="s">
        <v>135</v>
      </c>
      <c r="K14" s="6">
        <f xml:space="preserve"> $C$54 * $C$18 * (0.0095 * MAX(G9,S19,G30) - 1.9275)</f>
        <v>227.35993579425295</v>
      </c>
      <c r="L14" s="6" t="s">
        <v>7</v>
      </c>
      <c r="N14" s="6" t="s">
        <v>77</v>
      </c>
      <c r="O14" s="6">
        <f xml:space="preserve"> SQRT( ($C$5*$C$44)^2 + O10^2)</f>
        <v>30700.514087020267</v>
      </c>
      <c r="P14" s="6" t="s">
        <v>22</v>
      </c>
      <c r="R14" s="6" t="s">
        <v>77</v>
      </c>
      <c r="S14" s="6">
        <f xml:space="preserve"> SQRT( ($C$5*$C$50)^2 + S10^2)</f>
        <v>30727.359972928018</v>
      </c>
      <c r="T14" s="6" t="s">
        <v>22</v>
      </c>
      <c r="Y14" s="2">
        <v>10</v>
      </c>
      <c r="Z14" s="2">
        <f t="shared" si="7"/>
        <v>5.8593750000000944E-2</v>
      </c>
      <c r="AA14" s="37">
        <f t="shared" si="0"/>
        <v>1.2038663612607275E-3</v>
      </c>
      <c r="AB14" s="2">
        <f t="shared" si="8"/>
        <v>5.9570312500000944E-2</v>
      </c>
      <c r="AC14" s="37">
        <f t="shared" si="1"/>
        <v>-5.0446840155497774E-4</v>
      </c>
      <c r="AD14" s="2">
        <f t="shared" si="2"/>
        <v>5.9082031250000944E-2</v>
      </c>
      <c r="AE14" s="37">
        <f t="shared" si="3"/>
        <v>3.4667512752719482E-4</v>
      </c>
      <c r="AF14" s="2">
        <f t="shared" si="4"/>
        <v>4.1735052431576272E-7</v>
      </c>
      <c r="AG14" s="2">
        <f t="shared" si="5"/>
        <v>-1.7488664744251202E-7</v>
      </c>
      <c r="AH14" s="2">
        <f t="shared" si="6"/>
        <v>9.765625E-4</v>
      </c>
      <c r="AJ14" s="2">
        <v>10</v>
      </c>
      <c r="AK14" s="2">
        <f t="shared" si="13"/>
        <v>3127.9296875</v>
      </c>
      <c r="AL14" s="2">
        <v>-1.8451712923233572</v>
      </c>
      <c r="AM14" s="2">
        <f t="shared" si="14"/>
        <v>3136.71875</v>
      </c>
      <c r="AN14" s="2">
        <v>1.9255027241460994</v>
      </c>
      <c r="AO14" s="2">
        <f t="shared" si="9"/>
        <v>3132.32421875</v>
      </c>
      <c r="AP14" s="2">
        <v>4.0867816976060567E-2</v>
      </c>
      <c r="AQ14" s="2">
        <f t="shared" si="10"/>
        <v>-7.5408122664152116E-2</v>
      </c>
      <c r="AR14" s="2">
        <f t="shared" si="11"/>
        <v>7.869109291730883E-2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349.3755472170223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$C$5*$C$50/S14</f>
        <v>0.9990307518389423</v>
      </c>
      <c r="Y15" s="2">
        <v>11</v>
      </c>
      <c r="Z15" s="2">
        <f t="shared" si="7"/>
        <v>5.9082031250000944E-2</v>
      </c>
      <c r="AA15" s="37">
        <f t="shared" si="0"/>
        <v>3.4667512752719482E-4</v>
      </c>
      <c r="AB15" s="2">
        <f t="shared" si="8"/>
        <v>5.9570312500000944E-2</v>
      </c>
      <c r="AC15" s="37">
        <f t="shared" si="1"/>
        <v>-5.0446840155497774E-4</v>
      </c>
      <c r="AD15" s="2">
        <f t="shared" si="2"/>
        <v>5.9326171875000944E-2</v>
      </c>
      <c r="AE15" s="37">
        <f t="shared" si="3"/>
        <v>-7.9643267217766045E-5</v>
      </c>
      <c r="AF15" s="2">
        <f t="shared" si="4"/>
        <v>-2.7610339819401498E-8</v>
      </c>
      <c r="AG15" s="2">
        <f t="shared" si="5"/>
        <v>4.0177511707962397E-8</v>
      </c>
      <c r="AH15" s="2">
        <f t="shared" si="6"/>
        <v>4.8828125E-4</v>
      </c>
      <c r="AJ15" s="2">
        <v>11</v>
      </c>
      <c r="AK15" s="2">
        <f t="shared" si="13"/>
        <v>3127.9296875</v>
      </c>
      <c r="AL15" s="2">
        <v>-1.8451712923233572</v>
      </c>
      <c r="AM15" s="2">
        <f t="shared" si="14"/>
        <v>3132.32421875</v>
      </c>
      <c r="AN15" s="2">
        <v>4.0867816976060567E-2</v>
      </c>
      <c r="AO15" s="2">
        <f t="shared" si="9"/>
        <v>3130.126953125</v>
      </c>
      <c r="AP15" s="2">
        <v>-0.9019440255669906</v>
      </c>
      <c r="AQ15" s="2">
        <f t="shared" si="10"/>
        <v>1.6642412232587751</v>
      </c>
      <c r="AR15" s="2">
        <f t="shared" si="11"/>
        <v>-3.6860483359523064E-2</v>
      </c>
      <c r="AS15" s="2">
        <f t="shared" si="12"/>
        <v>4.39453125</v>
      </c>
    </row>
    <row r="16" spans="2:45" x14ac:dyDescent="0.2">
      <c r="F16" s="54" t="s">
        <v>89</v>
      </c>
      <c r="G16" s="57"/>
      <c r="H16" s="57"/>
      <c r="J16" s="13" t="s">
        <v>56</v>
      </c>
      <c r="K16" s="6">
        <f xml:space="preserve"> $C$54 * 0.2138 * K4</f>
        <v>104.41355019671236</v>
      </c>
      <c r="L16" s="6" t="s">
        <v>7</v>
      </c>
      <c r="Y16" s="2">
        <v>12</v>
      </c>
      <c r="Z16" s="2">
        <f t="shared" si="7"/>
        <v>5.9082031250000944E-2</v>
      </c>
      <c r="AA16" s="37">
        <f t="shared" si="0"/>
        <v>3.4667512752719482E-4</v>
      </c>
      <c r="AB16" s="2">
        <f t="shared" si="8"/>
        <v>5.9326171875000944E-2</v>
      </c>
      <c r="AC16" s="37">
        <f t="shared" si="1"/>
        <v>-7.9643267217766045E-5</v>
      </c>
      <c r="AD16" s="2">
        <f t="shared" si="2"/>
        <v>5.9204101562500944E-2</v>
      </c>
      <c r="AE16" s="37">
        <f t="shared" si="3"/>
        <v>1.3332811802095612E-4</v>
      </c>
      <c r="AF16" s="2">
        <f t="shared" si="4"/>
        <v>4.6221542317875843E-8</v>
      </c>
      <c r="AG16" s="2">
        <f t="shared" si="5"/>
        <v>-1.0618686931184856E-8</v>
      </c>
      <c r="AH16" s="2">
        <f t="shared" si="6"/>
        <v>2.44140625E-4</v>
      </c>
      <c r="AJ16" s="2">
        <v>12</v>
      </c>
      <c r="AK16" s="2">
        <f t="shared" si="13"/>
        <v>3130.126953125</v>
      </c>
      <c r="AL16" s="2">
        <v>-0.9019440255669906</v>
      </c>
      <c r="AM16" s="2">
        <f t="shared" si="14"/>
        <v>3132.32421875</v>
      </c>
      <c r="AN16" s="2">
        <v>4.0867816976060567E-2</v>
      </c>
      <c r="AO16" s="2">
        <f t="shared" si="9"/>
        <v>3131.2255859375</v>
      </c>
      <c r="AP16" s="2">
        <v>-0.4304791329177533</v>
      </c>
      <c r="AQ16" s="2">
        <f t="shared" si="10"/>
        <v>0.38826808206642605</v>
      </c>
      <c r="AR16" s="2">
        <f t="shared" si="11"/>
        <v>-1.7592742416095992E-2</v>
      </c>
      <c r="AS16" s="2">
        <f t="shared" si="12"/>
        <v>2.197265625</v>
      </c>
    </row>
    <row r="17" spans="2:45" x14ac:dyDescent="0.2">
      <c r="B17" s="59" t="s">
        <v>115</v>
      </c>
      <c r="C17" s="59"/>
      <c r="D17" s="59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$C$54 * 0.1149 * K4</f>
        <v>56.113736752115301</v>
      </c>
      <c r="L17" s="6" t="s">
        <v>7</v>
      </c>
      <c r="N17" s="54" t="s">
        <v>27</v>
      </c>
      <c r="O17" s="55"/>
      <c r="P17" s="55"/>
      <c r="R17" s="54" t="s">
        <v>27</v>
      </c>
      <c r="S17" s="55"/>
      <c r="T17" s="55"/>
      <c r="Y17" s="2">
        <v>13</v>
      </c>
      <c r="Z17" s="2">
        <f t="shared" si="7"/>
        <v>5.9204101562500944E-2</v>
      </c>
      <c r="AA17" s="37">
        <f t="shared" si="0"/>
        <v>1.3332811802095612E-4</v>
      </c>
      <c r="AB17" s="2">
        <f t="shared" si="8"/>
        <v>5.9326171875000944E-2</v>
      </c>
      <c r="AC17" s="37">
        <f t="shared" si="1"/>
        <v>-7.9643267217766045E-5</v>
      </c>
      <c r="AD17" s="2">
        <f t="shared" si="2"/>
        <v>5.9265136718750944E-2</v>
      </c>
      <c r="AE17" s="37">
        <f t="shared" si="3"/>
        <v>2.6795617434169361E-5</v>
      </c>
      <c r="AF17" s="2">
        <f t="shared" si="4"/>
        <v>3.5726092437073218E-9</v>
      </c>
      <c r="AG17" s="2">
        <f t="shared" si="5"/>
        <v>-2.1340905195745809E-9</v>
      </c>
      <c r="AH17" s="2">
        <f t="shared" si="6"/>
        <v>1.220703125E-4</v>
      </c>
      <c r="AJ17" s="2">
        <v>13</v>
      </c>
      <c r="AK17" s="2">
        <f t="shared" si="13"/>
        <v>3131.2255859375</v>
      </c>
      <c r="AL17" s="2">
        <v>-0.4304791329177533</v>
      </c>
      <c r="AM17" s="2">
        <f t="shared" si="14"/>
        <v>3132.32421875</v>
      </c>
      <c r="AN17" s="2">
        <v>4.0867816976060567E-2</v>
      </c>
      <c r="AO17" s="2">
        <f t="shared" si="9"/>
        <v>3131.77490234375</v>
      </c>
      <c r="AP17" s="2">
        <v>-0.19478786538047643</v>
      </c>
      <c r="AQ17" s="2">
        <f t="shared" si="10"/>
        <v>8.3852111391887557E-2</v>
      </c>
      <c r="AR17" s="2">
        <f t="shared" si="11"/>
        <v>-7.9605548315268351E-3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138.6809995616093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2.5228429010846636</v>
      </c>
      <c r="T18" s="6" t="s">
        <v>43</v>
      </c>
      <c r="Y18" s="2">
        <v>14</v>
      </c>
      <c r="Z18" s="2">
        <f t="shared" si="7"/>
        <v>5.9265136718750944E-2</v>
      </c>
      <c r="AA18" s="37">
        <f t="shared" si="0"/>
        <v>2.6795617434169361E-5</v>
      </c>
      <c r="AB18" s="2">
        <f t="shared" si="8"/>
        <v>5.9326171875000944E-2</v>
      </c>
      <c r="AC18" s="37">
        <f t="shared" si="1"/>
        <v>-7.9643267217766045E-5</v>
      </c>
      <c r="AD18" s="2">
        <f t="shared" si="2"/>
        <v>5.9295654296875944E-2</v>
      </c>
      <c r="AE18" s="37">
        <f t="shared" si="3"/>
        <v>-2.6435508815730868E-5</v>
      </c>
      <c r="AF18" s="2">
        <f t="shared" si="4"/>
        <v>-7.0835578090393588E-10</v>
      </c>
      <c r="AG18" s="2">
        <f t="shared" si="5"/>
        <v>2.1054102926488634E-9</v>
      </c>
      <c r="AH18" s="2">
        <f t="shared" si="6"/>
        <v>6.103515625E-5</v>
      </c>
      <c r="AJ18" s="2">
        <v>14</v>
      </c>
      <c r="AK18" s="2">
        <f t="shared" si="13"/>
        <v>3131.77490234375</v>
      </c>
      <c r="AL18" s="2">
        <v>-0.19478786538047643</v>
      </c>
      <c r="AM18" s="2">
        <f t="shared" si="14"/>
        <v>3132.32421875</v>
      </c>
      <c r="AN18" s="2">
        <v>4.0867816976060567E-2</v>
      </c>
      <c r="AO18" s="2">
        <f t="shared" si="9"/>
        <v>3132.049560546875</v>
      </c>
      <c r="AP18" s="2">
        <v>-7.6941441335293348E-2</v>
      </c>
      <c r="AQ18" s="2">
        <f t="shared" si="10"/>
        <v>1.4987259116998946E-2</v>
      </c>
      <c r="AR18" s="2">
        <f t="shared" si="11"/>
        <v>-3.1444287423650699E-3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0.56652610777154422</v>
      </c>
      <c r="H19" s="6" t="s">
        <v>131</v>
      </c>
      <c r="J19" s="14" t="s">
        <v>64</v>
      </c>
      <c r="K19" s="6">
        <f xml:space="preserve"> $C$55 * C31 * $C$5</f>
        <v>35.080963806936786</v>
      </c>
      <c r="L19" s="6" t="s">
        <v>7</v>
      </c>
      <c r="N19" s="6" t="s">
        <v>21</v>
      </c>
      <c r="O19" s="6">
        <f xml:space="preserve"> O14 / $C$18</f>
        <v>7675.1285217550667</v>
      </c>
      <c r="P19" s="6" t="s">
        <v>22</v>
      </c>
      <c r="R19" s="6" t="s">
        <v>21</v>
      </c>
      <c r="S19" s="6">
        <f xml:space="preserve"> S14 / $C$18</f>
        <v>7681.8399932320044</v>
      </c>
      <c r="T19" s="6" t="s">
        <v>22</v>
      </c>
      <c r="Y19" s="2">
        <v>15</v>
      </c>
      <c r="Z19" s="2">
        <f t="shared" si="7"/>
        <v>5.9265136718750944E-2</v>
      </c>
      <c r="AA19" s="37">
        <f t="shared" si="0"/>
        <v>2.6795617434169361E-5</v>
      </c>
      <c r="AB19" s="2">
        <f t="shared" si="8"/>
        <v>5.9295654296875944E-2</v>
      </c>
      <c r="AC19" s="37">
        <f t="shared" si="1"/>
        <v>-2.6435508815730868E-5</v>
      </c>
      <c r="AD19" s="2">
        <f t="shared" si="2"/>
        <v>5.9280395507813444E-2</v>
      </c>
      <c r="AE19" s="37">
        <f t="shared" si="3"/>
        <v>1.7713107265671102E-7</v>
      </c>
      <c r="AF19" s="2">
        <f t="shared" si="4"/>
        <v>4.7463364586132852E-12</v>
      </c>
      <c r="AG19" s="2">
        <f t="shared" si="5"/>
        <v>-4.6825500327563487E-12</v>
      </c>
      <c r="AH19" s="2">
        <f t="shared" si="6"/>
        <v>3.0517578125E-5</v>
      </c>
      <c r="AJ19" s="2">
        <v>15</v>
      </c>
      <c r="AK19" s="2">
        <f t="shared" si="13"/>
        <v>3132.049560546875</v>
      </c>
      <c r="AL19" s="2">
        <v>-7.6941441335293348E-2</v>
      </c>
      <c r="AM19" s="2">
        <f t="shared" si="14"/>
        <v>3132.32421875</v>
      </c>
      <c r="AN19" s="2">
        <v>4.0867816976060567E-2</v>
      </c>
      <c r="AO19" s="2">
        <f t="shared" si="9"/>
        <v>3132.1868896484375</v>
      </c>
      <c r="AP19" s="2">
        <v>-1.802076165085964E-2</v>
      </c>
      <c r="AQ19" s="2">
        <f t="shared" si="10"/>
        <v>1.386543375376921E-3</v>
      </c>
      <c r="AR19" s="2">
        <f t="shared" si="11"/>
        <v>-7.364691889165429E-4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7681.8399932320044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5.9280395507813444E-2</v>
      </c>
      <c r="AA20" s="37">
        <f t="shared" si="0"/>
        <v>1.7713107265671102E-7</v>
      </c>
      <c r="AB20" s="2">
        <f t="shared" si="8"/>
        <v>5.9295654296875944E-2</v>
      </c>
      <c r="AC20" s="37">
        <f t="shared" si="1"/>
        <v>-2.6435508815730868E-5</v>
      </c>
      <c r="AD20" s="2">
        <f t="shared" si="2"/>
        <v>5.9288024902344694E-2</v>
      </c>
      <c r="AE20" s="37">
        <f t="shared" si="3"/>
        <v>-1.312991939855096E-5</v>
      </c>
      <c r="AF20" s="2">
        <f t="shared" si="4"/>
        <v>-2.3257167069614895E-12</v>
      </c>
      <c r="AG20" s="2">
        <f t="shared" si="5"/>
        <v>3.4709610001022966E-10</v>
      </c>
      <c r="AH20" s="2">
        <f t="shared" si="6"/>
        <v>1.52587890625E-5</v>
      </c>
      <c r="AJ20" s="2">
        <v>16</v>
      </c>
      <c r="AK20" s="2">
        <f t="shared" si="13"/>
        <v>3132.1868896484375</v>
      </c>
      <c r="AL20" s="2">
        <v>-1.802076165085964E-2</v>
      </c>
      <c r="AM20" s="2">
        <f t="shared" si="14"/>
        <v>3132.32421875</v>
      </c>
      <c r="AN20" s="2">
        <v>4.0867816976060567E-2</v>
      </c>
      <c r="AO20" s="2">
        <f t="shared" si="9"/>
        <v>3132.2555541992188</v>
      </c>
      <c r="AP20" s="2">
        <v>1.1421767324009124E-2</v>
      </c>
      <c r="AQ20" s="2">
        <f t="shared" si="10"/>
        <v>-2.0582894657754537E-4</v>
      </c>
      <c r="AR20" s="2">
        <f t="shared" si="11"/>
        <v>4.6678269654075395E-4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61.035647687512871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0.26500113742663384</v>
      </c>
      <c r="Y21" s="2">
        <v>17</v>
      </c>
      <c r="Z21" s="2">
        <f t="shared" si="7"/>
        <v>5.9280395507813444E-2</v>
      </c>
      <c r="AA21" s="37">
        <f t="shared" si="0"/>
        <v>1.7713107265671102E-7</v>
      </c>
      <c r="AB21" s="2">
        <f t="shared" si="8"/>
        <v>5.9288024902344694E-2</v>
      </c>
      <c r="AC21" s="37">
        <f t="shared" si="1"/>
        <v>-1.312991939855096E-5</v>
      </c>
      <c r="AD21" s="2">
        <f t="shared" si="2"/>
        <v>5.9284210205079069E-2</v>
      </c>
      <c r="AE21" s="37">
        <f t="shared" si="3"/>
        <v>-6.4765768299571147E-6</v>
      </c>
      <c r="AF21" s="2">
        <f t="shared" si="4"/>
        <v>-1.1472030010339048E-12</v>
      </c>
      <c r="AG21" s="2">
        <f t="shared" si="5"/>
        <v>8.5036931755859604E-11</v>
      </c>
      <c r="AH21" s="2">
        <f t="shared" si="6"/>
        <v>7.62939453125E-6</v>
      </c>
      <c r="AJ21" s="2">
        <v>17</v>
      </c>
      <c r="AK21" s="2">
        <f t="shared" si="13"/>
        <v>3132.1868896484375</v>
      </c>
      <c r="AL21" s="2">
        <v>-1.802076165085964E-2</v>
      </c>
      <c r="AM21" s="2">
        <f t="shared" si="14"/>
        <v>3132.2555541992188</v>
      </c>
      <c r="AN21" s="2">
        <v>1.1421767324009124E-2</v>
      </c>
      <c r="AO21" s="2">
        <f t="shared" si="9"/>
        <v>3132.2212219238281</v>
      </c>
      <c r="AP21" s="2">
        <v>-3.2994822213368025E-3</v>
      </c>
      <c r="AQ21" s="2">
        <f t="shared" si="10"/>
        <v>5.9459182681959432E-5</v>
      </c>
      <c r="AR21" s="2">
        <f t="shared" si="11"/>
        <v>-3.7685918221813731E-5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12.841953361009432</v>
      </c>
      <c r="H22" s="6" t="s">
        <v>275</v>
      </c>
      <c r="J22" s="14" t="s">
        <v>117</v>
      </c>
      <c r="K22" s="6">
        <f>$C$55*(0.14*$G$14*1000/745.7)*0.453592</f>
        <v>27.725997615581186</v>
      </c>
      <c r="L22" s="6" t="s">
        <v>7</v>
      </c>
      <c r="N22" s="6" t="s">
        <v>32</v>
      </c>
      <c r="O22" s="6">
        <f xml:space="preserve"> O19 / ($C$41 * PI() * $C$9^2 * O20^2 * $C$9^2)</f>
        <v>5.2310282849718E-3</v>
      </c>
      <c r="R22" s="6" t="s">
        <v>32</v>
      </c>
      <c r="S22" s="6">
        <f xml:space="preserve"> S19 / ($C$47 * PI() * $C$9^2 * S20^2 * $C$9^2)</f>
        <v>4.264794281494926E-3</v>
      </c>
      <c r="Y22" s="2">
        <v>18</v>
      </c>
      <c r="Z22" s="2">
        <f t="shared" si="7"/>
        <v>5.9280395507813444E-2</v>
      </c>
      <c r="AA22" s="37">
        <f t="shared" si="0"/>
        <v>1.7713107265671102E-7</v>
      </c>
      <c r="AB22" s="2">
        <f t="shared" si="8"/>
        <v>5.9284210205079069E-2</v>
      </c>
      <c r="AC22" s="37">
        <f t="shared" si="1"/>
        <v>-6.4765768299571147E-6</v>
      </c>
      <c r="AD22" s="2">
        <f t="shared" si="2"/>
        <v>5.9282302856446256E-2</v>
      </c>
      <c r="AE22" s="37">
        <f t="shared" si="3"/>
        <v>-3.1497685498080297E-6</v>
      </c>
      <c r="AF22" s="2">
        <f t="shared" si="4"/>
        <v>-5.5792188184786941E-13</v>
      </c>
      <c r="AG22" s="2">
        <f t="shared" si="5"/>
        <v>2.0399718009414308E-11</v>
      </c>
      <c r="AH22" s="2">
        <f t="shared" si="6"/>
        <v>3.814697265625E-6</v>
      </c>
      <c r="AJ22" s="2">
        <v>18</v>
      </c>
      <c r="AK22" s="2">
        <f t="shared" si="13"/>
        <v>3132.2212219238281</v>
      </c>
      <c r="AL22" s="2">
        <v>-3.2994822213368025E-3</v>
      </c>
      <c r="AM22" s="2">
        <f t="shared" si="14"/>
        <v>3132.2555541992188</v>
      </c>
      <c r="AN22" s="2">
        <v>1.1421767324009124E-2</v>
      </c>
      <c r="AO22" s="2">
        <f t="shared" si="9"/>
        <v>3132.2383880615234</v>
      </c>
      <c r="AP22" s="2">
        <v>4.0611462877677695E-3</v>
      </c>
      <c r="AQ22" s="2">
        <f t="shared" si="10"/>
        <v>-1.339967997473771E-5</v>
      </c>
      <c r="AR22" s="2">
        <f t="shared" si="11"/>
        <v>4.6385467967646869E-5</v>
      </c>
      <c r="AS22" s="2">
        <f t="shared" si="12"/>
        <v>3.4332275390625E-2</v>
      </c>
    </row>
    <row r="23" spans="2:45" x14ac:dyDescent="0.2">
      <c r="F23" s="9" t="s">
        <v>276</v>
      </c>
      <c r="G23" s="6">
        <f>S22/ ($C$19*$C$10/PI())</f>
        <v>6.9456953778207486E-2</v>
      </c>
      <c r="J23" s="15" t="s">
        <v>67</v>
      </c>
      <c r="K23" s="6">
        <f xml:space="preserve"> $C$56 * (0.0268 * $C$5)</f>
        <v>67.154987858993266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5.9280395507813444E-2</v>
      </c>
      <c r="AA23" s="37">
        <f t="shared" si="0"/>
        <v>1.7713107265671102E-7</v>
      </c>
      <c r="AB23" s="2">
        <f t="shared" si="8"/>
        <v>5.9282302856446256E-2</v>
      </c>
      <c r="AC23" s="37">
        <f t="shared" si="1"/>
        <v>-3.1497685498080297E-6</v>
      </c>
      <c r="AD23" s="2">
        <f t="shared" si="2"/>
        <v>5.928134918212985E-2</v>
      </c>
      <c r="AE23" s="37">
        <f t="shared" si="3"/>
        <v>-1.4863301569176257E-6</v>
      </c>
      <c r="AF23" s="2">
        <f t="shared" si="4"/>
        <v>-2.6327525501683663E-13</v>
      </c>
      <c r="AG23" s="2">
        <f t="shared" si="5"/>
        <v>4.6815959828903715E-12</v>
      </c>
      <c r="AH23" s="2">
        <f t="shared" si="6"/>
        <v>1.9073486328125E-6</v>
      </c>
      <c r="AJ23" s="2">
        <v>19</v>
      </c>
      <c r="AK23" s="2">
        <f t="shared" si="13"/>
        <v>3132.2212219238281</v>
      </c>
      <c r="AL23" s="2">
        <v>-3.2994822213368025E-3</v>
      </c>
      <c r="AM23" s="2">
        <f t="shared" si="14"/>
        <v>3132.2383880615234</v>
      </c>
      <c r="AN23" s="2">
        <v>4.0611462877677695E-3</v>
      </c>
      <c r="AO23" s="2">
        <f t="shared" si="9"/>
        <v>3132.2298049926758</v>
      </c>
      <c r="AP23" s="2">
        <v>3.8265303010120988E-4</v>
      </c>
      <c r="AQ23" s="2">
        <f t="shared" si="10"/>
        <v>-1.2625568697595983E-6</v>
      </c>
      <c r="AR23" s="2">
        <f t="shared" si="11"/>
        <v>1.554009932698617E-6</v>
      </c>
      <c r="AS23" s="2">
        <f t="shared" si="12"/>
        <v>1.71661376953125E-2</v>
      </c>
    </row>
    <row r="24" spans="2:45" x14ac:dyDescent="0.2">
      <c r="B24" s="59" t="s">
        <v>107</v>
      </c>
      <c r="C24" s="59"/>
      <c r="D24" s="59"/>
      <c r="F24" s="44" t="s">
        <v>225</v>
      </c>
      <c r="G24" s="43">
        <f>$C$18 * G21</f>
        <v>244.14259075005148</v>
      </c>
      <c r="H24" s="43" t="s">
        <v>104</v>
      </c>
      <c r="J24" s="15" t="s">
        <v>68</v>
      </c>
      <c r="K24" s="6">
        <f xml:space="preserve"> $C$56 * (11.5 * ($C$5*2.20462/1000)^0.4 * 0.453592)</f>
        <v>9.0391607198736743</v>
      </c>
      <c r="L24" s="6" t="s">
        <v>7</v>
      </c>
      <c r="N24" s="6" t="s">
        <v>33</v>
      </c>
      <c r="O24" s="6">
        <f xml:space="preserve"> ($C$20 * O23 / 8) * (1 + 4.65 *O21^ 2) * ( PI() * $C$41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$C$47 * S20^3 *$C$9^ 5)</f>
        <v>30766.208675882477</v>
      </c>
      <c r="T24" s="6" t="s">
        <v>20</v>
      </c>
      <c r="Y24" s="2">
        <v>20</v>
      </c>
      <c r="Z24" s="2">
        <f t="shared" si="7"/>
        <v>5.9280395507813444E-2</v>
      </c>
      <c r="AA24" s="37">
        <f t="shared" si="0"/>
        <v>1.7713107265671102E-7</v>
      </c>
      <c r="AB24" s="2">
        <f t="shared" si="8"/>
        <v>5.928134918212985E-2</v>
      </c>
      <c r="AC24" s="37">
        <f t="shared" si="1"/>
        <v>-1.4863301569176257E-6</v>
      </c>
      <c r="AD24" s="2">
        <f t="shared" si="2"/>
        <v>5.9280872344971647E-2</v>
      </c>
      <c r="AE24" s="37">
        <f t="shared" si="3"/>
        <v>-6.5460239678793997E-7</v>
      </c>
      <c r="AF24" s="2">
        <f t="shared" si="4"/>
        <v>-1.1595042470670176E-13</v>
      </c>
      <c r="AG24" s="2">
        <f t="shared" si="5"/>
        <v>9.7295528313647266E-13</v>
      </c>
      <c r="AH24" s="2">
        <f t="shared" si="6"/>
        <v>9.5367431640625E-7</v>
      </c>
      <c r="AJ24" s="2">
        <v>20</v>
      </c>
      <c r="AK24" s="2">
        <f t="shared" si="13"/>
        <v>3132.2212219238281</v>
      </c>
      <c r="AL24" s="2">
        <v>-3.2994822213368025E-3</v>
      </c>
      <c r="AM24" s="2">
        <f t="shared" si="14"/>
        <v>3132.2298049926758</v>
      </c>
      <c r="AN24" s="2">
        <v>3.8265303010120988E-4</v>
      </c>
      <c r="AO24" s="2">
        <f t="shared" si="9"/>
        <v>3132.225513458252</v>
      </c>
      <c r="AP24" s="2">
        <v>-1.474226852224092E-3</v>
      </c>
      <c r="AQ24" s="2">
        <f t="shared" si="10"/>
        <v>4.8641852891307093E-6</v>
      </c>
      <c r="AR24" s="2">
        <f t="shared" si="11"/>
        <v>-5.6411737206011736E-7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20.046265032535302</v>
      </c>
      <c r="L25" s="6" t="s">
        <v>7</v>
      </c>
      <c r="N25" s="6" t="s">
        <v>34</v>
      </c>
      <c r="O25" s="18">
        <f>AD34</f>
        <v>5.9280497487635364E-2</v>
      </c>
      <c r="R25" s="6" t="s">
        <v>34</v>
      </c>
      <c r="S25" s="18">
        <f>AD68</f>
        <v>1.9700657110661268E-2</v>
      </c>
      <c r="Y25" s="2">
        <v>21</v>
      </c>
      <c r="Z25" s="2">
        <f t="shared" si="7"/>
        <v>5.9280395507813444E-2</v>
      </c>
      <c r="AA25" s="37">
        <f t="shared" si="0"/>
        <v>1.7713107265671102E-7</v>
      </c>
      <c r="AB25" s="2">
        <f t="shared" si="8"/>
        <v>5.9280872344971647E-2</v>
      </c>
      <c r="AC25" s="37">
        <f t="shared" si="1"/>
        <v>-6.5460239678793997E-7</v>
      </c>
      <c r="AD25" s="2">
        <f t="shared" si="2"/>
        <v>5.9280633926392545E-2</v>
      </c>
      <c r="AE25" s="37">
        <f t="shared" si="3"/>
        <v>-2.3873637573779138E-7</v>
      </c>
      <c r="AF25" s="2">
        <f t="shared" si="4"/>
        <v>-4.2287630316610586E-14</v>
      </c>
      <c r="AG25" s="2">
        <f t="shared" si="5"/>
        <v>1.5627740375842444E-13</v>
      </c>
      <c r="AH25" s="2">
        <f t="shared" si="6"/>
        <v>4.76837158203125E-7</v>
      </c>
      <c r="AJ25" s="2">
        <v>21</v>
      </c>
      <c r="AK25" s="2">
        <f t="shared" si="13"/>
        <v>3132.225513458252</v>
      </c>
      <c r="AL25" s="2">
        <v>-1.474226852224092E-3</v>
      </c>
      <c r="AM25" s="2">
        <f t="shared" si="14"/>
        <v>3132.2298049926758</v>
      </c>
      <c r="AN25" s="2">
        <v>3.8265303010120988E-4</v>
      </c>
      <c r="AO25" s="2">
        <f t="shared" si="9"/>
        <v>3132.2276592254639</v>
      </c>
      <c r="AP25" s="2">
        <v>-5.3179442011241917E-4</v>
      </c>
      <c r="AQ25" s="2">
        <f t="shared" si="10"/>
        <v>7.8398561399266813E-7</v>
      </c>
      <c r="AR25" s="2">
        <f t="shared" si="11"/>
        <v>-2.0349274624693299E-7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4" t="s">
        <v>84</v>
      </c>
      <c r="G26" s="57"/>
      <c r="H26" s="57"/>
      <c r="J26" s="15" t="s">
        <v>70</v>
      </c>
      <c r="K26" s="6">
        <f xml:space="preserve"> $C$56 * (13 * ($C$5*2.20462/1000)^1.3 * 0.453592)</f>
        <v>58.162375179126514</v>
      </c>
      <c r="L26" s="6" t="s">
        <v>7</v>
      </c>
      <c r="N26" s="6" t="s">
        <v>35</v>
      </c>
      <c r="O26" s="6">
        <f xml:space="preserve"> O20 * $C$9 * O25 - $G$4 * SIN(O18/180*PI())</f>
        <v>7.3925426884428509</v>
      </c>
      <c r="P26" s="6" t="s">
        <v>10</v>
      </c>
      <c r="R26" s="6" t="s">
        <v>35</v>
      </c>
      <c r="S26" s="6">
        <f xml:space="preserve"> S20 * $C$9 * S25 - $C$8 * SIN(S18/180*PI())</f>
        <v>1.5126019657784457</v>
      </c>
      <c r="T26" s="6" t="s">
        <v>10</v>
      </c>
      <c r="Y26" s="2">
        <v>22</v>
      </c>
      <c r="Z26" s="2">
        <f t="shared" si="7"/>
        <v>5.9280395507813444E-2</v>
      </c>
      <c r="AA26" s="37">
        <f t="shared" si="0"/>
        <v>1.7713107265671102E-7</v>
      </c>
      <c r="AB26" s="2">
        <f t="shared" si="8"/>
        <v>5.9280633926392545E-2</v>
      </c>
      <c r="AC26" s="37">
        <f t="shared" si="1"/>
        <v>-2.3873637573779138E-7</v>
      </c>
      <c r="AD26" s="2">
        <f t="shared" si="2"/>
        <v>5.9280514717102994E-2</v>
      </c>
      <c r="AE26" s="37">
        <f t="shared" si="3"/>
        <v>-3.0802829960319134E-8</v>
      </c>
      <c r="AF26" s="2">
        <f t="shared" si="4"/>
        <v>-5.4561383117336037E-15</v>
      </c>
      <c r="AG26" s="2">
        <f t="shared" si="5"/>
        <v>7.353755987194046E-15</v>
      </c>
      <c r="AH26" s="2">
        <f t="shared" si="6"/>
        <v>2.384185791015625E-7</v>
      </c>
      <c r="AJ26" s="2">
        <v>22</v>
      </c>
      <c r="AK26" s="2">
        <f t="shared" si="13"/>
        <v>3132.2276592254639</v>
      </c>
      <c r="AL26" s="2">
        <v>-5.3179442011241917E-4</v>
      </c>
      <c r="AM26" s="2">
        <f t="shared" si="14"/>
        <v>3132.2298049926758</v>
      </c>
      <c r="AN26" s="2">
        <v>3.8265303010120988E-4</v>
      </c>
      <c r="AO26" s="2">
        <f t="shared" si="9"/>
        <v>3132.2287321090698</v>
      </c>
      <c r="AP26" s="2">
        <v>-7.4570681135810446E-5</v>
      </c>
      <c r="AQ26" s="2">
        <f t="shared" si="10"/>
        <v>3.9656272132006434E-8</v>
      </c>
      <c r="AR26" s="2">
        <f t="shared" si="11"/>
        <v>-2.8534697093328998E-8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7.5306161306798458E-10</v>
      </c>
      <c r="L27" s="10" t="s">
        <v>7</v>
      </c>
      <c r="N27" s="6" t="s">
        <v>36</v>
      </c>
      <c r="O27" s="6">
        <f xml:space="preserve"> 1/$C$21 - O24 * SQRT( (2*$C$41*PI()*$C$9^2) / O19^3 )</f>
        <v>1.0779945586649722</v>
      </c>
      <c r="R27" s="6" t="s">
        <v>36</v>
      </c>
      <c r="S27" s="6">
        <f xml:space="preserve"> 1/$C$21 - S24 * SQRT( (2*$C$47*PI()*$C$9^2) / S19^3 )</f>
        <v>0.87321074345123062</v>
      </c>
      <c r="Y27" s="2">
        <v>23</v>
      </c>
      <c r="Z27" s="2">
        <f t="shared" si="7"/>
        <v>5.9280395507813444E-2</v>
      </c>
      <c r="AA27" s="37">
        <f t="shared" si="0"/>
        <v>1.7713107265671102E-7</v>
      </c>
      <c r="AB27" s="2">
        <f t="shared" si="8"/>
        <v>5.9280514717102994E-2</v>
      </c>
      <c r="AC27" s="37">
        <f t="shared" si="1"/>
        <v>-3.0802829960319134E-8</v>
      </c>
      <c r="AD27" s="2">
        <f t="shared" si="2"/>
        <v>5.9280455112458219E-2</v>
      </c>
      <c r="AE27" s="37">
        <f t="shared" si="3"/>
        <v>7.3164076741516482E-8</v>
      </c>
      <c r="AF27" s="2">
        <f t="shared" si="4"/>
        <v>1.2959631393162737E-14</v>
      </c>
      <c r="AG27" s="2">
        <f t="shared" si="5"/>
        <v>-2.2536606150726721E-15</v>
      </c>
      <c r="AH27" s="2">
        <f t="shared" si="6"/>
        <v>1.1920928955078125E-7</v>
      </c>
      <c r="AJ27" s="2">
        <v>23</v>
      </c>
      <c r="AK27" s="2">
        <f t="shared" si="13"/>
        <v>3132.2287321090698</v>
      </c>
      <c r="AL27" s="2">
        <v>-7.4570681135810446E-5</v>
      </c>
      <c r="AM27" s="2">
        <f t="shared" si="14"/>
        <v>3132.2298049926758</v>
      </c>
      <c r="AN27" s="2">
        <v>3.8265303010120988E-4</v>
      </c>
      <c r="AO27" s="2">
        <f t="shared" si="9"/>
        <v>3132.2292685508728</v>
      </c>
      <c r="AP27" s="2">
        <v>1.5222111596813193E-4</v>
      </c>
      <c r="AQ27" s="2">
        <f t="shared" si="10"/>
        <v>-1.1351232300996789E-8</v>
      </c>
      <c r="AR27" s="2">
        <f t="shared" si="11"/>
        <v>5.8247871270593346E-8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5.9280455112458219E-2</v>
      </c>
      <c r="AA28" s="37">
        <f t="shared" si="0"/>
        <v>7.3164076741516482E-8</v>
      </c>
      <c r="AB28" s="2">
        <f t="shared" si="8"/>
        <v>5.9280514717102994E-2</v>
      </c>
      <c r="AC28" s="37">
        <f t="shared" si="1"/>
        <v>-3.0802829960319134E-8</v>
      </c>
      <c r="AD28" s="2">
        <f t="shared" si="2"/>
        <v>5.9280484914780607E-2</v>
      </c>
      <c r="AE28" s="37">
        <f t="shared" si="3"/>
        <v>2.1180612236326724E-8</v>
      </c>
      <c r="AF28" s="2">
        <f t="shared" si="4"/>
        <v>1.5496599390909114E-15</v>
      </c>
      <c r="AG28" s="2">
        <f t="shared" si="5"/>
        <v>-6.5242279717102681E-16</v>
      </c>
      <c r="AH28" s="2">
        <f t="shared" si="6"/>
        <v>5.9604644775390625E-8</v>
      </c>
      <c r="AJ28" s="2">
        <v>24</v>
      </c>
      <c r="AK28" s="2">
        <f t="shared" si="13"/>
        <v>3132.2287321090698</v>
      </c>
      <c r="AL28" s="2">
        <v>-7.4570681135810446E-5</v>
      </c>
      <c r="AM28" s="2">
        <f t="shared" si="14"/>
        <v>3132.2292685508728</v>
      </c>
      <c r="AN28" s="2">
        <v>1.5222111596813193E-4</v>
      </c>
      <c r="AO28" s="2">
        <f t="shared" si="9"/>
        <v>3132.2290003299713</v>
      </c>
      <c r="AP28" s="2">
        <v>4.0645278204465285E-5</v>
      </c>
      <c r="AQ28" s="2">
        <f t="shared" si="10"/>
        <v>-3.0309460806614869E-9</v>
      </c>
      <c r="AR28" s="2">
        <f t="shared" si="11"/>
        <v>6.1870696071188951E-9</v>
      </c>
      <c r="AS28" s="2">
        <f t="shared" si="12"/>
        <v>5.3644180297851562E-4</v>
      </c>
    </row>
    <row r="29" spans="2:45" x14ac:dyDescent="0.2">
      <c r="B29" s="59" t="s">
        <v>111</v>
      </c>
      <c r="C29" s="59"/>
      <c r="D29" s="59"/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1/$C$53 * LN( EXP($C$53 * O27) + EXP($C$53 * O28) )</f>
        <v>1.1536376357641205</v>
      </c>
      <c r="R29" s="6" t="s">
        <v>38</v>
      </c>
      <c r="S29" s="6">
        <f xml:space="preserve"> 1/$C$53 * LN( EXP($C$53 * S27) + EXP($C$53 * S28) )</f>
        <v>1.1500082524629101</v>
      </c>
      <c r="Y29" s="2">
        <v>25</v>
      </c>
      <c r="Z29" s="2">
        <f t="shared" si="7"/>
        <v>5.9280484914780607E-2</v>
      </c>
      <c r="AA29" s="37">
        <f t="shared" si="0"/>
        <v>2.1180612236326724E-8</v>
      </c>
      <c r="AB29" s="2">
        <f t="shared" si="8"/>
        <v>5.9280514717102994E-2</v>
      </c>
      <c r="AC29" s="37">
        <f t="shared" si="1"/>
        <v>-3.0802829960319134E-8</v>
      </c>
      <c r="AD29" s="2">
        <f t="shared" si="2"/>
        <v>5.9280499815941801E-2</v>
      </c>
      <c r="AE29" s="37">
        <f t="shared" si="3"/>
        <v>-4.8111116479621074E-9</v>
      </c>
      <c r="AF29" s="2">
        <f t="shared" si="4"/>
        <v>-1.0190229024116024E-16</v>
      </c>
      <c r="AG29" s="2">
        <f t="shared" si="5"/>
        <v>1.4819585401228755E-16</v>
      </c>
      <c r="AH29" s="2">
        <f t="shared" si="6"/>
        <v>2.9802322387695312E-8</v>
      </c>
      <c r="AJ29" s="2">
        <v>25</v>
      </c>
      <c r="AK29" s="2">
        <f t="shared" si="13"/>
        <v>3132.2287321090698</v>
      </c>
      <c r="AL29" s="2">
        <v>-7.4570681135810446E-5</v>
      </c>
      <c r="AM29" s="2">
        <f t="shared" si="14"/>
        <v>3132.2290003299713</v>
      </c>
      <c r="AN29" s="2">
        <v>4.0645278204465285E-5</v>
      </c>
      <c r="AO29" s="2">
        <f t="shared" si="9"/>
        <v>3132.2288662195206</v>
      </c>
      <c r="AP29" s="2">
        <v>-1.6962700101430528E-5</v>
      </c>
      <c r="AQ29" s="2">
        <f t="shared" si="10"/>
        <v>1.2649201004661554E-9</v>
      </c>
      <c r="AR29" s="2">
        <f t="shared" si="11"/>
        <v>-6.8945366472155531E-10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7675.1285217550667</v>
      </c>
      <c r="H30" t="s">
        <v>22</v>
      </c>
      <c r="J30" s="58" t="s">
        <v>116</v>
      </c>
      <c r="K30" s="58"/>
      <c r="L30" s="58"/>
      <c r="Y30" s="2">
        <v>26</v>
      </c>
      <c r="Z30" s="2">
        <f t="shared" si="7"/>
        <v>5.9280484914780607E-2</v>
      </c>
      <c r="AA30" s="37">
        <f t="shared" si="0"/>
        <v>2.1180612236326724E-8</v>
      </c>
      <c r="AB30" s="2">
        <f t="shared" si="8"/>
        <v>5.9280499815941801E-2</v>
      </c>
      <c r="AC30" s="37">
        <f t="shared" si="1"/>
        <v>-4.8111116479621074E-9</v>
      </c>
      <c r="AD30" s="2">
        <f t="shared" si="2"/>
        <v>5.9280492365361204E-2</v>
      </c>
      <c r="AE30" s="37">
        <f t="shared" si="3"/>
        <v>8.1847496002929176E-9</v>
      </c>
      <c r="AF30" s="2">
        <f t="shared" si="4"/>
        <v>1.7335800753523443E-16</v>
      </c>
      <c r="AG30" s="2">
        <f t="shared" si="5"/>
        <v>-3.9377744137622458E-17</v>
      </c>
      <c r="AH30" s="2">
        <f t="shared" si="6"/>
        <v>1.4901161193847656E-8</v>
      </c>
      <c r="AJ30" s="2">
        <v>26</v>
      </c>
      <c r="AK30" s="2">
        <f t="shared" si="13"/>
        <v>3132.2288662195206</v>
      </c>
      <c r="AL30" s="2">
        <v>-1.6962700101430528E-5</v>
      </c>
      <c r="AM30" s="2">
        <f t="shared" si="14"/>
        <v>3132.2290003299713</v>
      </c>
      <c r="AN30" s="2">
        <v>4.0645278204465285E-5</v>
      </c>
      <c r="AO30" s="2">
        <f t="shared" si="9"/>
        <v>3132.2289332747459</v>
      </c>
      <c r="AP30" s="2">
        <v>1.0021230536949588E-5</v>
      </c>
      <c r="AQ30" s="2">
        <f t="shared" si="10"/>
        <v>-1.6998712824557348E-10</v>
      </c>
      <c r="AR30" s="2">
        <f t="shared" si="11"/>
        <v>4.0731570312539903E-10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87.69029480738196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5.9280492365361204E-2</v>
      </c>
      <c r="AA31" s="37">
        <f t="shared" si="0"/>
        <v>8.1847496002929176E-9</v>
      </c>
      <c r="AB31" s="2">
        <f t="shared" si="8"/>
        <v>5.9280499815941801E-2</v>
      </c>
      <c r="AC31" s="37">
        <f t="shared" si="1"/>
        <v>-4.8111116479621074E-9</v>
      </c>
      <c r="AD31" s="2">
        <f t="shared" si="2"/>
        <v>5.9280496090651502E-2</v>
      </c>
      <c r="AE31" s="37">
        <f t="shared" si="3"/>
        <v>1.6868188026930575E-9</v>
      </c>
      <c r="AF31" s="2">
        <f t="shared" si="4"/>
        <v>1.380618952110858E-17</v>
      </c>
      <c r="AG31" s="2">
        <f t="shared" si="5"/>
        <v>-8.1154735896380654E-18</v>
      </c>
      <c r="AH31" s="2">
        <f t="shared" si="6"/>
        <v>7.4505805969238281E-9</v>
      </c>
      <c r="AJ31" s="2">
        <v>27</v>
      </c>
      <c r="AK31" s="2">
        <f t="shared" si="13"/>
        <v>3132.2288662195206</v>
      </c>
      <c r="AL31" s="2">
        <v>-1.6962700101430528E-5</v>
      </c>
      <c r="AM31" s="2">
        <f t="shared" si="14"/>
        <v>3132.2289332747459</v>
      </c>
      <c r="AN31" s="2">
        <v>1.0021230536949588E-5</v>
      </c>
      <c r="AO31" s="2">
        <f t="shared" si="9"/>
        <v>3132.2288997471333</v>
      </c>
      <c r="AP31" s="2">
        <v>-1.6506755855516531E-6</v>
      </c>
      <c r="AQ31" s="2">
        <f t="shared" si="10"/>
        <v>2.7999914922465921E-11</v>
      </c>
      <c r="AR31" s="2">
        <f t="shared" si="11"/>
        <v>-1.6541800584527368E-11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8.9298049408255711</v>
      </c>
      <c r="H32" s="6" t="s">
        <v>275</v>
      </c>
      <c r="J32" s="11" t="s">
        <v>55</v>
      </c>
      <c r="K32" s="6">
        <f>ROUND(K13,2)</f>
        <v>1439.08</v>
      </c>
      <c r="L32" s="6" t="s">
        <v>7</v>
      </c>
      <c r="Y32" s="2">
        <v>28</v>
      </c>
      <c r="Z32" s="2">
        <f t="shared" si="7"/>
        <v>5.9280496090651502E-2</v>
      </c>
      <c r="AA32" s="37">
        <f t="shared" si="0"/>
        <v>1.6868188026930575E-9</v>
      </c>
      <c r="AB32" s="2">
        <f t="shared" si="8"/>
        <v>5.9280499815941801E-2</v>
      </c>
      <c r="AC32" s="37">
        <f t="shared" si="1"/>
        <v>-4.8111116479621074E-9</v>
      </c>
      <c r="AD32" s="2">
        <f t="shared" si="2"/>
        <v>5.9280497953296651E-2</v>
      </c>
      <c r="AE32" s="37">
        <f t="shared" si="3"/>
        <v>-1.5621464677373353E-9</v>
      </c>
      <c r="AF32" s="2">
        <f t="shared" si="4"/>
        <v>-2.635058034339881E-18</v>
      </c>
      <c r="AG32" s="2">
        <f t="shared" si="5"/>
        <v>7.5156610667539565E-18</v>
      </c>
      <c r="AH32" s="2">
        <f t="shared" si="6"/>
        <v>3.7252902984619141E-9</v>
      </c>
      <c r="AJ32" s="2">
        <v>28</v>
      </c>
      <c r="AK32" s="2">
        <f t="shared" si="13"/>
        <v>3132.2288997471333</v>
      </c>
      <c r="AL32" s="2">
        <v>-1.6506755855516531E-6</v>
      </c>
      <c r="AM32" s="2">
        <f t="shared" si="14"/>
        <v>3132.2289332747459</v>
      </c>
      <c r="AN32" s="2">
        <v>1.0021230536949588E-5</v>
      </c>
      <c r="AO32" s="2">
        <f t="shared" si="9"/>
        <v>3132.2289165109396</v>
      </c>
      <c r="AP32" s="2">
        <v>2.3652178242627997E-6</v>
      </c>
      <c r="AQ32" s="2">
        <f t="shared" si="10"/>
        <v>-3.9042073170222037E-12</v>
      </c>
      <c r="AR32" s="2">
        <f t="shared" si="11"/>
        <v>2.3702393087039832E-11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350.76117922952784</v>
      </c>
      <c r="H33" s="42" t="s">
        <v>104</v>
      </c>
      <c r="J33" s="19" t="s">
        <v>81</v>
      </c>
      <c r="K33" s="6">
        <f>ROUND(SUM(K14:K17),2)</f>
        <v>737.26</v>
      </c>
      <c r="L33" s="6" t="s">
        <v>7</v>
      </c>
      <c r="Y33" s="2">
        <v>29</v>
      </c>
      <c r="Z33" s="2">
        <f t="shared" si="7"/>
        <v>5.9280496090651502E-2</v>
      </c>
      <c r="AA33" s="37">
        <f t="shared" si="0"/>
        <v>1.6868188026930575E-9</v>
      </c>
      <c r="AB33" s="2">
        <f t="shared" si="8"/>
        <v>5.9280497953296651E-2</v>
      </c>
      <c r="AC33" s="37">
        <f t="shared" si="1"/>
        <v>-1.5621464677373353E-9</v>
      </c>
      <c r="AD33" s="2">
        <f t="shared" si="2"/>
        <v>5.9280497021974077E-2</v>
      </c>
      <c r="AE33" s="37">
        <f t="shared" si="3"/>
        <v>6.2336157069520226E-11</v>
      </c>
      <c r="AF33" s="2">
        <f t="shared" si="4"/>
        <v>1.0514980183249448E-19</v>
      </c>
      <c r="AG33" s="2">
        <f t="shared" si="5"/>
        <v>-9.7378207578470746E-20</v>
      </c>
      <c r="AH33" s="2">
        <f t="shared" si="6"/>
        <v>1.862645149230957E-9</v>
      </c>
      <c r="AJ33" s="2">
        <v>29</v>
      </c>
      <c r="AK33" s="2">
        <f t="shared" si="13"/>
        <v>3132.2288997471333</v>
      </c>
      <c r="AL33" s="2">
        <v>-1.6506755855516531E-6</v>
      </c>
      <c r="AM33" s="2">
        <f t="shared" si="14"/>
        <v>3132.2289165109396</v>
      </c>
      <c r="AN33" s="2">
        <v>2.3652178242627997E-6</v>
      </c>
      <c r="AO33" s="2">
        <f t="shared" si="9"/>
        <v>3132.2289081290364</v>
      </c>
      <c r="AP33" s="2">
        <v>-1.4627880773332436E-6</v>
      </c>
      <c r="AQ33" s="2">
        <f t="shared" si="10"/>
        <v>2.4145885660900286E-12</v>
      </c>
      <c r="AR33" s="2">
        <f t="shared" si="11"/>
        <v>-3.4598124336276983E-12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201.49</v>
      </c>
      <c r="L34" s="6" t="s">
        <v>7</v>
      </c>
      <c r="Y34" s="2">
        <v>30</v>
      </c>
      <c r="Z34" s="2">
        <f t="shared" si="7"/>
        <v>5.9280497021974077E-2</v>
      </c>
      <c r="AA34" s="37">
        <f t="shared" si="0"/>
        <v>6.2336157069520226E-11</v>
      </c>
      <c r="AB34" s="2">
        <f t="shared" si="8"/>
        <v>5.9280497953296651E-2</v>
      </c>
      <c r="AC34" s="37">
        <f t="shared" si="1"/>
        <v>-1.5621464677373353E-9</v>
      </c>
      <c r="AD34" s="5">
        <f xml:space="preserve"> (Z34 + AB34)/2</f>
        <v>5.9280497487635364E-2</v>
      </c>
      <c r="AE34" s="37">
        <f xml:space="preserve"> $O$21 * TAN($O$18/180*PI()) + $O$22 / (2 * SQRT($O$21^2 + AD34^2)) - AD34</f>
        <v>-7.4990515880335451E-10</v>
      </c>
      <c r="AF34" s="2">
        <f t="shared" si="4"/>
        <v>-4.6746205766409415E-20</v>
      </c>
      <c r="AG34" s="2">
        <f t="shared" si="5"/>
        <v>1.1714616949626658E-18</v>
      </c>
      <c r="AH34" s="2">
        <f>AB34-Z34</f>
        <v>9.3132257461547852E-10</v>
      </c>
      <c r="AJ34" s="2">
        <v>30</v>
      </c>
      <c r="AK34" s="2">
        <f t="shared" si="13"/>
        <v>3132.2289081290364</v>
      </c>
      <c r="AL34" s="2">
        <v>-1.4627880773332436E-6</v>
      </c>
      <c r="AM34" s="2">
        <f t="shared" si="14"/>
        <v>3132.2289165109396</v>
      </c>
      <c r="AN34" s="2">
        <v>2.3652178242627997E-6</v>
      </c>
      <c r="AO34" s="2">
        <f t="shared" si="9"/>
        <v>3132.228912319988</v>
      </c>
      <c r="AP34" s="2">
        <v>4.5121169023332186E-7</v>
      </c>
      <c r="AQ34" s="2">
        <f t="shared" si="10"/>
        <v>-6.6002708082668396E-13</v>
      </c>
      <c r="AR34" s="2">
        <f t="shared" si="11"/>
        <v>1.0672139322555979E-12</v>
      </c>
      <c r="AS34" s="2">
        <f t="shared" si="12"/>
        <v>8.3819031715393066E-6</v>
      </c>
    </row>
    <row r="35" spans="2:45" x14ac:dyDescent="0.2">
      <c r="B35" s="58" t="s">
        <v>2</v>
      </c>
      <c r="C35" s="58"/>
      <c r="D35" s="58"/>
      <c r="F35" s="54" t="s">
        <v>289</v>
      </c>
      <c r="G35" s="57"/>
      <c r="H35" s="57"/>
      <c r="J35" s="15" t="s">
        <v>73</v>
      </c>
      <c r="K35" s="6">
        <f>ROUND(SUM(K23:K26),2)</f>
        <v>154.4</v>
      </c>
      <c r="L35" s="6" t="s">
        <v>7</v>
      </c>
      <c r="AJ35" s="2">
        <v>31</v>
      </c>
      <c r="AK35" s="2">
        <f t="shared" si="13"/>
        <v>3132.2289081290364</v>
      </c>
      <c r="AL35" s="2">
        <v>-1.4627880773332436E-6</v>
      </c>
      <c r="AM35" s="2">
        <f t="shared" si="14"/>
        <v>3132.228912319988</v>
      </c>
      <c r="AN35" s="2">
        <v>4.5121169023332186E-7</v>
      </c>
      <c r="AO35" s="2">
        <f t="shared" si="9"/>
        <v>3132.2289102245122</v>
      </c>
      <c r="AP35" s="2">
        <v>-5.0578455557115376E-7</v>
      </c>
      <c r="AQ35" s="2">
        <f t="shared" si="10"/>
        <v>7.3985561758877709E-13</v>
      </c>
      <c r="AR35" s="2">
        <f t="shared" si="11"/>
        <v>-2.282159042131698E-13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3132.23</v>
      </c>
      <c r="L36" s="6" t="s">
        <v>7</v>
      </c>
      <c r="Y36" s="16" t="s">
        <v>96</v>
      </c>
      <c r="AJ36" s="2">
        <v>32</v>
      </c>
      <c r="AK36" s="2">
        <f t="shared" si="13"/>
        <v>3132.2289102245122</v>
      </c>
      <c r="AL36" s="2">
        <v>-5.0578455557115376E-7</v>
      </c>
      <c r="AM36" s="2">
        <f t="shared" si="14"/>
        <v>3132.228912319988</v>
      </c>
      <c r="AN36" s="2">
        <v>4.5121169023332186E-7</v>
      </c>
      <c r="AO36" s="2">
        <f t="shared" si="9"/>
        <v>3132.2289112722501</v>
      </c>
      <c r="AP36" s="2">
        <v>-2.7285295800538734E-8</v>
      </c>
      <c r="AQ36" s="2">
        <f t="shared" si="10"/>
        <v>1.3800481210102951E-14</v>
      </c>
      <c r="AR36" s="2">
        <f t="shared" si="11"/>
        <v>-1.2311444436677241E-14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244.14259075005148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3132.2289112722501</v>
      </c>
      <c r="AL37" s="2">
        <v>-2.7285295800538734E-8</v>
      </c>
      <c r="AM37" s="2">
        <f t="shared" si="14"/>
        <v>3132.228912319988</v>
      </c>
      <c r="AN37" s="2">
        <v>4.5121169023332186E-7</v>
      </c>
      <c r="AO37" s="2">
        <f t="shared" si="9"/>
        <v>3132.2289117961191</v>
      </c>
      <c r="AP37" s="2">
        <v>2.1196365196374245E-7</v>
      </c>
      <c r="AQ37" s="2">
        <f t="shared" si="10"/>
        <v>-5.7834909427931556E-15</v>
      </c>
      <c r="AR37" s="2">
        <f t="shared" si="11"/>
        <v>9.5640477670587803E-14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8" t="s">
        <v>59</v>
      </c>
      <c r="K38" s="58"/>
      <c r="L38" s="58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1.9722801576332622E-2</v>
      </c>
      <c r="AB38" s="3">
        <v>1</v>
      </c>
      <c r="AC38" s="2">
        <f t="shared" ref="AC38:AC68" si="16" xml:space="preserve"> $S$21 * TAN($S$18/180*PI()) + $S$22 / (2 * SQRT($S$21^2 + AB38^2)) - AB38</f>
        <v>-0.9862626967130016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-0.48455569244468499</v>
      </c>
      <c r="AF38" s="2">
        <f>AA38*AE38</f>
        <v>-9.556795774768978E-3</v>
      </c>
      <c r="AG38" s="2">
        <f>AC38*AE38</f>
        <v>0.47789920393813085</v>
      </c>
      <c r="AH38" s="2">
        <f>AB38-Z38</f>
        <v>1</v>
      </c>
      <c r="AJ38" s="2">
        <v>34</v>
      </c>
      <c r="AK38" s="2">
        <f t="shared" si="13"/>
        <v>3132.2289112722501</v>
      </c>
      <c r="AL38" s="2">
        <v>-2.7285295800538734E-8</v>
      </c>
      <c r="AM38" s="2">
        <f t="shared" si="14"/>
        <v>3132.2289117961191</v>
      </c>
      <c r="AN38" s="2">
        <v>2.1196365196374245E-7</v>
      </c>
      <c r="AO38" s="2">
        <f t="shared" si="9"/>
        <v>3132.2289115341846</v>
      </c>
      <c r="AP38" s="2">
        <v>9.2341906565707177E-8</v>
      </c>
      <c r="AQ38" s="2">
        <f t="shared" si="10"/>
        <v>-2.5195762354310301E-15</v>
      </c>
      <c r="AR38" s="2">
        <f t="shared" si="11"/>
        <v>1.957312774496198E-14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19.16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1.9722801576332622E-2</v>
      </c>
      <c r="AB39" s="2">
        <f>IF(AG38&gt;0, AD38, AB38)</f>
        <v>0.5</v>
      </c>
      <c r="AC39" s="2">
        <f t="shared" si="16"/>
        <v>-0.48455569244468499</v>
      </c>
      <c r="AD39" s="2">
        <f t="shared" ref="AD39:AD68" si="18" xml:space="preserve"> (Z39 + AB39)/2</f>
        <v>0.25</v>
      </c>
      <c r="AE39" s="2">
        <f t="shared" si="17"/>
        <v>-0.23247078093640278</v>
      </c>
      <c r="AF39" s="2">
        <f t="shared" ref="AF39:AF68" si="19">AA39*AE39</f>
        <v>-4.5849750847037603E-3</v>
      </c>
      <c r="AG39" s="2">
        <f t="shared" ref="AG39:AG68" si="20">AC39*AE39</f>
        <v>0.11264504022979532</v>
      </c>
      <c r="AH39" s="2">
        <f t="shared" ref="AH39:AH67" si="21">AB39-Z39</f>
        <v>0.5</v>
      </c>
      <c r="AJ39" s="2">
        <v>35</v>
      </c>
      <c r="AK39" s="2">
        <f t="shared" si="13"/>
        <v>3132.2289112722501</v>
      </c>
      <c r="AL39" s="2">
        <v>-2.7285295800538734E-8</v>
      </c>
      <c r="AM39" s="2">
        <f t="shared" si="14"/>
        <v>3132.2289115341846</v>
      </c>
      <c r="AN39" s="2">
        <v>9.2341906565707177E-8</v>
      </c>
      <c r="AO39" s="2">
        <f t="shared" si="9"/>
        <v>3132.2289114032174</v>
      </c>
      <c r="AP39" s="2">
        <v>3.2524894777452573E-8</v>
      </c>
      <c r="AQ39" s="2">
        <f t="shared" si="10"/>
        <v>-8.8745137488419088E-16</v>
      </c>
      <c r="AR39" s="2">
        <f t="shared" si="11"/>
        <v>3.0034107945989828E-15</v>
      </c>
      <c r="AS39" s="2">
        <f t="shared" si="12"/>
        <v>2.6193447411060333E-7</v>
      </c>
    </row>
    <row r="40" spans="2:45" x14ac:dyDescent="0.2">
      <c r="B40" s="58" t="s">
        <v>272</v>
      </c>
      <c r="C40" s="60"/>
      <c r="D40" s="60"/>
      <c r="J40" s="11" t="s">
        <v>55</v>
      </c>
      <c r="K40" s="6">
        <f>ROUND(K13/$C$5 * 100, 2)</f>
        <v>45.94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1.9722801576332622E-2</v>
      </c>
      <c r="AB40" s="2">
        <f t="shared" ref="AB40:AB68" si="23">IF(AG39&gt;0, AD39, AB39)</f>
        <v>0.25</v>
      </c>
      <c r="AC40" s="2">
        <f t="shared" si="16"/>
        <v>-0.23247078093640278</v>
      </c>
      <c r="AD40" s="2">
        <f t="shared" si="18"/>
        <v>0.125</v>
      </c>
      <c r="AE40" s="2">
        <f t="shared" si="17"/>
        <v>-0.10604620754661066</v>
      </c>
      <c r="AF40" s="2">
        <f t="shared" si="19"/>
        <v>-2.0915283093643892E-3</v>
      </c>
      <c r="AG40" s="2">
        <f t="shared" si="20"/>
        <v>2.4652644683704431E-2</v>
      </c>
      <c r="AH40" s="2">
        <f t="shared" si="21"/>
        <v>0.25</v>
      </c>
      <c r="AJ40" s="2">
        <v>36</v>
      </c>
      <c r="AK40" s="2">
        <f t="shared" si="13"/>
        <v>3132.2289112722501</v>
      </c>
      <c r="AL40" s="2">
        <v>-2.7285295800538734E-8</v>
      </c>
      <c r="AM40" s="2">
        <f t="shared" si="14"/>
        <v>3132.2289114032174</v>
      </c>
      <c r="AN40" s="2">
        <v>3.2524894777452573E-8</v>
      </c>
      <c r="AO40" s="2">
        <f t="shared" si="9"/>
        <v>3132.2289113377337</v>
      </c>
      <c r="AP40" s="2">
        <v>2.6188899937551469E-9</v>
      </c>
      <c r="AQ40" s="2">
        <f t="shared" si="10"/>
        <v>-7.1457188148680219E-17</v>
      </c>
      <c r="AR40" s="2">
        <f t="shared" si="11"/>
        <v>8.5179121480609578E-17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23.54</v>
      </c>
      <c r="L41" s="6" t="s">
        <v>61</v>
      </c>
      <c r="Y41" s="2">
        <v>3</v>
      </c>
      <c r="Z41" s="2">
        <f t="shared" si="22"/>
        <v>0</v>
      </c>
      <c r="AA41" s="2">
        <f t="shared" si="15"/>
        <v>1.9722801576332622E-2</v>
      </c>
      <c r="AB41" s="2">
        <f t="shared" si="23"/>
        <v>0.125</v>
      </c>
      <c r="AC41" s="2">
        <f t="shared" si="16"/>
        <v>-0.10604620754661066</v>
      </c>
      <c r="AD41" s="2">
        <f t="shared" si="18"/>
        <v>6.25E-2</v>
      </c>
      <c r="AE41" s="2">
        <f t="shared" si="17"/>
        <v>-4.2992072050472917E-2</v>
      </c>
      <c r="AF41" s="2">
        <f t="shared" si="19"/>
        <v>-8.479241064068729E-4</v>
      </c>
      <c r="AG41" s="2">
        <f t="shared" si="20"/>
        <v>4.5591461955232903E-3</v>
      </c>
      <c r="AH41" s="2">
        <f t="shared" si="21"/>
        <v>0.125</v>
      </c>
      <c r="AJ41" s="2">
        <v>37</v>
      </c>
      <c r="AK41" s="2">
        <f t="shared" si="13"/>
        <v>3132.2289112722501</v>
      </c>
      <c r="AL41" s="2">
        <v>-2.7285295800538734E-8</v>
      </c>
      <c r="AM41" s="2">
        <f t="shared" si="14"/>
        <v>3132.2289113377337</v>
      </c>
      <c r="AN41" s="2">
        <v>2.6188899937551469E-9</v>
      </c>
      <c r="AO41" s="2">
        <f t="shared" si="9"/>
        <v>3132.2289113049919</v>
      </c>
      <c r="AP41" s="2">
        <v>-1.233229340869002E-8</v>
      </c>
      <c r="AQ41" s="2">
        <f t="shared" si="10"/>
        <v>3.3649027355514132E-16</v>
      </c>
      <c r="AR41" s="2">
        <f t="shared" si="11"/>
        <v>-3.2296919808070846E-17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Y42" s="2">
        <v>4</v>
      </c>
      <c r="Z42" s="2">
        <f t="shared" si="22"/>
        <v>0</v>
      </c>
      <c r="AA42" s="2">
        <f t="shared" si="15"/>
        <v>1.9722801576332622E-2</v>
      </c>
      <c r="AB42" s="2">
        <f t="shared" si="23"/>
        <v>6.25E-2</v>
      </c>
      <c r="AC42" s="2">
        <f t="shared" si="16"/>
        <v>-4.2992072050472917E-2</v>
      </c>
      <c r="AD42" s="2">
        <f t="shared" si="18"/>
        <v>3.125E-2</v>
      </c>
      <c r="AE42" s="2">
        <f t="shared" si="17"/>
        <v>-1.1582570912326434E-2</v>
      </c>
      <c r="AF42" s="2">
        <f t="shared" si="19"/>
        <v>-2.2844074784761616E-4</v>
      </c>
      <c r="AG42" s="2">
        <f t="shared" si="20"/>
        <v>4.9795872319244989E-4</v>
      </c>
      <c r="AH42" s="2">
        <f t="shared" si="21"/>
        <v>6.25E-2</v>
      </c>
      <c r="AJ42" s="2">
        <v>38</v>
      </c>
      <c r="AK42" s="2">
        <f t="shared" si="13"/>
        <v>3132.2289113049919</v>
      </c>
      <c r="AL42" s="2">
        <v>-1.233229340869002E-8</v>
      </c>
      <c r="AM42" s="2">
        <f t="shared" si="14"/>
        <v>3132.2289113377337</v>
      </c>
      <c r="AN42" s="2">
        <v>2.6188899937551469E-9</v>
      </c>
      <c r="AO42" s="2">
        <f t="shared" si="9"/>
        <v>3132.2289113213628</v>
      </c>
      <c r="AP42" s="2">
        <v>-4.8548827180638909E-9</v>
      </c>
      <c r="AQ42" s="2">
        <f t="shared" si="10"/>
        <v>5.9871838143942413E-17</v>
      </c>
      <c r="AR42" s="2">
        <f t="shared" si="11"/>
        <v>-1.2714403771192314E-17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Y43" s="2">
        <v>5</v>
      </c>
      <c r="Z43" s="2">
        <f t="shared" si="22"/>
        <v>0</v>
      </c>
      <c r="AA43" s="2">
        <f t="shared" si="15"/>
        <v>1.9722801576332622E-2</v>
      </c>
      <c r="AB43" s="2">
        <f t="shared" si="23"/>
        <v>3.125E-2</v>
      </c>
      <c r="AC43" s="2">
        <f t="shared" si="16"/>
        <v>-1.1582570912326434E-2</v>
      </c>
      <c r="AD43" s="2">
        <f t="shared" si="18"/>
        <v>1.5625E-2</v>
      </c>
      <c r="AE43" s="2">
        <f t="shared" si="17"/>
        <v>4.083850607786467E-3</v>
      </c>
      <c r="AF43" s="2">
        <f t="shared" si="19"/>
        <v>8.0544975204757869E-5</v>
      </c>
      <c r="AG43" s="2">
        <f t="shared" si="20"/>
        <v>-4.7301489260034159E-5</v>
      </c>
      <c r="AH43" s="2">
        <f t="shared" si="21"/>
        <v>3.125E-2</v>
      </c>
      <c r="AJ43" s="2">
        <v>39</v>
      </c>
      <c r="AK43" s="2">
        <f t="shared" si="13"/>
        <v>3132.2289113213628</v>
      </c>
      <c r="AL43" s="2">
        <v>-4.8548827180638909E-9</v>
      </c>
      <c r="AM43" s="2">
        <f t="shared" si="14"/>
        <v>3132.2289113377337</v>
      </c>
      <c r="AN43" s="2">
        <v>2.6188899937551469E-9</v>
      </c>
      <c r="AO43" s="2">
        <f t="shared" si="9"/>
        <v>3132.2289113295483</v>
      </c>
      <c r="AP43" s="2">
        <v>-1.1159499990753829E-9</v>
      </c>
      <c r="AQ43" s="2">
        <f t="shared" si="10"/>
        <v>5.4178063647344917E-18</v>
      </c>
      <c r="AR43" s="2">
        <f t="shared" si="11"/>
        <v>-2.9225502861095858E-18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4.083850607786467E-3</v>
      </c>
      <c r="AB44" s="2">
        <f t="shared" si="23"/>
        <v>3.125E-2</v>
      </c>
      <c r="AC44" s="2">
        <f t="shared" si="16"/>
        <v>-1.1582570912326434E-2</v>
      </c>
      <c r="AD44" s="2">
        <f t="shared" si="18"/>
        <v>2.34375E-2</v>
      </c>
      <c r="AE44" s="2">
        <f t="shared" si="17"/>
        <v>-3.7459864881630861E-3</v>
      </c>
      <c r="AF44" s="2">
        <f t="shared" si="19"/>
        <v>-1.5298049196444714E-5</v>
      </c>
      <c r="AG44" s="2">
        <f t="shared" si="20"/>
        <v>4.3388154135765612E-5</v>
      </c>
      <c r="AH44" s="2">
        <f t="shared" si="21"/>
        <v>1.5625E-2</v>
      </c>
      <c r="AJ44" s="2">
        <v>40</v>
      </c>
      <c r="AK44" s="2">
        <f t="shared" si="13"/>
        <v>3132.2289113295483</v>
      </c>
      <c r="AL44" s="2">
        <v>-1.1159499990753829E-9</v>
      </c>
      <c r="AM44" s="2">
        <f t="shared" si="14"/>
        <v>3132.2289113377337</v>
      </c>
      <c r="AN44" s="2">
        <v>2.6188899937551469E-9</v>
      </c>
      <c r="AO44" s="5">
        <f>(AK44+AM44)/2</f>
        <v>3132.228911333641</v>
      </c>
      <c r="AP44" s="2">
        <v>7.5306161306798458E-10</v>
      </c>
      <c r="AQ44" s="2">
        <f t="shared" si="10"/>
        <v>-8.4037910640692378E-19</v>
      </c>
      <c r="AR44" s="2">
        <f t="shared" si="11"/>
        <v>1.972185523144855E-18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1.5625E-2</v>
      </c>
      <c r="AA45" s="2">
        <f t="shared" si="15"/>
        <v>4.083850607786467E-3</v>
      </c>
      <c r="AB45" s="2">
        <f t="shared" si="23"/>
        <v>2.34375E-2</v>
      </c>
      <c r="AC45" s="2">
        <f t="shared" si="16"/>
        <v>-3.7459864881630861E-3</v>
      </c>
      <c r="AD45" s="2">
        <f t="shared" si="18"/>
        <v>1.953125E-2</v>
      </c>
      <c r="AE45" s="2">
        <f t="shared" si="17"/>
        <v>1.6978500550215297E-4</v>
      </c>
      <c r="AF45" s="2">
        <f t="shared" si="19"/>
        <v>6.9337659791299608E-7</v>
      </c>
      <c r="AG45" s="2">
        <f t="shared" si="20"/>
        <v>-6.3601233650376024E-7</v>
      </c>
      <c r="AH45" s="2">
        <f t="shared" si="21"/>
        <v>7.8125E-3</v>
      </c>
    </row>
    <row r="46" spans="2:45" x14ac:dyDescent="0.2">
      <c r="B46" s="58" t="s">
        <v>273</v>
      </c>
      <c r="C46" s="60"/>
      <c r="D46" s="60"/>
      <c r="J46" s="58" t="s">
        <v>59</v>
      </c>
      <c r="K46" s="58"/>
      <c r="L46" s="58"/>
      <c r="Y46" s="2">
        <v>8</v>
      </c>
      <c r="Z46" s="2">
        <f t="shared" si="22"/>
        <v>1.953125E-2</v>
      </c>
      <c r="AA46" s="2">
        <f t="shared" si="15"/>
        <v>1.6978500550215297E-4</v>
      </c>
      <c r="AB46" s="2">
        <f t="shared" si="23"/>
        <v>2.34375E-2</v>
      </c>
      <c r="AC46" s="2">
        <f t="shared" si="16"/>
        <v>-3.7459864881630861E-3</v>
      </c>
      <c r="AD46" s="2">
        <f t="shared" si="18"/>
        <v>2.1484375E-2</v>
      </c>
      <c r="AE46" s="2">
        <f t="shared" si="17"/>
        <v>-1.7878885740978678E-3</v>
      </c>
      <c r="AF46" s="2">
        <f t="shared" si="19"/>
        <v>-3.035566713904429E-7</v>
      </c>
      <c r="AG46" s="2">
        <f t="shared" si="20"/>
        <v>6.6974064409117794E-6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1.6978500550215297E-4</v>
      </c>
      <c r="AB47" s="2">
        <f t="shared" si="23"/>
        <v>2.1484375E-2</v>
      </c>
      <c r="AC47" s="2">
        <f t="shared" si="16"/>
        <v>-1.7878885740978678E-3</v>
      </c>
      <c r="AD47" s="2">
        <f t="shared" si="18"/>
        <v>2.05078125E-2</v>
      </c>
      <c r="AE47" s="2">
        <f t="shared" si="17"/>
        <v>-8.0899860108235924E-4</v>
      </c>
      <c r="AF47" s="2">
        <f t="shared" si="19"/>
        <v>-1.3735583193600243E-7</v>
      </c>
      <c r="AG47" s="2">
        <f t="shared" si="20"/>
        <v>1.4463993553363091E-6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Y48" s="2">
        <v>10</v>
      </c>
      <c r="Z48" s="2">
        <f t="shared" si="22"/>
        <v>1.953125E-2</v>
      </c>
      <c r="AA48" s="2">
        <f t="shared" si="15"/>
        <v>1.6978500550215297E-4</v>
      </c>
      <c r="AB48" s="2">
        <f t="shared" si="23"/>
        <v>2.05078125E-2</v>
      </c>
      <c r="AC48" s="2">
        <f t="shared" si="16"/>
        <v>-8.0899860108235924E-4</v>
      </c>
      <c r="AD48" s="2">
        <f t="shared" si="18"/>
        <v>2.001953125E-2</v>
      </c>
      <c r="AE48" s="2">
        <f t="shared" si="17"/>
        <v>-3.1959348498480575E-4</v>
      </c>
      <c r="AF48" s="2">
        <f t="shared" si="19"/>
        <v>-5.4262181606597485E-8</v>
      </c>
      <c r="AG48" s="2">
        <f t="shared" si="20"/>
        <v>2.5855068226774381E-7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  <c r="Y49" s="2">
        <v>11</v>
      </c>
      <c r="Z49" s="2">
        <f t="shared" si="22"/>
        <v>1.953125E-2</v>
      </c>
      <c r="AA49" s="2">
        <f t="shared" si="15"/>
        <v>1.6978500550215297E-4</v>
      </c>
      <c r="AB49" s="2">
        <f t="shared" si="23"/>
        <v>2.001953125E-2</v>
      </c>
      <c r="AC49" s="2">
        <f t="shared" si="16"/>
        <v>-3.1959348498480575E-4</v>
      </c>
      <c r="AD49" s="2">
        <f t="shared" si="18"/>
        <v>1.9775390625E-2</v>
      </c>
      <c r="AE49" s="2">
        <f t="shared" si="17"/>
        <v>-7.4900909457213671E-5</v>
      </c>
      <c r="AF49" s="2">
        <f t="shared" si="19"/>
        <v>-1.2717051324309285E-8</v>
      </c>
      <c r="AG49" s="2">
        <f t="shared" si="20"/>
        <v>2.3937842681962311E-8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1.953125E-2</v>
      </c>
      <c r="AA50" s="2">
        <f t="shared" si="15"/>
        <v>1.6978500550215297E-4</v>
      </c>
      <c r="AB50" s="2">
        <f t="shared" si="23"/>
        <v>1.9775390625E-2</v>
      </c>
      <c r="AC50" s="2">
        <f t="shared" si="16"/>
        <v>-7.4900909457213671E-5</v>
      </c>
      <c r="AD50" s="2">
        <f t="shared" si="18"/>
        <v>1.96533203125E-2</v>
      </c>
      <c r="AE50" s="2">
        <f t="shared" si="17"/>
        <v>4.7442880851188834E-5</v>
      </c>
      <c r="AF50" s="2">
        <f t="shared" si="19"/>
        <v>8.055089786357084E-9</v>
      </c>
      <c r="AG50" s="2">
        <f t="shared" si="20"/>
        <v>-3.5535149230242712E-9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1.96533203125E-2</v>
      </c>
      <c r="AA51" s="2">
        <f t="shared" si="15"/>
        <v>4.7442880851188834E-5</v>
      </c>
      <c r="AB51" s="2">
        <f t="shared" si="23"/>
        <v>1.9775390625E-2</v>
      </c>
      <c r="AC51" s="2">
        <f t="shared" si="16"/>
        <v>-7.4900909457213671E-5</v>
      </c>
      <c r="AD51" s="2">
        <f t="shared" si="18"/>
        <v>1.971435546875E-2</v>
      </c>
      <c r="AE51" s="2">
        <f t="shared" si="17"/>
        <v>-1.3728806127925874E-5</v>
      </c>
      <c r="AF51" s="2">
        <f t="shared" si="19"/>
        <v>-6.5133411335625842E-10</v>
      </c>
      <c r="AG51" s="2">
        <f t="shared" si="20"/>
        <v>1.0283000647434161E-9</v>
      </c>
      <c r="AH51" s="2">
        <f t="shared" si="21"/>
        <v>1.220703125E-4</v>
      </c>
    </row>
    <row r="52" spans="2:34" x14ac:dyDescent="0.2">
      <c r="B52" s="58" t="s">
        <v>74</v>
      </c>
      <c r="C52" s="58"/>
      <c r="D52" s="58"/>
      <c r="Y52" s="2">
        <v>14</v>
      </c>
      <c r="Z52" s="2">
        <f t="shared" si="22"/>
        <v>1.96533203125E-2</v>
      </c>
      <c r="AA52" s="2">
        <f t="shared" si="15"/>
        <v>4.7442880851188834E-5</v>
      </c>
      <c r="AB52" s="2">
        <f t="shared" si="23"/>
        <v>1.971435546875E-2</v>
      </c>
      <c r="AC52" s="2">
        <f t="shared" si="16"/>
        <v>-1.3728806127925874E-5</v>
      </c>
      <c r="AD52" s="2">
        <f t="shared" si="18"/>
        <v>1.9683837890625E-2</v>
      </c>
      <c r="AE52" s="2">
        <f t="shared" si="17"/>
        <v>1.6857089409422904E-5</v>
      </c>
      <c r="AF52" s="2">
        <f t="shared" si="19"/>
        <v>7.9974888434908801E-10</v>
      </c>
      <c r="AG52" s="2">
        <f t="shared" si="20"/>
        <v>-2.3142771238307954E-10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1.9683837890625E-2</v>
      </c>
      <c r="AA53" s="2">
        <f t="shared" si="15"/>
        <v>1.6857089409422904E-5</v>
      </c>
      <c r="AB53" s="2">
        <f t="shared" si="23"/>
        <v>1.971435546875E-2</v>
      </c>
      <c r="AC53" s="2">
        <f t="shared" si="16"/>
        <v>-1.3728806127925874E-5</v>
      </c>
      <c r="AD53" s="2">
        <f t="shared" si="18"/>
        <v>1.96990966796875E-2</v>
      </c>
      <c r="AE53" s="2">
        <f t="shared" si="17"/>
        <v>1.5641546521928673E-6</v>
      </c>
      <c r="AF53" s="2">
        <f t="shared" si="19"/>
        <v>2.6367094822179948E-11</v>
      </c>
      <c r="AG53" s="2">
        <f t="shared" si="20"/>
        <v>-2.1473975974049201E-11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1.96990966796875E-2</v>
      </c>
      <c r="AA54" s="2">
        <f t="shared" si="15"/>
        <v>1.5641546521928673E-6</v>
      </c>
      <c r="AB54" s="2">
        <f t="shared" si="23"/>
        <v>1.971435546875E-2</v>
      </c>
      <c r="AC54" s="2">
        <f t="shared" si="16"/>
        <v>-1.3728806127925874E-5</v>
      </c>
      <c r="AD54" s="2">
        <f t="shared" si="18"/>
        <v>1.970672607421875E-2</v>
      </c>
      <c r="AE54" s="2">
        <f t="shared" si="17"/>
        <v>-6.0823224850674318E-6</v>
      </c>
      <c r="AF54" s="2">
        <f t="shared" si="19"/>
        <v>-9.5136930111555053E-12</v>
      </c>
      <c r="AG54" s="2">
        <f t="shared" si="20"/>
        <v>8.3503026205015084E-11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1.96990966796875E-2</v>
      </c>
      <c r="AA55" s="2">
        <f t="shared" si="15"/>
        <v>1.5641546521928673E-6</v>
      </c>
      <c r="AB55" s="2">
        <f t="shared" si="23"/>
        <v>1.970672607421875E-2</v>
      </c>
      <c r="AC55" s="2">
        <f t="shared" si="16"/>
        <v>-6.0823224850674318E-6</v>
      </c>
      <c r="AD55" s="2">
        <f t="shared" si="18"/>
        <v>1.9702911376953125E-2</v>
      </c>
      <c r="AE55" s="2">
        <f t="shared" si="17"/>
        <v>-2.2590831032301417E-6</v>
      </c>
      <c r="AF55" s="2">
        <f t="shared" si="19"/>
        <v>-3.5335553456077258E-12</v>
      </c>
      <c r="AG55" s="2">
        <f t="shared" si="20"/>
        <v>1.3740471954412602E-11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1.96990966796875E-2</v>
      </c>
      <c r="AA56" s="2">
        <f t="shared" si="15"/>
        <v>1.5641546521928673E-6</v>
      </c>
      <c r="AB56" s="2">
        <f t="shared" si="23"/>
        <v>1.9702911376953125E-2</v>
      </c>
      <c r="AC56" s="2">
        <f t="shared" si="16"/>
        <v>-2.2590831032301417E-6</v>
      </c>
      <c r="AD56" s="2">
        <f t="shared" si="18"/>
        <v>1.9701004028320312E-2</v>
      </c>
      <c r="AE56" s="2">
        <f t="shared" si="17"/>
        <v>-3.4746402221424999E-7</v>
      </c>
      <c r="AF56" s="2">
        <f t="shared" si="19"/>
        <v>-5.4348746681606495E-13</v>
      </c>
      <c r="AG56" s="2">
        <f t="shared" si="20"/>
        <v>7.8495010156459472E-13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1.96990966796875E-2</v>
      </c>
      <c r="AA57" s="2">
        <f t="shared" si="15"/>
        <v>1.5641546521928673E-6</v>
      </c>
      <c r="AB57" s="2">
        <f t="shared" si="23"/>
        <v>1.9701004028320312E-2</v>
      </c>
      <c r="AC57" s="2">
        <f t="shared" si="16"/>
        <v>-3.4746402221424999E-7</v>
      </c>
      <c r="AD57" s="2">
        <f t="shared" si="18"/>
        <v>1.9700050354003906E-2</v>
      </c>
      <c r="AE57" s="2">
        <f t="shared" si="17"/>
        <v>6.0834536581497178E-7</v>
      </c>
      <c r="AF57" s="2">
        <f t="shared" si="19"/>
        <v>9.5154623407945991E-13</v>
      </c>
      <c r="AG57" s="2">
        <f t="shared" si="20"/>
        <v>-2.113781277014694E-13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1.9700050354003906E-2</v>
      </c>
      <c r="AA58" s="2">
        <f t="shared" si="15"/>
        <v>6.0834536581497178E-7</v>
      </c>
      <c r="AB58" s="2">
        <f t="shared" si="23"/>
        <v>1.9701004028320312E-2</v>
      </c>
      <c r="AC58" s="2">
        <f t="shared" si="16"/>
        <v>-3.4746402221424999E-7</v>
      </c>
      <c r="AD58" s="2">
        <f t="shared" si="18"/>
        <v>1.9700527191162109E-2</v>
      </c>
      <c r="AE58" s="2">
        <f t="shared" si="17"/>
        <v>1.3044068450721036E-7</v>
      </c>
      <c r="AF58" s="2">
        <f t="shared" si="19"/>
        <v>7.9352985933694212E-14</v>
      </c>
      <c r="AG58" s="2">
        <f t="shared" si="20"/>
        <v>-4.5323444899255313E-14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1.9700527191162109E-2</v>
      </c>
      <c r="AA59" s="2">
        <f t="shared" si="15"/>
        <v>1.3044068450721036E-7</v>
      </c>
      <c r="AB59" s="2">
        <f t="shared" si="23"/>
        <v>1.9701004028320312E-2</v>
      </c>
      <c r="AC59" s="2">
        <f t="shared" si="16"/>
        <v>-3.4746402221424999E-7</v>
      </c>
      <c r="AD59" s="2">
        <f t="shared" si="18"/>
        <v>1.9700765609741211E-2</v>
      </c>
      <c r="AE59" s="2">
        <f t="shared" si="17"/>
        <v>-1.0851166567724113E-7</v>
      </c>
      <c r="AF59" s="2">
        <f t="shared" si="19"/>
        <v>-1.4154335947956898E-14</v>
      </c>
      <c r="AG59" s="2">
        <f t="shared" si="20"/>
        <v>3.7703899813382178E-14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1.9700527191162109E-2</v>
      </c>
      <c r="AA60" s="2">
        <f t="shared" si="15"/>
        <v>1.3044068450721036E-7</v>
      </c>
      <c r="AB60" s="2">
        <f t="shared" si="23"/>
        <v>1.9700765609741211E-2</v>
      </c>
      <c r="AC60" s="2">
        <f t="shared" si="16"/>
        <v>-1.0851166567724113E-7</v>
      </c>
      <c r="AD60" s="2">
        <f t="shared" si="18"/>
        <v>1.970064640045166E-2</v>
      </c>
      <c r="AE60" s="2">
        <f t="shared" si="17"/>
        <v>1.0964510209487965E-8</v>
      </c>
      <c r="AF60" s="2">
        <f t="shared" si="19"/>
        <v>1.4302182170119066E-15</v>
      </c>
      <c r="AG60" s="2">
        <f t="shared" si="20"/>
        <v>-1.1897772661666551E-15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1.970064640045166E-2</v>
      </c>
      <c r="AA61" s="2">
        <f t="shared" si="15"/>
        <v>1.0964510209487965E-8</v>
      </c>
      <c r="AB61" s="2">
        <f t="shared" si="23"/>
        <v>1.9700765609741211E-2</v>
      </c>
      <c r="AC61" s="2">
        <f t="shared" si="16"/>
        <v>-1.0851166567724113E-7</v>
      </c>
      <c r="AD61" s="2">
        <f t="shared" si="18"/>
        <v>1.9700706005096436E-2</v>
      </c>
      <c r="AE61" s="2">
        <f t="shared" si="17"/>
        <v>-4.877357753785283E-8</v>
      </c>
      <c r="AF61" s="2">
        <f t="shared" si="19"/>
        <v>-5.3477838886704021E-16</v>
      </c>
      <c r="AG61" s="2">
        <f t="shared" si="20"/>
        <v>5.2925021396704837E-15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1.970064640045166E-2</v>
      </c>
      <c r="AA62" s="2">
        <f t="shared" si="15"/>
        <v>1.0964510209487965E-8</v>
      </c>
      <c r="AB62" s="2">
        <f t="shared" si="23"/>
        <v>1.9700706005096436E-2</v>
      </c>
      <c r="AC62" s="2">
        <f t="shared" si="16"/>
        <v>-4.877357753785283E-8</v>
      </c>
      <c r="AD62" s="2">
        <f t="shared" si="18"/>
        <v>1.9700676202774048E-2</v>
      </c>
      <c r="AE62" s="2">
        <f t="shared" si="17"/>
        <v>-1.8904533612140728E-8</v>
      </c>
      <c r="AF62" s="2">
        <f t="shared" si="19"/>
        <v>-2.0727895179592543E-16</v>
      </c>
      <c r="AG62" s="2">
        <f t="shared" si="20"/>
        <v>9.220417359486908E-16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1.970064640045166E-2</v>
      </c>
      <c r="AA63" s="2">
        <f t="shared" si="15"/>
        <v>1.0964510209487965E-8</v>
      </c>
      <c r="AB63" s="2">
        <f t="shared" si="23"/>
        <v>1.9700676202774048E-2</v>
      </c>
      <c r="AC63" s="2">
        <f t="shared" si="16"/>
        <v>-1.8904533612140728E-8</v>
      </c>
      <c r="AD63" s="2">
        <f t="shared" si="18"/>
        <v>1.9700661301612854E-2</v>
      </c>
      <c r="AE63" s="2">
        <f t="shared" si="17"/>
        <v>-3.9700116909180405E-9</v>
      </c>
      <c r="AF63" s="2">
        <f t="shared" si="19"/>
        <v>-4.3529233716857437E-17</v>
      </c>
      <c r="AG63" s="2">
        <f t="shared" si="20"/>
        <v>7.5051219451551749E-17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1.970064640045166E-2</v>
      </c>
      <c r="AA64" s="2">
        <f t="shared" si="15"/>
        <v>1.0964510209487965E-8</v>
      </c>
      <c r="AB64" s="2">
        <f t="shared" si="23"/>
        <v>1.9700661301612854E-2</v>
      </c>
      <c r="AC64" s="2">
        <f t="shared" si="16"/>
        <v>-3.9700116909180405E-9</v>
      </c>
      <c r="AD64" s="2">
        <f t="shared" si="18"/>
        <v>1.9700653851032257E-2</v>
      </c>
      <c r="AE64" s="2">
        <f t="shared" si="17"/>
        <v>3.4972492610196859E-9</v>
      </c>
      <c r="AF64" s="2">
        <f t="shared" si="19"/>
        <v>3.834562522757459E-17</v>
      </c>
      <c r="AG64" s="2">
        <f t="shared" si="20"/>
        <v>-1.388412045230263E-17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1.9700653851032257E-2</v>
      </c>
      <c r="AA65" s="2">
        <f t="shared" si="15"/>
        <v>3.4972492610196859E-9</v>
      </c>
      <c r="AB65" s="2">
        <f t="shared" si="23"/>
        <v>1.9700661301612854E-2</v>
      </c>
      <c r="AC65" s="2">
        <f t="shared" si="16"/>
        <v>-3.9700116909180405E-9</v>
      </c>
      <c r="AD65" s="2">
        <f t="shared" si="18"/>
        <v>1.9700657576322556E-2</v>
      </c>
      <c r="AE65" s="2">
        <f t="shared" si="17"/>
        <v>-2.3638121321445382E-10</v>
      </c>
      <c r="AF65" s="2">
        <f t="shared" si="19"/>
        <v>-8.266840232331854E-19</v>
      </c>
      <c r="AG65" s="2">
        <f t="shared" si="20"/>
        <v>9.3843617997477166E-19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1.9700653851032257E-2</v>
      </c>
      <c r="AA66" s="2">
        <f t="shared" si="15"/>
        <v>3.4972492610196859E-9</v>
      </c>
      <c r="AB66" s="2">
        <f t="shared" si="23"/>
        <v>1.9700657576322556E-2</v>
      </c>
      <c r="AC66" s="2">
        <f t="shared" si="16"/>
        <v>-2.3638121321445382E-10</v>
      </c>
      <c r="AD66" s="2">
        <f t="shared" si="18"/>
        <v>1.9700655713677406E-2</v>
      </c>
      <c r="AE66" s="2">
        <f t="shared" si="17"/>
        <v>1.630434023902616E-9</v>
      </c>
      <c r="AF66" s="2">
        <f t="shared" si="19"/>
        <v>5.702034185234777E-18</v>
      </c>
      <c r="AG66" s="2">
        <f t="shared" si="20"/>
        <v>-3.8540397263622418E-19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1.9700655713677406E-2</v>
      </c>
      <c r="AA67" s="2">
        <f t="shared" si="15"/>
        <v>1.630434023902616E-9</v>
      </c>
      <c r="AB67" s="2">
        <f t="shared" si="23"/>
        <v>1.9700657576322556E-2</v>
      </c>
      <c r="AC67" s="2">
        <f t="shared" si="16"/>
        <v>-2.3638121321445382E-10</v>
      </c>
      <c r="AD67" s="2">
        <f t="shared" si="18"/>
        <v>1.9700656644999981E-2</v>
      </c>
      <c r="AE67" s="2">
        <f t="shared" si="17"/>
        <v>6.9702640534408111E-10</v>
      </c>
      <c r="AF67" s="2">
        <f t="shared" si="19"/>
        <v>1.1364555668315261E-18</v>
      </c>
      <c r="AG67" s="2">
        <f t="shared" si="20"/>
        <v>-1.6476394733774355E-19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1.9700656644999981E-2</v>
      </c>
      <c r="AA68" s="2">
        <f t="shared" si="15"/>
        <v>6.9702640534408111E-10</v>
      </c>
      <c r="AB68" s="2">
        <f t="shared" si="23"/>
        <v>1.9700657576322556E-2</v>
      </c>
      <c r="AC68" s="2">
        <f t="shared" si="16"/>
        <v>-2.3638121321445382E-10</v>
      </c>
      <c r="AD68" s="5">
        <f t="shared" si="18"/>
        <v>1.9700657110661268E-2</v>
      </c>
      <c r="AE68" s="2">
        <f t="shared" si="17"/>
        <v>2.3032259433009017E-10</v>
      </c>
      <c r="AF68" s="2">
        <f t="shared" si="19"/>
        <v>1.6054092999542579E-19</v>
      </c>
      <c r="AG68" s="2">
        <f t="shared" si="20"/>
        <v>-5.4443934278447197E-20</v>
      </c>
      <c r="AH68" s="2">
        <f>AB68-Z68</f>
        <v>9.3132257461547852E-10</v>
      </c>
    </row>
  </sheetData>
  <mergeCells count="26">
    <mergeCell ref="F35:H35"/>
    <mergeCell ref="B46:D46"/>
    <mergeCell ref="J46:L46"/>
    <mergeCell ref="B52:D52"/>
    <mergeCell ref="N3:P3"/>
    <mergeCell ref="N17:P17"/>
    <mergeCell ref="N13:P13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  <mergeCell ref="F16:H16"/>
    <mergeCell ref="R13:T13"/>
    <mergeCell ref="B17:D17"/>
    <mergeCell ref="R17:T17"/>
    <mergeCell ref="B1:D1"/>
    <mergeCell ref="B3:D3"/>
    <mergeCell ref="F3:H3"/>
    <mergeCell ref="J3:L3"/>
    <mergeCell ref="R3:T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6" t="s">
        <v>0</v>
      </c>
      <c r="C1" s="56"/>
      <c r="D1" s="56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2" t="s">
        <v>146</v>
      </c>
      <c r="AZ3" s="62"/>
      <c r="BA3" s="62"/>
      <c r="BB3"/>
      <c r="BC3" s="62" t="s">
        <v>147</v>
      </c>
      <c r="BD3" s="62"/>
      <c r="BE3" s="62"/>
      <c r="BF3"/>
      <c r="BG3" s="62" t="s">
        <v>146</v>
      </c>
      <c r="BH3" s="62"/>
      <c r="BI3" s="62"/>
      <c r="BJ3" s="2"/>
      <c r="BK3" s="62" t="s">
        <v>147</v>
      </c>
      <c r="BL3" s="62"/>
      <c r="BM3" s="62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570.78852060755344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1.9762026515959791E-2</v>
      </c>
      <c r="X4" s="3">
        <v>1</v>
      </c>
      <c r="Y4" s="2">
        <f t="shared" ref="Y4:Y34" si="1" xml:space="preserve"> $O$21 * TAN($O$18/180*PI()) + $O$22 / (2 * SQRT($O$21^2 + X4^2)) - X4</f>
        <v>-0.98591589126930079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-0.48429671986609402</v>
      </c>
      <c r="AB4" s="2">
        <f>W4*AA4</f>
        <v>-9.5706846195861006E-3</v>
      </c>
      <c r="AC4" s="2">
        <f>Y4*AA4</f>
        <v>0.47747583220557899</v>
      </c>
      <c r="AD4" s="2">
        <f>X4-V4</f>
        <v>1</v>
      </c>
      <c r="AF4" s="2">
        <v>0</v>
      </c>
      <c r="AG4" s="2"/>
      <c r="AH4" s="2">
        <f>K27</f>
        <v>1.2428598893166054E-5</v>
      </c>
      <c r="AI4" s="2"/>
      <c r="AJ4" s="2">
        <f>K27</f>
        <v>1.2428598893166054E-5</v>
      </c>
      <c r="AK4" s="2"/>
      <c r="AL4" s="2">
        <f>K27</f>
        <v>1.2428598893166054E-5</v>
      </c>
      <c r="AM4" s="2"/>
      <c r="AN4" s="2"/>
      <c r="AO4" s="2"/>
      <c r="AQ4" s="2" t="s">
        <v>151</v>
      </c>
      <c r="AR4" s="2">
        <f>$C$6</f>
        <v>237.48881686961801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0.35111521096153714</v>
      </c>
      <c r="BI4" s="5" t="s">
        <v>155</v>
      </c>
      <c r="BJ4" s="2"/>
      <c r="BK4" s="28" t="s">
        <v>154</v>
      </c>
      <c r="BL4" s="29">
        <f>CE34</f>
        <v>0.26071764670859582</v>
      </c>
      <c r="BM4" s="5" t="s">
        <v>155</v>
      </c>
      <c r="BN4"/>
      <c r="BO4" s="30">
        <v>0</v>
      </c>
      <c r="BP4" s="30"/>
      <c r="BQ4" s="30">
        <f>$BH$20</f>
        <v>-1.7565500720628791E-9</v>
      </c>
      <c r="BR4" s="30"/>
      <c r="BS4" s="30">
        <f>$BH$20</f>
        <v>-1.7565500720628791E-9</v>
      </c>
      <c r="BT4" s="30"/>
      <c r="BU4" s="30">
        <f>$BH$20</f>
        <v>-1.7565500720628791E-9</v>
      </c>
      <c r="BV4" s="30"/>
      <c r="BW4" s="30"/>
      <c r="BX4" s="30"/>
      <c r="BY4"/>
      <c r="BZ4" s="30">
        <v>0</v>
      </c>
      <c r="CA4" s="30"/>
      <c r="CB4" s="30">
        <f>$BL$20</f>
        <v>3.5749579546662247E-9</v>
      </c>
      <c r="CC4" s="30"/>
      <c r="CD4" s="30">
        <f>$BL$20</f>
        <v>3.5749579546662247E-9</v>
      </c>
      <c r="CE4" s="30"/>
      <c r="CF4" s="30">
        <f>$BL$20</f>
        <v>3.5749579546662247E-9</v>
      </c>
      <c r="CG4" s="30"/>
      <c r="CH4" s="30"/>
      <c r="CI4" s="30"/>
    </row>
    <row r="5" spans="2:87" x14ac:dyDescent="0.2">
      <c r="B5" s="10" t="s">
        <v>40</v>
      </c>
      <c r="C5" s="10">
        <v>2970.7415648800002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142.69713015188836</v>
      </c>
      <c r="L5" s="6" t="s">
        <v>104</v>
      </c>
      <c r="N5" s="6" t="s">
        <v>119</v>
      </c>
      <c r="O5" s="6">
        <f xml:space="preserve"> $C$18 * 0.85 * ($C$5/$C$18 *2.20462/1000)^(2/3) * 0.3048^2</f>
        <v>0.438801319887694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1.9762026515959791E-2</v>
      </c>
      <c r="X5" s="2">
        <f>IF(AC4&gt;0, Z4, X4)</f>
        <v>0.5</v>
      </c>
      <c r="Y5" s="2">
        <f t="shared" si="1"/>
        <v>-0.48429671986609402</v>
      </c>
      <c r="Z5" s="2">
        <f t="shared" ref="Z5:Z34" si="3" xml:space="preserve"> (V5 + X5)/2</f>
        <v>0.25</v>
      </c>
      <c r="AA5" s="2">
        <f t="shared" si="2"/>
        <v>-0.23231898233805717</v>
      </c>
      <c r="AB5" s="2">
        <f t="shared" ref="AB5:AB34" si="4">W5*AA5</f>
        <v>-4.5910938891254799E-3</v>
      </c>
      <c r="AC5" s="2">
        <f t="shared" ref="AC5:AC34" si="5">Y5*AA5</f>
        <v>0.11251132110895012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-1496.8103024680602</v>
      </c>
      <c r="AI5" s="3">
        <v>5000</v>
      </c>
      <c r="AJ5" s="2">
        <f t="dataTable" ref="AJ5:AJ44" dt2D="0" dtr="0" r1="C5" ca="1"/>
        <v>878.23827143521112</v>
      </c>
      <c r="AK5" s="2">
        <f>(AG5+AI5)/2</f>
        <v>2750</v>
      </c>
      <c r="AL5" s="2">
        <f t="dataTable" ref="AL5:AL44" dt2D="0" dtr="0" r1="C5" ca="1"/>
        <v>-123.73057358819187</v>
      </c>
      <c r="AM5" s="2">
        <f>AH5*AL5</f>
        <v>185201.19727708807</v>
      </c>
      <c r="AN5" s="2">
        <f>AJ5*AL5</f>
        <v>-108664.92507178082</v>
      </c>
      <c r="AO5" s="2">
        <f>AI5-AG5</f>
        <v>4500</v>
      </c>
      <c r="AQ5" s="2" t="s">
        <v>157</v>
      </c>
      <c r="AR5" s="3">
        <v>22.946705771599099</v>
      </c>
      <c r="AS5" s="26" t="s">
        <v>43</v>
      </c>
      <c r="AT5"/>
      <c r="AU5" s="2" t="s">
        <v>29</v>
      </c>
      <c r="AV5" s="2">
        <f>AR4*2*PI()/60</f>
        <v>24.869770746244122</v>
      </c>
      <c r="AW5" s="26" t="s">
        <v>30</v>
      </c>
      <c r="AX5"/>
      <c r="AY5" s="2" t="s">
        <v>158</v>
      </c>
      <c r="AZ5" s="2">
        <f>(1+$BH$18)*$AR$3</f>
        <v>5.9039038850422179</v>
      </c>
      <c r="BA5" s="26" t="s">
        <v>10</v>
      </c>
      <c r="BB5"/>
      <c r="BC5" s="2" t="s">
        <v>158</v>
      </c>
      <c r="BD5" s="2">
        <f>(1+$BL$18)*$AR$3</f>
        <v>7.1986002123260135</v>
      </c>
      <c r="BE5" s="26" t="s">
        <v>10</v>
      </c>
      <c r="BF5"/>
      <c r="BG5" s="2" t="s">
        <v>159</v>
      </c>
      <c r="BH5" s="2">
        <f>($AR$35+$AR$5)/180*PI()</f>
        <v>0.52092328658839893</v>
      </c>
      <c r="BI5" s="2" t="s">
        <v>155</v>
      </c>
      <c r="BJ5" s="2"/>
      <c r="BK5" s="2" t="s">
        <v>159</v>
      </c>
      <c r="BL5" s="2">
        <f>($AR$36+$AR$5)/180*PI()</f>
        <v>0.49788494046207377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-2.2153866853628879</v>
      </c>
      <c r="BR5" s="3">
        <f>0.9*PI()</f>
        <v>2.8274333882308138</v>
      </c>
      <c r="BS5" s="2">
        <f t="dataTable" ref="BS5:BS34" dt2D="0" dtr="0" r1="BH4"/>
        <v>0.60006811948502936</v>
      </c>
      <c r="BT5" s="2">
        <f t="shared" ref="BT5:BT34" si="7">(BP5+BR5)/2</f>
        <v>1.4294246573833558</v>
      </c>
      <c r="BU5" s="2">
        <f t="dataTable" ref="BU5:BU34" dt2D="0" dtr="0" r1="BH4" ca="1"/>
        <v>1.0599073814693778</v>
      </c>
      <c r="BV5" s="2">
        <f t="shared" ref="BV5:BV34" si="8">BQ5*BU5</f>
        <v>-2.348104700625103</v>
      </c>
      <c r="BW5" s="2">
        <f t="shared" ref="BW5:BW34" si="9">BS5*BU5</f>
        <v>0.63601662922663116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/>
        <v>-1.2360980017963086</v>
      </c>
      <c r="CC5" s="3">
        <f>0.9*PI()</f>
        <v>2.8274333882308138</v>
      </c>
      <c r="CD5" s="2">
        <f t="dataTable" ref="CD5:CD34" dt2D="0" dtr="0" r1="BL4" ca="1"/>
        <v>0.47217678593414675</v>
      </c>
      <c r="CE5" s="2">
        <f t="shared" ref="CE5:CE34" si="11">(CA5+CC5)/2</f>
        <v>1.4294246573833558</v>
      </c>
      <c r="CF5" s="2">
        <f t="dataTable" ref="CF5:CF34" dt2D="0" dtr="0" r1="BL4" ca="1"/>
        <v>1.0201381861441419</v>
      </c>
      <c r="CG5" s="2">
        <f t="shared" ref="CG5:CG34" si="12">CB5*CF5</f>
        <v>-1.2609907734488845</v>
      </c>
      <c r="CH5" s="2">
        <f t="shared" ref="CH5:CH34" si="13">CD5*CF5</f>
        <v>0.48168556994223122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237.48881686961801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8.7296748869218135E-3</v>
      </c>
      <c r="U6" s="2">
        <v>2</v>
      </c>
      <c r="V6" s="2">
        <f t="shared" ref="V6:V34" si="15">IF(AB5&gt;0, Z5, V5)</f>
        <v>0</v>
      </c>
      <c r="W6" s="2">
        <f t="shared" si="0"/>
        <v>1.9762026515959791E-2</v>
      </c>
      <c r="X6" s="2">
        <f t="shared" ref="X6:X34" si="16">IF(AC5&gt;0, Z5, X5)</f>
        <v>0.25</v>
      </c>
      <c r="Y6" s="2">
        <f t="shared" si="1"/>
        <v>-0.23231898233805717</v>
      </c>
      <c r="Z6" s="2">
        <f t="shared" si="3"/>
        <v>0.125</v>
      </c>
      <c r="AA6" s="2">
        <f t="shared" si="2"/>
        <v>-0.10596754350483846</v>
      </c>
      <c r="AB6" s="2">
        <f t="shared" si="4"/>
        <v>-2.0941334045737402E-3</v>
      </c>
      <c r="AC6" s="2">
        <f t="shared" si="5"/>
        <v>2.4618271867907871E-2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-123.73057358819187</v>
      </c>
      <c r="AI6" s="2">
        <f>IF(AN5&gt;0, AK5, AI5)</f>
        <v>5000</v>
      </c>
      <c r="AJ6" s="2">
        <v>878.23827143521112</v>
      </c>
      <c r="AK6" s="2">
        <f t="shared" ref="AK6:AK43" si="17">(AG6+AI6)/2</f>
        <v>3875</v>
      </c>
      <c r="AL6" s="2">
        <v>438.94619799525162</v>
      </c>
      <c r="AM6" s="2">
        <f t="shared" ref="AM6:AM44" si="18">AH6*AL6</f>
        <v>-54311.064852308518</v>
      </c>
      <c r="AN6" s="2">
        <f t="shared" ref="AN6:AN44" si="19">AJ6*AL6</f>
        <v>385499.3501804077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3.9581469478269669</v>
      </c>
      <c r="AW6" s="26" t="s">
        <v>162</v>
      </c>
      <c r="AX6"/>
      <c r="AY6" s="2" t="s">
        <v>163</v>
      </c>
      <c r="AZ6" s="2">
        <f>(1-$BH$19)*$AV$5*$AR$19</f>
        <v>16.117989548042498</v>
      </c>
      <c r="BA6" s="26" t="s">
        <v>10</v>
      </c>
      <c r="BB6"/>
      <c r="BC6" s="2" t="s">
        <v>163</v>
      </c>
      <c r="BD6" s="2">
        <f>(1-$BL$19)*$AV$5*$AR$20</f>
        <v>26.982260285156741</v>
      </c>
      <c r="BE6" s="26" t="s">
        <v>10</v>
      </c>
      <c r="BF6"/>
      <c r="BG6" s="2" t="s">
        <v>28</v>
      </c>
      <c r="BH6" s="2">
        <f>BH5-BH4</f>
        <v>0.16980807562686179</v>
      </c>
      <c r="BI6" s="2" t="s">
        <v>155</v>
      </c>
      <c r="BJ6" s="2"/>
      <c r="BK6" s="2" t="s">
        <v>28</v>
      </c>
      <c r="BL6" s="2">
        <f>BL5-BL4</f>
        <v>0.23716729375347795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-2.2153866853628879</v>
      </c>
      <c r="BR6" s="2">
        <f t="shared" ref="BR6:BR34" si="22">IF(BW5&gt;0,BT5,BR5)</f>
        <v>1.4294246573833558</v>
      </c>
      <c r="BS6" s="2">
        <v>1.0599073814693778</v>
      </c>
      <c r="BT6" s="2">
        <f t="shared" si="7"/>
        <v>0.73042029195962688</v>
      </c>
      <c r="BU6" s="2">
        <v>0.6725223291615936</v>
      </c>
      <c r="BV6" s="2">
        <f t="shared" si="8"/>
        <v>-1.4898970136338319</v>
      </c>
      <c r="BW6" s="2">
        <f t="shared" si="9"/>
        <v>0.71281138088135165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-1.2360980017963086</v>
      </c>
      <c r="CC6" s="2">
        <f t="shared" ref="CC6:CC34" si="24">IF(CH5&gt;0,CE5,CC5)</f>
        <v>1.4294246573833558</v>
      </c>
      <c r="CD6" s="2">
        <v>1.0201381861441419</v>
      </c>
      <c r="CE6" s="2">
        <f t="shared" si="11"/>
        <v>0.73042029195962688</v>
      </c>
      <c r="CF6" s="2">
        <v>0.64996340502222849</v>
      </c>
      <c r="CG6" s="2">
        <f t="shared" si="12"/>
        <v>-0.80341846618870139</v>
      </c>
      <c r="CH6" s="2">
        <f t="shared" si="13"/>
        <v>0.66305248905944636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99.479082984976486</v>
      </c>
      <c r="H7" s="6" t="s">
        <v>10</v>
      </c>
      <c r="J7" s="58" t="s">
        <v>23</v>
      </c>
      <c r="K7" s="58"/>
      <c r="L7" s="58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1.9762026515959791E-2</v>
      </c>
      <c r="X7" s="2">
        <f t="shared" si="16"/>
        <v>0.125</v>
      </c>
      <c r="Y7" s="2">
        <f t="shared" si="1"/>
        <v>-0.10596754350483846</v>
      </c>
      <c r="Z7" s="2">
        <f t="shared" si="3"/>
        <v>6.25E-2</v>
      </c>
      <c r="AA7" s="2">
        <f t="shared" si="2"/>
        <v>-4.2941830287390959E-2</v>
      </c>
      <c r="AB7" s="2">
        <f t="shared" si="4"/>
        <v>-8.4861758878326538E-4</v>
      </c>
      <c r="AC7" s="2">
        <f t="shared" si="5"/>
        <v>4.5504402691564916E-3</v>
      </c>
      <c r="AD7" s="2">
        <f t="shared" si="6"/>
        <v>0.125</v>
      </c>
      <c r="AF7" s="2">
        <v>3</v>
      </c>
      <c r="AG7" s="2">
        <f t="shared" ref="AG7:AG44" si="25">IF(AM6&gt;0, AK6, AG6)</f>
        <v>2750</v>
      </c>
      <c r="AH7" s="2">
        <v>-123.73057358819187</v>
      </c>
      <c r="AI7" s="2">
        <f t="shared" ref="AI7:AI44" si="26">IF(AN6&gt;0, AK6, AI6)</f>
        <v>3875</v>
      </c>
      <c r="AJ7" s="2">
        <v>438.94619799525162</v>
      </c>
      <c r="AK7" s="2">
        <f t="shared" si="17"/>
        <v>3312.5</v>
      </c>
      <c r="AL7" s="2">
        <v>186.0527699312147</v>
      </c>
      <c r="AM7" s="2">
        <f t="shared" si="18"/>
        <v>-23020.415941261093</v>
      </c>
      <c r="AN7" s="2">
        <f t="shared" si="19"/>
        <v>81667.155987791964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8.0214303355843911E-2</v>
      </c>
      <c r="AW7"/>
      <c r="AX7"/>
      <c r="AY7" s="2" t="s">
        <v>167</v>
      </c>
      <c r="AZ7" s="2">
        <f>SQRT(AZ5^2 + AZ6^2)</f>
        <v>17.16524593924083</v>
      </c>
      <c r="BA7" s="26" t="s">
        <v>10</v>
      </c>
      <c r="BB7"/>
      <c r="BC7" s="2" t="s">
        <v>167</v>
      </c>
      <c r="BD7" s="2">
        <f>SQRT(BD5^2 + BD6^2)</f>
        <v>27.92601323341459</v>
      </c>
      <c r="BE7" s="26" t="s">
        <v>10</v>
      </c>
      <c r="BF7"/>
      <c r="BG7" s="2" t="s">
        <v>168</v>
      </c>
      <c r="BH7" s="2">
        <f>BH6/PI()*180</f>
        <v>9.7292860606574827</v>
      </c>
      <c r="BI7" s="2" t="s">
        <v>43</v>
      </c>
      <c r="BJ7" s="2"/>
      <c r="BK7" s="2" t="s">
        <v>168</v>
      </c>
      <c r="BL7" s="2">
        <f>BL6/PI()*180</f>
        <v>13.588684970613699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-2.2153866853628879</v>
      </c>
      <c r="BR7" s="2">
        <f t="shared" si="22"/>
        <v>0.73042029195962688</v>
      </c>
      <c r="BS7" s="2">
        <v>0.6725223291615936</v>
      </c>
      <c r="BT7" s="2">
        <f t="shared" si="7"/>
        <v>0.38091810924776243</v>
      </c>
      <c r="BU7" s="2">
        <v>6.7923959117919985E-2</v>
      </c>
      <c r="BV7" s="2">
        <f t="shared" si="8"/>
        <v>-0.15047783464697306</v>
      </c>
      <c r="BW7" s="2">
        <f t="shared" si="9"/>
        <v>4.568037919186041E-2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-1.2360980017963086</v>
      </c>
      <c r="CC7" s="2">
        <f t="shared" si="24"/>
        <v>0.73042029195962688</v>
      </c>
      <c r="CD7" s="2">
        <v>0.64996340502222849</v>
      </c>
      <c r="CE7" s="2">
        <f t="shared" si="11"/>
        <v>0.38091810924776243</v>
      </c>
      <c r="CF7" s="2">
        <v>0.214168595039815</v>
      </c>
      <c r="CG7" s="2">
        <f t="shared" si="12"/>
        <v>-0.26473337237623812</v>
      </c>
      <c r="CH7" s="2">
        <f t="shared" si="13"/>
        <v>0.13920174928090492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G7/$C$43</f>
        <v>0.29791564818625099</v>
      </c>
      <c r="H8" s="6" t="s">
        <v>131</v>
      </c>
      <c r="J8" s="6" t="s">
        <v>99</v>
      </c>
      <c r="K8" s="6">
        <f xml:space="preserve"> $C$15 * (G13*G6 + G20*G16 + G27*G25 + G31*G30)/3600</f>
        <v>236.76414778989991</v>
      </c>
      <c r="L8" s="6" t="s">
        <v>105</v>
      </c>
      <c r="N8" s="6" t="s">
        <v>122</v>
      </c>
      <c r="O8" s="6">
        <f xml:space="preserve"> $O$7 + O6</f>
        <v>2.1030524886921816E-2</v>
      </c>
      <c r="U8" s="2">
        <v>4</v>
      </c>
      <c r="V8" s="2">
        <f t="shared" si="15"/>
        <v>0</v>
      </c>
      <c r="W8" s="2">
        <f t="shared" si="0"/>
        <v>1.9762026515959791E-2</v>
      </c>
      <c r="X8" s="2">
        <f t="shared" si="16"/>
        <v>6.25E-2</v>
      </c>
      <c r="Y8" s="2">
        <f t="shared" si="1"/>
        <v>-4.2941830287390959E-2</v>
      </c>
      <c r="Z8" s="2">
        <f t="shared" si="3"/>
        <v>3.125E-2</v>
      </c>
      <c r="AA8" s="2">
        <f t="shared" si="2"/>
        <v>-1.154050719726752E-2</v>
      </c>
      <c r="AB8" s="2">
        <f t="shared" si="4"/>
        <v>-2.2806380924002555E-4</v>
      </c>
      <c r="AC8" s="2">
        <f t="shared" si="5"/>
        <v>4.9557050149547576E-4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-123.73057358819187</v>
      </c>
      <c r="AI8" s="2">
        <f t="shared" si="26"/>
        <v>3312.5</v>
      </c>
      <c r="AJ8" s="2">
        <v>186.0527699312147</v>
      </c>
      <c r="AK8" s="2">
        <f t="shared" si="17"/>
        <v>3031.25</v>
      </c>
      <c r="AL8" s="2">
        <v>33.465452203831319</v>
      </c>
      <c r="AM8" s="2">
        <f t="shared" si="18"/>
        <v>-4140.699596568269</v>
      </c>
      <c r="AN8" s="2">
        <f t="shared" si="19"/>
        <v>6226.3400795234902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293877.58999232983</v>
      </c>
      <c r="BA8" s="26"/>
      <c r="BB8"/>
      <c r="BC8" s="2" t="s">
        <v>170</v>
      </c>
      <c r="BD8" s="37">
        <f>$AR$45*BD7*$AR$28/$AR$46</f>
        <v>464394.53816122294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-2.2153866853628879</v>
      </c>
      <c r="BR8" s="2">
        <f t="shared" si="22"/>
        <v>0.38091810924776243</v>
      </c>
      <c r="BS8" s="2">
        <v>6.7923959117919985E-2</v>
      </c>
      <c r="BT8" s="2">
        <f t="shared" si="7"/>
        <v>0.20616701789183017</v>
      </c>
      <c r="BU8" s="2">
        <v>-0.32620154397539414</v>
      </c>
      <c r="BV8" s="2">
        <f t="shared" si="8"/>
        <v>0.72266255726790474</v>
      </c>
      <c r="BW8" s="2">
        <f t="shared" si="9"/>
        <v>-2.2156900337187049E-2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-1.2360980017963086</v>
      </c>
      <c r="CC8" s="2">
        <f t="shared" si="24"/>
        <v>0.38091810924776243</v>
      </c>
      <c r="CD8" s="2">
        <v>0.214168595039815</v>
      </c>
      <c r="CE8" s="2">
        <f t="shared" si="11"/>
        <v>0.20616701789183017</v>
      </c>
      <c r="CF8" s="2">
        <v>-0.10464288015220513</v>
      </c>
      <c r="CG8" s="2">
        <f t="shared" si="12"/>
        <v>0.12934885505835136</v>
      </c>
      <c r="CH8" s="2">
        <f t="shared" si="13"/>
        <v>-2.2411218623117516E-2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7279.4243207676773</v>
      </c>
      <c r="H9" s="6" t="s">
        <v>22</v>
      </c>
      <c r="J9" s="6" t="s">
        <v>265</v>
      </c>
      <c r="K9" s="6">
        <f xml:space="preserve"> $C$15 * (G6 + G16 + G25 +G30)/60</f>
        <v>57.333333333333336</v>
      </c>
      <c r="L9" s="6" t="s">
        <v>106</v>
      </c>
      <c r="N9" s="6" t="s">
        <v>41</v>
      </c>
      <c r="O9" s="6">
        <f xml:space="preserve"> O4 *O8 * PI() * $C$9 * $C$9</f>
        <v>1332.6774484609273</v>
      </c>
      <c r="P9" s="6" t="s">
        <v>22</v>
      </c>
      <c r="U9" s="2">
        <v>5</v>
      </c>
      <c r="V9" s="2">
        <f t="shared" si="15"/>
        <v>0</v>
      </c>
      <c r="W9" s="2">
        <f t="shared" si="0"/>
        <v>1.9762026515959791E-2</v>
      </c>
      <c r="X9" s="2">
        <f t="shared" si="16"/>
        <v>3.125E-2</v>
      </c>
      <c r="Y9" s="2">
        <f t="shared" si="1"/>
        <v>-1.154050719726752E-2</v>
      </c>
      <c r="Z9" s="2">
        <f t="shared" si="3"/>
        <v>1.5625E-2</v>
      </c>
      <c r="AA9" s="2">
        <f t="shared" si="2"/>
        <v>4.1237907545725941E-3</v>
      </c>
      <c r="AB9" s="2">
        <f t="shared" si="4"/>
        <v>8.1494462238133433E-5</v>
      </c>
      <c r="AC9" s="2">
        <f t="shared" si="5"/>
        <v>-4.7590636883170283E-5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-123.73057358819187</v>
      </c>
      <c r="AI9" s="2">
        <f t="shared" si="26"/>
        <v>3031.25</v>
      </c>
      <c r="AJ9" s="2">
        <v>33.465452203831319</v>
      </c>
      <c r="AK9" s="2">
        <f t="shared" si="17"/>
        <v>2890.625</v>
      </c>
      <c r="AL9" s="2">
        <v>-44.609930822170099</v>
      </c>
      <c r="AM9" s="2">
        <f t="shared" si="18"/>
        <v>5519.6123283566667</v>
      </c>
      <c r="AN9" s="2">
        <f t="shared" si="19"/>
        <v>-1492.8915077455551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66.859729792316884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214.96920457650336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0.99999999925029148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0.99999970909041125</v>
      </c>
      <c r="BM9" s="2"/>
      <c r="BN9"/>
      <c r="BO9" s="2">
        <v>5</v>
      </c>
      <c r="BP9" s="2">
        <f t="shared" si="21"/>
        <v>0.20616701789183017</v>
      </c>
      <c r="BQ9" s="2">
        <v>-0.32620154397539414</v>
      </c>
      <c r="BR9" s="2">
        <f t="shared" si="22"/>
        <v>0.38091810924776243</v>
      </c>
      <c r="BS9" s="2">
        <v>6.7923959117919985E-2</v>
      </c>
      <c r="BT9" s="2">
        <f t="shared" si="7"/>
        <v>0.2935425635697963</v>
      </c>
      <c r="BU9" s="2">
        <v>-0.13435791160916558</v>
      </c>
      <c r="BV9" s="2">
        <f t="shared" si="8"/>
        <v>4.3827758212219341E-2</v>
      </c>
      <c r="BW9" s="2">
        <f t="shared" si="9"/>
        <v>-9.126121295310069E-3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-0.10464288015220513</v>
      </c>
      <c r="CC9" s="2">
        <f t="shared" si="24"/>
        <v>0.38091810924776243</v>
      </c>
      <c r="CD9" s="2">
        <v>0.214168595039815</v>
      </c>
      <c r="CE9" s="2">
        <f t="shared" si="11"/>
        <v>0.2935425635697963</v>
      </c>
      <c r="CF9" s="2">
        <v>6.1466975795421513E-2</v>
      </c>
      <c r="CG9" s="2">
        <f t="shared" si="12"/>
        <v>-6.432081381478787E-3</v>
      </c>
      <c r="CH9" s="2">
        <f t="shared" si="13"/>
        <v>1.316429584745174E-2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7279.1080601204576</v>
      </c>
      <c r="H10" s="6" t="s">
        <v>22</v>
      </c>
      <c r="N10" s="6" t="s">
        <v>42</v>
      </c>
      <c r="O10" s="6">
        <f xml:space="preserve"> O9</f>
        <v>1332.6774484609273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4.1237907545725941E-3</v>
      </c>
      <c r="X10" s="2">
        <f t="shared" si="16"/>
        <v>3.125E-2</v>
      </c>
      <c r="Y10" s="2">
        <f t="shared" si="1"/>
        <v>-1.154050719726752E-2</v>
      </c>
      <c r="Z10" s="2">
        <f t="shared" si="3"/>
        <v>2.34375E-2</v>
      </c>
      <c r="AA10" s="2">
        <f t="shared" si="2"/>
        <v>-3.7051575270826455E-3</v>
      </c>
      <c r="AB10" s="2">
        <f t="shared" si="4"/>
        <v>-1.5279294354418468E-5</v>
      </c>
      <c r="AC10" s="2">
        <f t="shared" si="5"/>
        <v>4.2759397108307197E-5</v>
      </c>
      <c r="AD10" s="2">
        <f t="shared" si="6"/>
        <v>1.5625E-2</v>
      </c>
      <c r="AF10" s="2">
        <v>6</v>
      </c>
      <c r="AG10" s="2">
        <f t="shared" si="25"/>
        <v>2890.625</v>
      </c>
      <c r="AH10" s="2">
        <v>-44.609930822170099</v>
      </c>
      <c r="AI10" s="2">
        <f t="shared" si="26"/>
        <v>3031.25</v>
      </c>
      <c r="AJ10" s="2">
        <v>33.465452203831319</v>
      </c>
      <c r="AK10" s="2">
        <f t="shared" si="17"/>
        <v>2960.9375</v>
      </c>
      <c r="AL10" s="2">
        <v>-5.4407133710092239</v>
      </c>
      <c r="AM10" s="2">
        <f t="shared" si="18"/>
        <v>242.70984710397735</v>
      </c>
      <c r="AN10" s="2">
        <f t="shared" si="19"/>
        <v>-182.07593327225516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7279.1080601204576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17.959525337808845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72.030658987203168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0.83654567325391949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0.97807897533875876</v>
      </c>
      <c r="BM10" s="2"/>
      <c r="BN10"/>
      <c r="BO10" s="2">
        <v>6</v>
      </c>
      <c r="BP10" s="2">
        <f t="shared" si="21"/>
        <v>0.2935425635697963</v>
      </c>
      <c r="BQ10" s="2">
        <v>-0.13435791160916558</v>
      </c>
      <c r="BR10" s="2">
        <f t="shared" si="22"/>
        <v>0.38091810924776243</v>
      </c>
      <c r="BS10" s="2">
        <v>6.7923959117919985E-2</v>
      </c>
      <c r="BT10" s="2">
        <f t="shared" si="7"/>
        <v>0.33723033640877936</v>
      </c>
      <c r="BU10" s="2">
        <v>-3.2172698804743563E-2</v>
      </c>
      <c r="BV10" s="2">
        <f t="shared" si="8"/>
        <v>4.3226566222360424E-3</v>
      </c>
      <c r="BW10" s="2">
        <f t="shared" si="9"/>
        <v>-2.185297078326555E-3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-0.10464288015220513</v>
      </c>
      <c r="CC10" s="2">
        <f t="shared" si="24"/>
        <v>0.2935425635697963</v>
      </c>
      <c r="CD10" s="2">
        <v>6.1466975795421513E-2</v>
      </c>
      <c r="CE10" s="2">
        <f t="shared" si="11"/>
        <v>0.24985479073081324</v>
      </c>
      <c r="CF10" s="2">
        <v>-2.0696032418988999E-2</v>
      </c>
      <c r="CG10" s="2">
        <f t="shared" si="12"/>
        <v>2.165692440046418E-3</v>
      </c>
      <c r="CH10" s="2">
        <f t="shared" si="13"/>
        <v>-1.2721225237592557E-3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0.3162606472196785</v>
      </c>
      <c r="H11" s="6" t="s">
        <v>22</v>
      </c>
      <c r="J11" s="54" t="s">
        <v>54</v>
      </c>
      <c r="K11" s="54"/>
      <c r="L11" s="54"/>
      <c r="N11" s="6" t="s">
        <v>118</v>
      </c>
      <c r="O11" s="6">
        <f>($O$8*PI()*$C$9^2)/(0.3048^2)/($C$5*2.20462/1000)^(2/3) + 0.85</f>
        <v>4.1005558451109101</v>
      </c>
      <c r="U11" s="2">
        <v>7</v>
      </c>
      <c r="V11" s="2">
        <f t="shared" si="15"/>
        <v>1.5625E-2</v>
      </c>
      <c r="W11" s="2">
        <f t="shared" si="0"/>
        <v>4.1237907545725941E-3</v>
      </c>
      <c r="X11" s="2">
        <f t="shared" si="16"/>
        <v>2.34375E-2</v>
      </c>
      <c r="Y11" s="2">
        <f t="shared" si="1"/>
        <v>-3.7051575270826455E-3</v>
      </c>
      <c r="Z11" s="2">
        <f t="shared" si="3"/>
        <v>1.953125E-2</v>
      </c>
      <c r="AA11" s="2">
        <f t="shared" si="2"/>
        <v>2.1012582977834177E-4</v>
      </c>
      <c r="AB11" s="2">
        <f t="shared" si="4"/>
        <v>8.665149541368204E-7</v>
      </c>
      <c r="AC11" s="2">
        <f t="shared" si="5"/>
        <v>-7.785492998377097E-7</v>
      </c>
      <c r="AD11" s="2">
        <f t="shared" si="6"/>
        <v>7.8125E-3</v>
      </c>
      <c r="AF11" s="2">
        <v>7</v>
      </c>
      <c r="AG11" s="2">
        <f t="shared" si="25"/>
        <v>2960.9375</v>
      </c>
      <c r="AH11" s="2">
        <v>-5.4407133710092239</v>
      </c>
      <c r="AI11" s="2">
        <f t="shared" si="26"/>
        <v>3031.25</v>
      </c>
      <c r="AJ11" s="2">
        <v>33.465452203831319</v>
      </c>
      <c r="AK11" s="2">
        <f t="shared" si="17"/>
        <v>2996.09375</v>
      </c>
      <c r="AL11" s="2">
        <v>14.045362019361619</v>
      </c>
      <c r="AM11" s="2">
        <f t="shared" si="18"/>
        <v>-76.416788939405876</v>
      </c>
      <c r="AN11" s="2">
        <f t="shared" si="19"/>
        <v>470.03439134445398</v>
      </c>
      <c r="AO11" s="2">
        <f t="shared" si="20"/>
        <v>70.3125</v>
      </c>
      <c r="AQ11" s="64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3825.1828322794581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0.83654567262675406</v>
      </c>
      <c r="BI11" s="2"/>
      <c r="BJ11" s="2"/>
      <c r="BK11" s="2" t="s">
        <v>183</v>
      </c>
      <c r="BL11" s="2">
        <f>IF(BL4=0,1,BL9*BL10)</f>
        <v>0.97807869080620624</v>
      </c>
      <c r="BM11" s="2"/>
      <c r="BN11"/>
      <c r="BO11" s="2">
        <v>7</v>
      </c>
      <c r="BP11" s="2">
        <f t="shared" si="21"/>
        <v>0.33723033640877936</v>
      </c>
      <c r="BQ11" s="2">
        <v>-3.2172698804743563E-2</v>
      </c>
      <c r="BR11" s="2">
        <f t="shared" si="22"/>
        <v>0.38091810924776243</v>
      </c>
      <c r="BS11" s="2">
        <v>6.7923959117919985E-2</v>
      </c>
      <c r="BT11" s="2">
        <f t="shared" si="7"/>
        <v>0.35907422282827089</v>
      </c>
      <c r="BU11" s="2">
        <v>1.830757235896574E-2</v>
      </c>
      <c r="BV11" s="2">
        <f t="shared" si="8"/>
        <v>-5.8900401135105341E-4</v>
      </c>
      <c r="BW11" s="2">
        <f t="shared" si="9"/>
        <v>1.2435227964587509E-3</v>
      </c>
      <c r="BX11" s="2">
        <f t="shared" si="10"/>
        <v>4.3687772838983063E-2</v>
      </c>
      <c r="BY11"/>
      <c r="BZ11" s="2">
        <v>7</v>
      </c>
      <c r="CA11" s="2">
        <f t="shared" si="23"/>
        <v>0.24985479073081324</v>
      </c>
      <c r="CB11" s="2">
        <v>-2.0696032418988999E-2</v>
      </c>
      <c r="CC11" s="2">
        <f t="shared" si="24"/>
        <v>0.2935425635697963</v>
      </c>
      <c r="CD11" s="2">
        <v>6.1466975795421513E-2</v>
      </c>
      <c r="CE11" s="2">
        <f t="shared" si="11"/>
        <v>0.27169867715030477</v>
      </c>
      <c r="CF11" s="2">
        <v>2.0760818851539367E-2</v>
      </c>
      <c r="CG11" s="2">
        <f t="shared" si="12"/>
        <v>-4.2966657999621673E-4</v>
      </c>
      <c r="CH11" s="2">
        <f t="shared" si="13"/>
        <v>1.2761047498407009E-3</v>
      </c>
      <c r="CI11" s="2">
        <f t="shared" si="14"/>
        <v>4.3687772838983063E-2</v>
      </c>
    </row>
    <row r="12" spans="2:87" x14ac:dyDescent="0.2">
      <c r="B12" s="58" t="s">
        <v>12</v>
      </c>
      <c r="C12" s="58"/>
      <c r="D12" s="58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2970.7415648800002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2.1012582977834177E-4</v>
      </c>
      <c r="X12" s="2">
        <f t="shared" si="16"/>
        <v>2.34375E-2</v>
      </c>
      <c r="Y12" s="2">
        <f t="shared" si="1"/>
        <v>-3.7051575270826455E-3</v>
      </c>
      <c r="Z12" s="2">
        <f t="shared" si="3"/>
        <v>2.1484375E-2</v>
      </c>
      <c r="AA12" s="2">
        <f t="shared" si="2"/>
        <v>-1.7473145591734088E-3</v>
      </c>
      <c r="AB12" s="2">
        <f t="shared" si="4"/>
        <v>-3.6715592163008996E-7</v>
      </c>
      <c r="AC12" s="2">
        <f t="shared" si="5"/>
        <v>6.4740756911024499E-6</v>
      </c>
      <c r="AD12" s="2">
        <f t="shared" si="6"/>
        <v>3.90625E-3</v>
      </c>
      <c r="AF12" s="2">
        <v>8</v>
      </c>
      <c r="AG12" s="2">
        <f t="shared" si="25"/>
        <v>2960.9375</v>
      </c>
      <c r="AH12" s="2">
        <v>-5.4407133710092239</v>
      </c>
      <c r="AI12" s="2">
        <f t="shared" si="26"/>
        <v>2996.09375</v>
      </c>
      <c r="AJ12" s="2">
        <v>14.045362019361619</v>
      </c>
      <c r="AK12" s="2">
        <f t="shared" si="17"/>
        <v>2978.515625</v>
      </c>
      <c r="AL12" s="2">
        <v>4.3105516166924644</v>
      </c>
      <c r="AM12" s="2">
        <f t="shared" si="18"/>
        <v>-23.452475817364117</v>
      </c>
      <c r="AN12" s="2">
        <f t="shared" si="19"/>
        <v>60.543257959590164</v>
      </c>
      <c r="AO12" s="2">
        <f t="shared" si="20"/>
        <v>35.15625</v>
      </c>
      <c r="AQ12" s="64"/>
      <c r="AR12" s="3" t="s">
        <v>219</v>
      </c>
      <c r="AS12" s="26"/>
      <c r="AT12"/>
      <c r="AU12" s="4" t="s">
        <v>184</v>
      </c>
      <c r="AV12" s="38">
        <f>AV11*AV5/1000</f>
        <v>95.131420101258897</v>
      </c>
      <c r="AW12" s="26" t="s">
        <v>104</v>
      </c>
      <c r="AX12"/>
      <c r="AY12" s="62" t="s">
        <v>185</v>
      </c>
      <c r="AZ12" s="62"/>
      <c r="BA12" s="62"/>
      <c r="BB12"/>
      <c r="BC12" s="62" t="s">
        <v>186</v>
      </c>
      <c r="BD12" s="62"/>
      <c r="BE12" s="62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1.2386647236429467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1.5071720476085235</v>
      </c>
      <c r="BM12" s="2"/>
      <c r="BN12"/>
      <c r="BO12" s="2">
        <v>8</v>
      </c>
      <c r="BP12" s="2">
        <f t="shared" si="21"/>
        <v>0.33723033640877936</v>
      </c>
      <c r="BQ12" s="2">
        <v>-3.2172698804743563E-2</v>
      </c>
      <c r="BR12" s="2">
        <f t="shared" si="22"/>
        <v>0.35907422282827089</v>
      </c>
      <c r="BS12" s="2">
        <v>1.830757235896574E-2</v>
      </c>
      <c r="BT12" s="2">
        <f t="shared" si="7"/>
        <v>0.34815227961852513</v>
      </c>
      <c r="BU12" s="2">
        <v>-6.8421827966817783E-3</v>
      </c>
      <c r="BV12" s="2">
        <f t="shared" si="8"/>
        <v>2.2013148628464082E-4</v>
      </c>
      <c r="BW12" s="2">
        <f t="shared" si="9"/>
        <v>-1.2526375664352222E-4</v>
      </c>
      <c r="BX12" s="2">
        <f t="shared" si="10"/>
        <v>2.1843886419491532E-2</v>
      </c>
      <c r="BY12"/>
      <c r="BZ12" s="2">
        <v>8</v>
      </c>
      <c r="CA12" s="2">
        <f t="shared" si="23"/>
        <v>0.24985479073081324</v>
      </c>
      <c r="CB12" s="2">
        <v>-2.0696032418988999E-2</v>
      </c>
      <c r="CC12" s="2">
        <f t="shared" si="24"/>
        <v>0.27169867715030477</v>
      </c>
      <c r="CD12" s="2">
        <v>2.0760818851539367E-2</v>
      </c>
      <c r="CE12" s="2">
        <f t="shared" si="11"/>
        <v>0.260776733940559</v>
      </c>
      <c r="CF12" s="2">
        <v>1.1217536623457647E-4</v>
      </c>
      <c r="CG12" s="2">
        <f t="shared" si="12"/>
        <v>-2.3215850162027587E-6</v>
      </c>
      <c r="CH12" s="2">
        <f t="shared" si="13"/>
        <v>2.3288524580011278E-6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380.52568040503559</v>
      </c>
      <c r="H13" s="43" t="s">
        <v>104</v>
      </c>
      <c r="J13" s="11" t="s">
        <v>55</v>
      </c>
      <c r="K13" s="6">
        <f xml:space="preserve"> K8 * 1000 / ($C$36 * $C$37 * $C$38)</f>
        <v>1392.7302811170582</v>
      </c>
      <c r="L13" s="6" t="s">
        <v>7</v>
      </c>
      <c r="N13" s="54" t="s">
        <v>76</v>
      </c>
      <c r="O13" s="55"/>
      <c r="P13" s="55"/>
      <c r="U13" s="2">
        <v>9</v>
      </c>
      <c r="V13" s="2">
        <f t="shared" si="15"/>
        <v>1.953125E-2</v>
      </c>
      <c r="W13" s="2">
        <f t="shared" si="0"/>
        <v>2.1012582977834177E-4</v>
      </c>
      <c r="X13" s="2">
        <f t="shared" si="16"/>
        <v>2.1484375E-2</v>
      </c>
      <c r="Y13" s="2">
        <f t="shared" si="1"/>
        <v>-1.7473145591734088E-3</v>
      </c>
      <c r="Z13" s="2">
        <f t="shared" si="3"/>
        <v>2.05078125E-2</v>
      </c>
      <c r="AA13" s="2">
        <f t="shared" si="2"/>
        <v>-7.6854390814975332E-4</v>
      </c>
      <c r="AB13" s="2">
        <f t="shared" si="4"/>
        <v>-1.6149092642105661E-7</v>
      </c>
      <c r="AC13" s="2">
        <f t="shared" si="5"/>
        <v>1.3428879600740949E-6</v>
      </c>
      <c r="AD13" s="2">
        <f t="shared" si="6"/>
        <v>1.953125E-3</v>
      </c>
      <c r="AF13" s="2">
        <v>9</v>
      </c>
      <c r="AG13" s="2">
        <f t="shared" si="25"/>
        <v>2960.9375</v>
      </c>
      <c r="AH13" s="2">
        <v>-5.4407133710092239</v>
      </c>
      <c r="AI13" s="2">
        <f t="shared" si="26"/>
        <v>2978.515625</v>
      </c>
      <c r="AJ13" s="2">
        <v>4.3105516166924644</v>
      </c>
      <c r="AK13" s="2">
        <f t="shared" si="17"/>
        <v>2969.7265625</v>
      </c>
      <c r="AL13" s="2">
        <v>-0.56300409003051755</v>
      </c>
      <c r="AM13" s="2">
        <f t="shared" si="18"/>
        <v>3.0631438805619178</v>
      </c>
      <c r="AN13" s="2">
        <f t="shared" si="19"/>
        <v>-2.4268581904855173</v>
      </c>
      <c r="AO13" s="2">
        <f t="shared" si="20"/>
        <v>17.578125</v>
      </c>
      <c r="AQ13" s="64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1.894322190306575E-2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3.792291374386518E-2</v>
      </c>
      <c r="BM13" s="2"/>
      <c r="BN13"/>
      <c r="BO13" s="2">
        <v>9</v>
      </c>
      <c r="BP13" s="2">
        <f t="shared" si="21"/>
        <v>0.34815227961852513</v>
      </c>
      <c r="BQ13" s="2">
        <v>-6.8421827966817783E-3</v>
      </c>
      <c r="BR13" s="2">
        <f t="shared" si="22"/>
        <v>0.35907422282827089</v>
      </c>
      <c r="BS13" s="2">
        <v>1.830757235896574E-2</v>
      </c>
      <c r="BT13" s="2">
        <f t="shared" si="7"/>
        <v>0.35361325122339804</v>
      </c>
      <c r="BU13" s="2">
        <v>5.757697687079455E-3</v>
      </c>
      <c r="BV13" s="2">
        <f t="shared" si="8"/>
        <v>-3.939522006302951E-5</v>
      </c>
      <c r="BW13" s="2">
        <f t="shared" si="9"/>
        <v>1.054094670272568E-4</v>
      </c>
      <c r="BX13" s="2">
        <f t="shared" si="10"/>
        <v>1.0921943209745766E-2</v>
      </c>
      <c r="BY13"/>
      <c r="BZ13" s="2">
        <v>9</v>
      </c>
      <c r="CA13" s="2">
        <f t="shared" si="23"/>
        <v>0.24985479073081324</v>
      </c>
      <c r="CB13" s="2">
        <v>-2.0696032418988999E-2</v>
      </c>
      <c r="CC13" s="2">
        <f t="shared" si="24"/>
        <v>0.260776733940559</v>
      </c>
      <c r="CD13" s="2">
        <v>1.1217536623457647E-4</v>
      </c>
      <c r="CE13" s="2">
        <f t="shared" si="11"/>
        <v>0.25531576233568609</v>
      </c>
      <c r="CF13" s="2">
        <v>-1.0274089698356234E-2</v>
      </c>
      <c r="CG13" s="2">
        <f t="shared" si="12"/>
        <v>2.1263289347278153E-4</v>
      </c>
      <c r="CH13" s="2">
        <f t="shared" si="13"/>
        <v>-1.1524997746399999E-6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$C$54 * $C$18 * (0.0095 * MAX(G9,O19,G26) - 1.9275)</f>
        <v>215.33701345435617</v>
      </c>
      <c r="L14" s="6" t="s">
        <v>7</v>
      </c>
      <c r="N14" s="6" t="s">
        <v>77</v>
      </c>
      <c r="O14" s="6">
        <f xml:space="preserve"> SQRT( ($C$5*$C$50)^2 + O10^2)</f>
        <v>29145.396507152127</v>
      </c>
      <c r="P14" s="6" t="s">
        <v>22</v>
      </c>
      <c r="U14" s="2">
        <v>10</v>
      </c>
      <c r="V14" s="2">
        <f t="shared" si="15"/>
        <v>1.953125E-2</v>
      </c>
      <c r="W14" s="2">
        <f t="shared" si="0"/>
        <v>2.1012582977834177E-4</v>
      </c>
      <c r="X14" s="2">
        <f t="shared" si="16"/>
        <v>2.05078125E-2</v>
      </c>
      <c r="Y14" s="2">
        <f t="shared" si="1"/>
        <v>-7.6854390814975332E-4</v>
      </c>
      <c r="Z14" s="2">
        <f t="shared" si="3"/>
        <v>2.001953125E-2</v>
      </c>
      <c r="AA14" s="2">
        <f t="shared" si="2"/>
        <v>-2.7919640891650721E-4</v>
      </c>
      <c r="AB14" s="2">
        <f t="shared" si="4"/>
        <v>-5.8666377094714293E-8</v>
      </c>
      <c r="AC14" s="2">
        <f t="shared" si="5"/>
        <v>2.1457469925006908E-7</v>
      </c>
      <c r="AD14" s="2">
        <f t="shared" si="6"/>
        <v>9.765625E-4</v>
      </c>
      <c r="AF14" s="2">
        <v>10</v>
      </c>
      <c r="AG14" s="2">
        <f t="shared" si="25"/>
        <v>2969.7265625</v>
      </c>
      <c r="AH14" s="2">
        <v>-0.56300409003051755</v>
      </c>
      <c r="AI14" s="2">
        <f t="shared" si="26"/>
        <v>2978.515625</v>
      </c>
      <c r="AJ14" s="2">
        <v>4.3105516166924644</v>
      </c>
      <c r="AK14" s="2">
        <f t="shared" si="17"/>
        <v>2974.12109375</v>
      </c>
      <c r="AL14" s="2">
        <v>1.8742844031271488</v>
      </c>
      <c r="AM14" s="2">
        <f t="shared" si="18"/>
        <v>-1.0552297848409922</v>
      </c>
      <c r="AN14" s="2">
        <f t="shared" si="19"/>
        <v>8.0791996640412016</v>
      </c>
      <c r="AO14" s="2">
        <f t="shared" si="20"/>
        <v>8.7890625</v>
      </c>
      <c r="AQ14" s="64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8.1940383801217642</v>
      </c>
      <c r="BA14" s="26" t="s">
        <v>10</v>
      </c>
      <c r="BB14"/>
      <c r="BC14" s="2" t="s">
        <v>158</v>
      </c>
      <c r="BD14" s="2">
        <f>(1+$BL$37)*$AR$3</f>
        <v>8.9972911220362128</v>
      </c>
      <c r="BE14" s="26" t="s">
        <v>10</v>
      </c>
      <c r="BF14"/>
      <c r="BG14" s="2" t="s">
        <v>190</v>
      </c>
      <c r="BH14" s="2">
        <f xml:space="preserve"> BH12*COS(BH4) - BH13*SIN(BH4)</f>
        <v>1.1565780185903987</v>
      </c>
      <c r="BI14" s="2"/>
      <c r="BJ14" s="2"/>
      <c r="BK14" s="2" t="s">
        <v>190</v>
      </c>
      <c r="BL14" s="2">
        <f xml:space="preserve"> BL12*COS(BL4) - BL13*SIN(BL4)</f>
        <v>1.4464619827508107</v>
      </c>
      <c r="BM14" s="2"/>
      <c r="BN14"/>
      <c r="BO14" s="2">
        <v>10</v>
      </c>
      <c r="BP14" s="2">
        <f t="shared" si="21"/>
        <v>0.34815227961852513</v>
      </c>
      <c r="BQ14" s="2">
        <v>-6.8421827966817783E-3</v>
      </c>
      <c r="BR14" s="2">
        <f t="shared" si="22"/>
        <v>0.35361325122339804</v>
      </c>
      <c r="BS14" s="2">
        <v>5.757697687079455E-3</v>
      </c>
      <c r="BT14" s="2">
        <f t="shared" si="7"/>
        <v>0.35088276542096158</v>
      </c>
      <c r="BU14" s="2">
        <v>-5.3627911223302904E-4</v>
      </c>
      <c r="BV14" s="2">
        <f t="shared" si="8"/>
        <v>3.6693197159406079E-6</v>
      </c>
      <c r="BW14" s="2">
        <f t="shared" si="9"/>
        <v>-3.0877330041331349E-6</v>
      </c>
      <c r="BX14" s="2">
        <f t="shared" si="10"/>
        <v>5.4609716048729107E-3</v>
      </c>
      <c r="BY14"/>
      <c r="BZ14" s="2">
        <v>10</v>
      </c>
      <c r="CA14" s="2">
        <f t="shared" si="23"/>
        <v>0.25531576233568609</v>
      </c>
      <c r="CB14" s="2">
        <v>-1.0274089698356234E-2</v>
      </c>
      <c r="CC14" s="2">
        <f t="shared" si="24"/>
        <v>0.260776733940559</v>
      </c>
      <c r="CD14" s="2">
        <v>1.1217536623457647E-4</v>
      </c>
      <c r="CE14" s="2">
        <f t="shared" si="11"/>
        <v>0.25804624813812255</v>
      </c>
      <c r="CF14" s="2">
        <v>-5.0762162898256441E-3</v>
      </c>
      <c r="CG14" s="2">
        <f t="shared" si="12"/>
        <v>5.2153501489925751E-5</v>
      </c>
      <c r="CH14" s="2">
        <f t="shared" si="13"/>
        <v>-5.6942642139711459E-7</v>
      </c>
      <c r="CI14" s="2">
        <f t="shared" si="14"/>
        <v>5.4609716048729107E-3</v>
      </c>
    </row>
    <row r="15" spans="2:87" x14ac:dyDescent="0.2">
      <c r="B15" s="6" t="s">
        <v>263</v>
      </c>
      <c r="C15" s="17">
        <v>1</v>
      </c>
      <c r="F15" s="54" t="s">
        <v>89</v>
      </c>
      <c r="G15" s="57"/>
      <c r="H15" s="57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269.90552738389744</v>
      </c>
      <c r="L15" s="6" t="s">
        <v>7</v>
      </c>
      <c r="N15" s="6" t="s">
        <v>78</v>
      </c>
      <c r="O15" s="6">
        <f>$C$5*$C$50/O14</f>
        <v>0.99895405861230424</v>
      </c>
      <c r="U15" s="2">
        <v>11</v>
      </c>
      <c r="V15" s="2">
        <f t="shared" si="15"/>
        <v>1.953125E-2</v>
      </c>
      <c r="W15" s="2">
        <f t="shared" si="0"/>
        <v>2.1012582977834177E-4</v>
      </c>
      <c r="X15" s="2">
        <f t="shared" si="16"/>
        <v>2.001953125E-2</v>
      </c>
      <c r="Y15" s="2">
        <f t="shared" si="1"/>
        <v>-2.7919640891650721E-4</v>
      </c>
      <c r="Z15" s="2">
        <f t="shared" si="3"/>
        <v>1.9775390625E-2</v>
      </c>
      <c r="AA15" s="2">
        <f t="shared" si="2"/>
        <v>-3.453213002547334E-5</v>
      </c>
      <c r="AB15" s="2">
        <f t="shared" si="4"/>
        <v>-7.2560924756161758E-9</v>
      </c>
      <c r="AC15" s="2">
        <f t="shared" si="5"/>
        <v>9.6412466953500515E-9</v>
      </c>
      <c r="AD15" s="2">
        <f t="shared" si="6"/>
        <v>4.8828125E-4</v>
      </c>
      <c r="AF15" s="2">
        <v>11</v>
      </c>
      <c r="AG15" s="2">
        <f t="shared" si="25"/>
        <v>2969.7265625</v>
      </c>
      <c r="AH15" s="2">
        <v>-0.56300409003051755</v>
      </c>
      <c r="AI15" s="2">
        <f t="shared" si="26"/>
        <v>2974.12109375</v>
      </c>
      <c r="AJ15" s="2">
        <v>1.8742844031271488</v>
      </c>
      <c r="AK15" s="2">
        <f t="shared" si="17"/>
        <v>2971.923828125</v>
      </c>
      <c r="AL15" s="2">
        <v>0.65577498684115199</v>
      </c>
      <c r="AM15" s="2">
        <f t="shared" si="18"/>
        <v>-0.36920399973127738</v>
      </c>
      <c r="AN15" s="2">
        <f t="shared" si="19"/>
        <v>1.2291088297972825</v>
      </c>
      <c r="AO15" s="2">
        <f t="shared" si="20"/>
        <v>4.39453125</v>
      </c>
      <c r="AQ15" s="64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70.687633207930048</v>
      </c>
      <c r="AW15" s="26" t="s">
        <v>104</v>
      </c>
      <c r="AX15"/>
      <c r="AY15" s="2" t="s">
        <v>163</v>
      </c>
      <c r="AZ15" s="2">
        <f>(1-$BH$38)*$AV$5*$AR$21</f>
        <v>37.883454592573237</v>
      </c>
      <c r="BA15" s="26" t="s">
        <v>10</v>
      </c>
      <c r="BB15"/>
      <c r="BC15" s="2" t="s">
        <v>163</v>
      </c>
      <c r="BD15" s="2">
        <f>(1-$BL$38)*$AV$5*$AR$22</f>
        <v>48.819304983411314</v>
      </c>
      <c r="BE15" s="26" t="s">
        <v>10</v>
      </c>
      <c r="BF15"/>
      <c r="BG15" s="2" t="s">
        <v>192</v>
      </c>
      <c r="BH15" s="2">
        <f xml:space="preserve"> BH12*SIN(BH4) + BH13*COS(BH4)</f>
        <v>0.44382026786418161</v>
      </c>
      <c r="BI15" s="2"/>
      <c r="BJ15" s="2"/>
      <c r="BK15" s="2" t="s">
        <v>192</v>
      </c>
      <c r="BL15" s="2">
        <f xml:space="preserve"> BL12*SIN(BL4) + BL13*COS(BL4)</f>
        <v>0.42515110365126307</v>
      </c>
      <c r="BM15" s="2"/>
      <c r="BN15"/>
      <c r="BO15" s="2">
        <v>11</v>
      </c>
      <c r="BP15" s="2">
        <f t="shared" si="21"/>
        <v>0.35088276542096158</v>
      </c>
      <c r="BQ15" s="2">
        <v>-5.3627911223302904E-4</v>
      </c>
      <c r="BR15" s="2">
        <f t="shared" si="22"/>
        <v>0.35361325122339804</v>
      </c>
      <c r="BS15" s="2">
        <v>5.757697687079455E-3</v>
      </c>
      <c r="BT15" s="2">
        <f t="shared" si="7"/>
        <v>0.35224800832217984</v>
      </c>
      <c r="BU15" s="2">
        <v>2.6122368895793446E-3</v>
      </c>
      <c r="BV15" s="2">
        <f t="shared" si="8"/>
        <v>-1.4008880800859802E-6</v>
      </c>
      <c r="BW15" s="2">
        <f t="shared" si="9"/>
        <v>1.5040470297234623E-5</v>
      </c>
      <c r="BX15" s="2">
        <f t="shared" si="10"/>
        <v>2.7304858024364553E-3</v>
      </c>
      <c r="BY15"/>
      <c r="BZ15" s="2">
        <v>11</v>
      </c>
      <c r="CA15" s="2">
        <f t="shared" si="23"/>
        <v>0.25804624813812255</v>
      </c>
      <c r="CB15" s="2">
        <v>-5.0762162898256441E-3</v>
      </c>
      <c r="CC15" s="2">
        <f t="shared" si="24"/>
        <v>0.260776733940559</v>
      </c>
      <c r="CD15" s="2">
        <v>1.1217536623457647E-4</v>
      </c>
      <c r="CE15" s="2">
        <f t="shared" si="11"/>
        <v>0.2594114910393408</v>
      </c>
      <c r="CF15" s="2">
        <v>-2.4808017330638227E-3</v>
      </c>
      <c r="CG15" s="2">
        <f t="shared" si="12"/>
        <v>1.2593086169206266E-5</v>
      </c>
      <c r="CH15" s="2">
        <f t="shared" si="13"/>
        <v>-2.782848429618063E-7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$C$54 * 0.2138 * K4</f>
        <v>97.627668564715933</v>
      </c>
      <c r="L16" s="6" t="s">
        <v>7</v>
      </c>
      <c r="O16" s="6">
        <f>O18/180*PI()</f>
        <v>4.5741092483665646E-2</v>
      </c>
      <c r="U16" s="2">
        <v>12</v>
      </c>
      <c r="V16" s="2">
        <f t="shared" si="15"/>
        <v>1.953125E-2</v>
      </c>
      <c r="W16" s="2">
        <f t="shared" si="0"/>
        <v>2.1012582977834177E-4</v>
      </c>
      <c r="X16" s="2">
        <f t="shared" si="16"/>
        <v>1.9775390625E-2</v>
      </c>
      <c r="Y16" s="2">
        <f t="shared" si="1"/>
        <v>-3.453213002547334E-5</v>
      </c>
      <c r="Z16" s="2">
        <f t="shared" si="3"/>
        <v>1.96533203125E-2</v>
      </c>
      <c r="AA16" s="2">
        <f t="shared" si="2"/>
        <v>8.7797640006853639E-5</v>
      </c>
      <c r="AB16" s="2">
        <f t="shared" si="4"/>
        <v>1.8448551959020256E-8</v>
      </c>
      <c r="AC16" s="2">
        <f t="shared" si="5"/>
        <v>-3.0318395206463698E-9</v>
      </c>
      <c r="AD16" s="2">
        <f t="shared" si="6"/>
        <v>2.44140625E-4</v>
      </c>
      <c r="AF16" s="2">
        <v>12</v>
      </c>
      <c r="AG16" s="2">
        <f t="shared" si="25"/>
        <v>2969.7265625</v>
      </c>
      <c r="AH16" s="2">
        <v>-0.56300409003051755</v>
      </c>
      <c r="AI16" s="2">
        <f t="shared" si="26"/>
        <v>2971.923828125</v>
      </c>
      <c r="AJ16" s="2">
        <v>0.65577498684115199</v>
      </c>
      <c r="AK16" s="2">
        <f t="shared" si="17"/>
        <v>2970.8251953125</v>
      </c>
      <c r="AL16" s="2">
        <v>4.6396614278364723E-2</v>
      </c>
      <c r="AM16" s="2">
        <f t="shared" si="18"/>
        <v>-2.6121483602287648E-2</v>
      </c>
      <c r="AN16" s="2">
        <f t="shared" si="19"/>
        <v>3.0425739117868632E-2</v>
      </c>
      <c r="AO16" s="2">
        <f t="shared" si="20"/>
        <v>2.197265625</v>
      </c>
      <c r="AQ16" s="64"/>
      <c r="AR16" s="3" t="s">
        <v>219</v>
      </c>
      <c r="AS16" s="26"/>
      <c r="AT16"/>
      <c r="AU16" s="2" t="s">
        <v>193</v>
      </c>
      <c r="AV16" s="2">
        <f>AV15/AV12</f>
        <v>0.74305243349347017</v>
      </c>
      <c r="AW16" s="26"/>
      <c r="AX16"/>
      <c r="AY16" s="2" t="s">
        <v>167</v>
      </c>
      <c r="AZ16" s="2">
        <f>SQRT(AZ14^2 + AZ15^2)</f>
        <v>38.759494280014373</v>
      </c>
      <c r="BA16" s="26" t="s">
        <v>10</v>
      </c>
      <c r="BB16"/>
      <c r="BC16" s="2" t="s">
        <v>167</v>
      </c>
      <c r="BD16" s="2">
        <f>SQRT(BD14^2 + BD15^2)</f>
        <v>49.641472445909578</v>
      </c>
      <c r="BE16" s="26" t="s">
        <v>10</v>
      </c>
      <c r="BF16"/>
      <c r="BG16" s="2" t="s">
        <v>38</v>
      </c>
      <c r="BH16" s="2">
        <f xml:space="preserve"> 4*BH11*SIN(BH4)*SIN(BH4) / (BH8*BH14)</f>
        <v>1.7550750814535008</v>
      </c>
      <c r="BI16" s="2"/>
      <c r="BJ16" s="2"/>
      <c r="BK16" s="2" t="s">
        <v>38</v>
      </c>
      <c r="BL16" s="2">
        <f xml:space="preserve"> 4*BL11*SIN(BL4)*SIN(BL4) / (BL8*BL14)</f>
        <v>1.5452281552899754</v>
      </c>
      <c r="BM16" s="2"/>
      <c r="BN16"/>
      <c r="BO16" s="2">
        <v>12</v>
      </c>
      <c r="BP16" s="2">
        <f t="shared" si="21"/>
        <v>0.35088276542096158</v>
      </c>
      <c r="BQ16" s="2">
        <v>-5.3627911223302904E-4</v>
      </c>
      <c r="BR16" s="2">
        <f t="shared" si="22"/>
        <v>0.35224800832217984</v>
      </c>
      <c r="BS16" s="2">
        <v>2.6122368895793446E-3</v>
      </c>
      <c r="BT16" s="2">
        <f t="shared" si="7"/>
        <v>0.35156538687157068</v>
      </c>
      <c r="BU16" s="2">
        <v>1.0383562492080334E-3</v>
      </c>
      <c r="BV16" s="2">
        <f t="shared" si="8"/>
        <v>-5.5684876750690198E-7</v>
      </c>
      <c r="BW16" s="2">
        <f t="shared" si="9"/>
        <v>2.7124324987064678E-6</v>
      </c>
      <c r="BX16" s="2">
        <f t="shared" si="10"/>
        <v>1.3652429012182554E-3</v>
      </c>
      <c r="BY16"/>
      <c r="BZ16" s="2">
        <v>12</v>
      </c>
      <c r="CA16" s="2">
        <f t="shared" si="23"/>
        <v>0.2594114910393408</v>
      </c>
      <c r="CB16" s="2">
        <v>-2.4808017330638227E-3</v>
      </c>
      <c r="CC16" s="2">
        <f t="shared" si="24"/>
        <v>0.260776733940559</v>
      </c>
      <c r="CD16" s="2">
        <v>1.1217536623457647E-4</v>
      </c>
      <c r="CE16" s="2">
        <f t="shared" si="11"/>
        <v>0.2600941124899499</v>
      </c>
      <c r="CF16" s="2">
        <v>-1.1840044106413011E-3</v>
      </c>
      <c r="CG16" s="2">
        <f t="shared" si="12"/>
        <v>2.9372801938741497E-6</v>
      </c>
      <c r="CH16" s="2">
        <f t="shared" si="13"/>
        <v>-1.3281612838704181E-7</v>
      </c>
      <c r="CI16" s="2">
        <f t="shared" si="14"/>
        <v>1.3652429012181999E-3</v>
      </c>
    </row>
    <row r="17" spans="2:87" x14ac:dyDescent="0.2">
      <c r="B17" s="59" t="s">
        <v>115</v>
      </c>
      <c r="C17" s="59"/>
      <c r="D17" s="59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$C$54 * 0.1149 * K4</f>
        <v>52.466880814246316</v>
      </c>
      <c r="L17" s="6" t="s">
        <v>7</v>
      </c>
      <c r="N17" s="54" t="s">
        <v>27</v>
      </c>
      <c r="O17" s="55"/>
      <c r="P17" s="55"/>
      <c r="U17" s="2">
        <v>13</v>
      </c>
      <c r="V17" s="2">
        <f t="shared" si="15"/>
        <v>1.96533203125E-2</v>
      </c>
      <c r="W17" s="2">
        <f t="shared" si="0"/>
        <v>8.7797640006853639E-5</v>
      </c>
      <c r="X17" s="2">
        <f t="shared" si="16"/>
        <v>1.9775390625E-2</v>
      </c>
      <c r="Y17" s="2">
        <f t="shared" si="1"/>
        <v>-3.453213002547334E-5</v>
      </c>
      <c r="Z17" s="2">
        <f t="shared" si="3"/>
        <v>1.971435546875E-2</v>
      </c>
      <c r="AA17" s="2">
        <f t="shared" si="2"/>
        <v>2.6632952492840201E-5</v>
      </c>
      <c r="AB17" s="2">
        <f t="shared" si="4"/>
        <v>2.3383103752860193E-9</v>
      </c>
      <c r="AC17" s="2">
        <f t="shared" si="5"/>
        <v>-9.1969257844501209E-10</v>
      </c>
      <c r="AD17" s="2">
        <f t="shared" si="6"/>
        <v>1.220703125E-4</v>
      </c>
      <c r="AF17" s="2">
        <v>13</v>
      </c>
      <c r="AG17" s="2">
        <f t="shared" si="25"/>
        <v>2969.7265625</v>
      </c>
      <c r="AH17" s="2">
        <v>-0.56300409003051755</v>
      </c>
      <c r="AI17" s="2">
        <f t="shared" si="26"/>
        <v>2970.8251953125</v>
      </c>
      <c r="AJ17" s="2">
        <v>4.6396614278364723E-2</v>
      </c>
      <c r="AK17" s="2">
        <f t="shared" si="17"/>
        <v>2970.27587890625</v>
      </c>
      <c r="AL17" s="2">
        <v>-0.25830469773427467</v>
      </c>
      <c r="AM17" s="2">
        <f t="shared" si="18"/>
        <v>0.14542660129849319</v>
      </c>
      <c r="AN17" s="2">
        <f t="shared" si="19"/>
        <v>-1.1984463427066732E-2</v>
      </c>
      <c r="AO17" s="2">
        <f t="shared" si="20"/>
        <v>1.0986328125</v>
      </c>
      <c r="AQ17" s="64"/>
      <c r="AR17" s="3" t="s">
        <v>219</v>
      </c>
      <c r="AS17" s="26"/>
      <c r="AT17"/>
      <c r="AU17" s="2" t="s">
        <v>190</v>
      </c>
      <c r="AV17" s="2">
        <f>AV10/($AR$45*AV6^2*AR9^4)</f>
        <v>0.10909450095403912</v>
      </c>
      <c r="AW17" s="2"/>
      <c r="AX17"/>
      <c r="AY17" s="2" t="s">
        <v>170</v>
      </c>
      <c r="AZ17" s="37">
        <f>$AR$45*AZ16*$AR$29/$AR$46</f>
        <v>625517.05504699855</v>
      </c>
      <c r="BA17" s="26"/>
      <c r="BB17"/>
      <c r="BC17" s="2" t="s">
        <v>170</v>
      </c>
      <c r="BD17" s="37">
        <f>$AR$45*BD16*$AR$30/$AR$46</f>
        <v>776759.09783100931</v>
      </c>
      <c r="BE17" s="26"/>
      <c r="BF17"/>
      <c r="BG17" s="2" t="s">
        <v>194</v>
      </c>
      <c r="BH17" s="2">
        <f xml:space="preserve"> 4*BH11*SIN(BH4)*COS(BH4) / (BH8*BH15)</f>
        <v>12.486338357351308</v>
      </c>
      <c r="BI17" s="2"/>
      <c r="BJ17" s="2"/>
      <c r="BK17" s="2" t="s">
        <v>194</v>
      </c>
      <c r="BL17" s="2">
        <f xml:space="preserve"> 4*BL11*SIN(BL4)*COS(BL4) / (BL8*BL15)</f>
        <v>19.705460163383968</v>
      </c>
      <c r="BM17" s="2"/>
      <c r="BN17"/>
      <c r="BO17" s="2">
        <v>13</v>
      </c>
      <c r="BP17" s="2">
        <f t="shared" si="21"/>
        <v>0.35088276542096158</v>
      </c>
      <c r="BQ17" s="2">
        <v>-5.3627911223302904E-4</v>
      </c>
      <c r="BR17" s="2">
        <f t="shared" si="22"/>
        <v>0.35156538687157068</v>
      </c>
      <c r="BS17" s="2">
        <v>1.0383562492080334E-3</v>
      </c>
      <c r="BT17" s="2">
        <f t="shared" si="7"/>
        <v>0.35122407614626616</v>
      </c>
      <c r="BU17" s="2">
        <v>2.5113233653797917E-4</v>
      </c>
      <c r="BV17" s="2">
        <f t="shared" si="8"/>
        <v>-1.3467702649159375E-7</v>
      </c>
      <c r="BW17" s="2">
        <f t="shared" si="9"/>
        <v>2.6076483102242558E-7</v>
      </c>
      <c r="BX17" s="2">
        <f t="shared" si="10"/>
        <v>6.8262145060909996E-4</v>
      </c>
      <c r="BY17"/>
      <c r="BZ17" s="2">
        <v>13</v>
      </c>
      <c r="CA17" s="2">
        <f t="shared" si="23"/>
        <v>0.2600941124899499</v>
      </c>
      <c r="CB17" s="2">
        <v>-1.1840044106413011E-3</v>
      </c>
      <c r="CC17" s="2">
        <f t="shared" si="24"/>
        <v>0.260776733940559</v>
      </c>
      <c r="CD17" s="2">
        <v>1.1217536623457647E-4</v>
      </c>
      <c r="CE17" s="2">
        <f t="shared" si="11"/>
        <v>0.26043542321525448</v>
      </c>
      <c r="CF17" s="2">
        <v>-5.3583682369423569E-4</v>
      </c>
      <c r="CG17" s="2">
        <f t="shared" si="12"/>
        <v>6.3443316263800028E-7</v>
      </c>
      <c r="CH17" s="2">
        <f t="shared" si="13"/>
        <v>-6.0107691939873068E-8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0.56652610777154422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137.6279375661311</v>
      </c>
      <c r="L18" s="6" t="s">
        <v>7</v>
      </c>
      <c r="N18" s="6" t="s">
        <v>28</v>
      </c>
      <c r="O18" s="6">
        <f xml:space="preserve"> ACOS(O15)/PI()*180</f>
        <v>2.620771549631614</v>
      </c>
      <c r="P18" s="6" t="s">
        <v>43</v>
      </c>
      <c r="U18" s="2">
        <v>14</v>
      </c>
      <c r="V18" s="2">
        <f t="shared" si="15"/>
        <v>1.971435546875E-2</v>
      </c>
      <c r="W18" s="2">
        <f t="shared" si="0"/>
        <v>2.6632952492840201E-5</v>
      </c>
      <c r="X18" s="2">
        <f t="shared" si="16"/>
        <v>1.9775390625E-2</v>
      </c>
      <c r="Y18" s="2">
        <f t="shared" si="1"/>
        <v>-3.453213002547334E-5</v>
      </c>
      <c r="Z18" s="2">
        <f t="shared" si="3"/>
        <v>1.9744873046875E-2</v>
      </c>
      <c r="AA18" s="2">
        <f t="shared" si="2"/>
        <v>-3.9495393945945811E-6</v>
      </c>
      <c r="AB18" s="2">
        <f t="shared" si="4"/>
        <v>-1.0518789506483833E-10</v>
      </c>
      <c r="AC18" s="2">
        <f t="shared" si="5"/>
        <v>1.3638600791486934E-10</v>
      </c>
      <c r="AD18" s="2">
        <f t="shared" si="6"/>
        <v>6.103515625E-5</v>
      </c>
      <c r="AF18" s="2">
        <v>14</v>
      </c>
      <c r="AG18" s="2">
        <f t="shared" si="25"/>
        <v>2970.27587890625</v>
      </c>
      <c r="AH18" s="2">
        <v>-0.25830469773427467</v>
      </c>
      <c r="AI18" s="2">
        <f t="shared" si="26"/>
        <v>2970.8251953125</v>
      </c>
      <c r="AJ18" s="2">
        <v>4.6396614278364723E-2</v>
      </c>
      <c r="AK18" s="2">
        <f t="shared" si="17"/>
        <v>2970.550537109375</v>
      </c>
      <c r="AL18" s="2">
        <v>-0.10593928428170329</v>
      </c>
      <c r="AM18" s="2">
        <f t="shared" si="18"/>
        <v>2.7364614804570767E-2</v>
      </c>
      <c r="AN18" s="2">
        <f t="shared" si="19"/>
        <v>-4.9152241097442147E-3</v>
      </c>
      <c r="AO18" s="2">
        <f t="shared" si="20"/>
        <v>0.54931640625</v>
      </c>
      <c r="AQ18" s="64"/>
      <c r="AR18" s="3" t="s">
        <v>219</v>
      </c>
      <c r="AT18"/>
      <c r="AU18" s="2" t="s">
        <v>192</v>
      </c>
      <c r="AV18" s="2">
        <f>AV11/($AR$45*AV6^2*AR9^5)</f>
        <v>7.166166663189014E-3</v>
      </c>
      <c r="AW18" s="26"/>
      <c r="AX18"/>
      <c r="AY18" s="2" t="s">
        <v>174</v>
      </c>
      <c r="AZ18" s="33">
        <f xml:space="preserve"> $BH$27 * PI() * $AR$45 * AZ16^2 *$BH$33 * $AR$21 * AZ13</f>
        <v>418.90881361520815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673.78518462344664</v>
      </c>
      <c r="BE18" s="26" t="s">
        <v>22</v>
      </c>
      <c r="BF18"/>
      <c r="BG18" s="2" t="s">
        <v>45</v>
      </c>
      <c r="BH18" s="2">
        <f>1/(BH16-1)</f>
        <v>1.3243716082843375</v>
      </c>
      <c r="BI18" s="2"/>
      <c r="BJ18" s="2"/>
      <c r="BK18" s="2" t="s">
        <v>45</v>
      </c>
      <c r="BL18" s="2">
        <f>1/(BL16-1)</f>
        <v>1.8340945717818951</v>
      </c>
      <c r="BM18" s="2"/>
      <c r="BN18"/>
      <c r="BO18" s="2">
        <v>14</v>
      </c>
      <c r="BP18" s="2">
        <f t="shared" si="21"/>
        <v>0.35088276542096158</v>
      </c>
      <c r="BQ18" s="2">
        <v>-5.3627911223302904E-4</v>
      </c>
      <c r="BR18" s="2">
        <f t="shared" si="22"/>
        <v>0.35122407614626616</v>
      </c>
      <c r="BS18" s="2">
        <v>2.5113233653797917E-4</v>
      </c>
      <c r="BT18" s="2">
        <f t="shared" si="7"/>
        <v>0.3510534207836139</v>
      </c>
      <c r="BU18" s="2">
        <v>-1.4255001763313624E-4</v>
      </c>
      <c r="BV18" s="2">
        <f t="shared" si="8"/>
        <v>7.6446596905100933E-8</v>
      </c>
      <c r="BW18" s="2">
        <f t="shared" si="9"/>
        <v>-3.5798919001739633E-8</v>
      </c>
      <c r="BX18" s="2">
        <f t="shared" si="10"/>
        <v>3.4131072530457773E-4</v>
      </c>
      <c r="BY18"/>
      <c r="BZ18" s="2">
        <v>14</v>
      </c>
      <c r="CA18" s="2">
        <f t="shared" si="23"/>
        <v>0.26043542321525448</v>
      </c>
      <c r="CB18" s="2">
        <v>-5.3583682369423569E-4</v>
      </c>
      <c r="CC18" s="2">
        <f t="shared" si="24"/>
        <v>0.260776733940559</v>
      </c>
      <c r="CD18" s="2">
        <v>1.1217536623457647E-4</v>
      </c>
      <c r="CE18" s="2">
        <f t="shared" si="11"/>
        <v>0.26060607857790674</v>
      </c>
      <c r="CF18" s="2">
        <v>-2.1181124130968676E-4</v>
      </c>
      <c r="CG18" s="2">
        <f t="shared" si="12"/>
        <v>1.1349626276611583E-7</v>
      </c>
      <c r="CH18" s="2">
        <f t="shared" si="13"/>
        <v>-2.3760003566514366E-8</v>
      </c>
      <c r="CI18" s="2">
        <f t="shared" si="14"/>
        <v>3.4131072530452222E-4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59.446338175091405</v>
      </c>
      <c r="H19" s="6" t="s">
        <v>104</v>
      </c>
      <c r="J19" s="14" t="s">
        <v>64</v>
      </c>
      <c r="K19" s="6">
        <f xml:space="preserve"> $C$55 * C31 * $C$5</f>
        <v>33.272305526656005</v>
      </c>
      <c r="L19" s="6" t="s">
        <v>7</v>
      </c>
      <c r="N19" s="6" t="s">
        <v>21</v>
      </c>
      <c r="O19" s="6">
        <f xml:space="preserve"> O14 / $C$18</f>
        <v>7286.3491267880318</v>
      </c>
      <c r="P19" s="6" t="s">
        <v>22</v>
      </c>
      <c r="U19" s="2">
        <v>15</v>
      </c>
      <c r="V19" s="2">
        <f t="shared" si="15"/>
        <v>1.971435546875E-2</v>
      </c>
      <c r="W19" s="2">
        <f t="shared" si="0"/>
        <v>2.6632952492840201E-5</v>
      </c>
      <c r="X19" s="2">
        <f t="shared" si="16"/>
        <v>1.9744873046875E-2</v>
      </c>
      <c r="Y19" s="2">
        <f t="shared" si="1"/>
        <v>-3.9495393945945811E-6</v>
      </c>
      <c r="Z19" s="2">
        <f t="shared" si="3"/>
        <v>1.97296142578125E-2</v>
      </c>
      <c r="AA19" s="2">
        <f t="shared" si="2"/>
        <v>1.1341718892533825E-5</v>
      </c>
      <c r="AB19" s="2">
        <f t="shared" si="4"/>
        <v>3.0206346045200152E-10</v>
      </c>
      <c r="AC19" s="2">
        <f t="shared" si="5"/>
        <v>-4.4794565568479966E-11</v>
      </c>
      <c r="AD19" s="2">
        <f t="shared" si="6"/>
        <v>3.0517578125E-5</v>
      </c>
      <c r="AF19" s="2">
        <v>15</v>
      </c>
      <c r="AG19" s="2">
        <f t="shared" si="25"/>
        <v>2970.550537109375</v>
      </c>
      <c r="AH19" s="2">
        <v>-0.10593928428170329</v>
      </c>
      <c r="AI19" s="2">
        <f t="shared" si="26"/>
        <v>2970.8251953125</v>
      </c>
      <c r="AJ19" s="2">
        <v>4.6396614278364723E-2</v>
      </c>
      <c r="AK19" s="2">
        <f t="shared" si="17"/>
        <v>2970.6878662109375</v>
      </c>
      <c r="AL19" s="2">
        <v>-2.9756396566426702E-2</v>
      </c>
      <c r="AM19" s="2">
        <f t="shared" si="18"/>
        <v>3.1523713550497779E-3</v>
      </c>
      <c r="AN19" s="2">
        <f t="shared" si="19"/>
        <v>-1.3805960538065562E-3</v>
      </c>
      <c r="AO19" s="2">
        <f t="shared" si="20"/>
        <v>0.274658203125</v>
      </c>
      <c r="AQ19" s="64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4.5026353086949376E-2</v>
      </c>
      <c r="AW19" s="26"/>
      <c r="AX19"/>
      <c r="AY19" s="2" t="s">
        <v>178</v>
      </c>
      <c r="AZ19" s="33">
        <f xml:space="preserve"> $BH$27 * PI() * $AR$45 * AZ16^2 * $BH$34 * $AR$21^2 * AZ13</f>
        <v>165.14982949110447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298.80368400064879</v>
      </c>
      <c r="BE19" s="26" t="s">
        <v>179</v>
      </c>
      <c r="BF19"/>
      <c r="BG19" s="2" t="s">
        <v>197</v>
      </c>
      <c r="BH19" s="2">
        <f>1/(BH17+1)</f>
        <v>7.4149111011656263E-2</v>
      </c>
      <c r="BI19" s="2"/>
      <c r="BJ19" s="2"/>
      <c r="BK19" s="2" t="s">
        <v>197</v>
      </c>
      <c r="BL19" s="2">
        <f>1/(BL17+1)</f>
        <v>4.8296439301958809E-2</v>
      </c>
      <c r="BM19" s="2"/>
      <c r="BN19"/>
      <c r="BO19" s="2">
        <v>15</v>
      </c>
      <c r="BP19" s="2">
        <f t="shared" si="21"/>
        <v>0.3510534207836139</v>
      </c>
      <c r="BQ19" s="2">
        <v>-1.4255001763313624E-4</v>
      </c>
      <c r="BR19" s="2">
        <f t="shared" si="22"/>
        <v>0.35122407614626616</v>
      </c>
      <c r="BS19" s="2">
        <v>2.5113233653797917E-4</v>
      </c>
      <c r="BT19" s="2">
        <f t="shared" si="7"/>
        <v>0.35113874846494003</v>
      </c>
      <c r="BU19" s="2">
        <v>5.4297010993631378E-5</v>
      </c>
      <c r="BV19" s="2">
        <f t="shared" si="8"/>
        <v>-7.7400398745687453E-9</v>
      </c>
      <c r="BW19" s="2">
        <f t="shared" si="9"/>
        <v>1.363573523785899E-8</v>
      </c>
      <c r="BX19" s="2">
        <f t="shared" si="10"/>
        <v>1.7065536265226111E-4</v>
      </c>
      <c r="BY19"/>
      <c r="BZ19" s="2">
        <v>15</v>
      </c>
      <c r="CA19" s="2">
        <f t="shared" si="23"/>
        <v>0.26060607857790674</v>
      </c>
      <c r="CB19" s="2">
        <v>-2.1181124130968676E-4</v>
      </c>
      <c r="CC19" s="2">
        <f t="shared" si="24"/>
        <v>0.260776733940559</v>
      </c>
      <c r="CD19" s="2">
        <v>1.1217536623457647E-4</v>
      </c>
      <c r="CE19" s="2">
        <f t="shared" si="11"/>
        <v>0.26069140625923287</v>
      </c>
      <c r="CF19" s="2">
        <v>-4.9813057856590293E-5</v>
      </c>
      <c r="CG19" s="2">
        <f t="shared" si="12"/>
        <v>1.0550965618035635E-8</v>
      </c>
      <c r="CH19" s="2">
        <f t="shared" si="13"/>
        <v>-5.587798008327163E-9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237.78535270036562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1.97296142578125E-2</v>
      </c>
      <c r="W20" s="2">
        <f t="shared" si="0"/>
        <v>1.1341718892533825E-5</v>
      </c>
      <c r="X20" s="2">
        <f t="shared" si="16"/>
        <v>1.9744873046875E-2</v>
      </c>
      <c r="Y20" s="2">
        <f t="shared" si="1"/>
        <v>-3.9495393945945811E-6</v>
      </c>
      <c r="Z20" s="2">
        <f t="shared" si="3"/>
        <v>1.973724365234375E-2</v>
      </c>
      <c r="AA20" s="2">
        <f t="shared" si="2"/>
        <v>3.6960928347616606E-6</v>
      </c>
      <c r="AB20" s="2">
        <f t="shared" si="4"/>
        <v>4.1920045932575225E-11</v>
      </c>
      <c r="AC20" s="2">
        <f t="shared" si="5"/>
        <v>-1.4597864256969937E-11</v>
      </c>
      <c r="AD20" s="2">
        <f t="shared" si="6"/>
        <v>1.52587890625E-5</v>
      </c>
      <c r="AF20" s="2">
        <v>16</v>
      </c>
      <c r="AG20" s="2">
        <f t="shared" si="25"/>
        <v>2970.6878662109375</v>
      </c>
      <c r="AH20" s="2">
        <v>-2.9756396566426702E-2</v>
      </c>
      <c r="AI20" s="2">
        <f t="shared" si="26"/>
        <v>2970.8251953125</v>
      </c>
      <c r="AJ20" s="2">
        <v>4.6396614278364723E-2</v>
      </c>
      <c r="AK20" s="2">
        <f t="shared" si="17"/>
        <v>2970.7565307617188</v>
      </c>
      <c r="AL20" s="2">
        <v>8.3350925369813922E-3</v>
      </c>
      <c r="AM20" s="2">
        <f t="shared" si="18"/>
        <v>-2.4802231894828193E-4</v>
      </c>
      <c r="AN20" s="2">
        <f t="shared" si="19"/>
        <v>3.8672007341280211E-4</v>
      </c>
      <c r="AO20" s="2">
        <f t="shared" si="20"/>
        <v>0.1373291015625</v>
      </c>
      <c r="AQ20" s="64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0.19435150293169323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-1.7565500720628791E-9</v>
      </c>
      <c r="BI20" s="40"/>
      <c r="BJ20" s="2"/>
      <c r="BK20" s="7" t="s">
        <v>199</v>
      </c>
      <c r="BL20" s="40">
        <f>SIN(BL4)/(1+BL18) - $AR$3*COS(BL4)/($AV$5*$AR$20*(1-BL19))</f>
        <v>3.5749579546662247E-9</v>
      </c>
      <c r="BM20" s="40"/>
      <c r="BN20"/>
      <c r="BO20" s="2">
        <v>16</v>
      </c>
      <c r="BP20" s="2">
        <f t="shared" si="21"/>
        <v>0.3510534207836139</v>
      </c>
      <c r="BQ20" s="2">
        <v>-1.4255001763313624E-4</v>
      </c>
      <c r="BR20" s="2">
        <f t="shared" si="22"/>
        <v>0.35113874846494003</v>
      </c>
      <c r="BS20" s="2">
        <v>5.4297010993631378E-5</v>
      </c>
      <c r="BT20" s="2">
        <f t="shared" si="7"/>
        <v>0.35109608462427699</v>
      </c>
      <c r="BU20" s="2">
        <v>-4.41250415570138E-5</v>
      </c>
      <c r="BV20" s="2">
        <f t="shared" si="8"/>
        <v>6.2900254520151868E-9</v>
      </c>
      <c r="BW20" s="2">
        <f t="shared" si="9"/>
        <v>-2.3958578665156198E-9</v>
      </c>
      <c r="BX20" s="2">
        <f t="shared" si="10"/>
        <v>8.5327681326130556E-5</v>
      </c>
      <c r="BY20"/>
      <c r="BZ20" s="2">
        <v>16</v>
      </c>
      <c r="CA20" s="2">
        <f t="shared" si="23"/>
        <v>0.26069140625923287</v>
      </c>
      <c r="CB20" s="2">
        <v>-4.9813057856590293E-5</v>
      </c>
      <c r="CC20" s="2">
        <f t="shared" si="24"/>
        <v>0.260776733940559</v>
      </c>
      <c r="CD20" s="2">
        <v>1.1217536623457647E-4</v>
      </c>
      <c r="CE20" s="2">
        <f t="shared" si="11"/>
        <v>0.26073407009989591</v>
      </c>
      <c r="CF20" s="2">
        <v>3.1182375085980762E-5</v>
      </c>
      <c r="CG20" s="2">
        <f t="shared" si="12"/>
        <v>-1.5532894542638594E-9</v>
      </c>
      <c r="CH20" s="2">
        <f t="shared" si="13"/>
        <v>3.4978943453338249E-9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0.26498079391643198</v>
      </c>
      <c r="U21" s="2">
        <v>17</v>
      </c>
      <c r="V21" s="2">
        <f t="shared" si="15"/>
        <v>1.973724365234375E-2</v>
      </c>
      <c r="W21" s="2">
        <f t="shared" si="0"/>
        <v>3.6960928347616606E-6</v>
      </c>
      <c r="X21" s="2">
        <f t="shared" si="16"/>
        <v>1.9744873046875E-2</v>
      </c>
      <c r="Y21" s="2">
        <f t="shared" si="1"/>
        <v>-3.9495393945945811E-6</v>
      </c>
      <c r="Z21" s="2">
        <f t="shared" si="3"/>
        <v>1.9741058349609375E-2</v>
      </c>
      <c r="AA21" s="2">
        <f t="shared" si="2"/>
        <v>-1.2672250847625688E-7</v>
      </c>
      <c r="AB21" s="2">
        <f t="shared" si="4"/>
        <v>-4.683781555821169E-13</v>
      </c>
      <c r="AC21" s="2">
        <f t="shared" si="5"/>
        <v>5.0049553940882224E-13</v>
      </c>
      <c r="AD21" s="2">
        <f t="shared" si="6"/>
        <v>7.62939453125E-6</v>
      </c>
      <c r="AF21" s="2">
        <v>17</v>
      </c>
      <c r="AG21" s="2">
        <f t="shared" si="25"/>
        <v>2970.6878662109375</v>
      </c>
      <c r="AH21" s="2">
        <v>-2.9756396566426702E-2</v>
      </c>
      <c r="AI21" s="2">
        <f t="shared" si="26"/>
        <v>2970.7565307617188</v>
      </c>
      <c r="AJ21" s="2">
        <v>8.3350925369813922E-3</v>
      </c>
      <c r="AK21" s="2">
        <f t="shared" si="17"/>
        <v>2970.7221984863281</v>
      </c>
      <c r="AL21" s="2">
        <v>-1.0725654030011356E-2</v>
      </c>
      <c r="AM21" s="2">
        <f t="shared" si="18"/>
        <v>3.191568147513106E-4</v>
      </c>
      <c r="AN21" s="2">
        <f t="shared" si="19"/>
        <v>-8.9399318859792047E-5</v>
      </c>
      <c r="AO21" s="2">
        <f t="shared" si="20"/>
        <v>6.866455078125E-2</v>
      </c>
      <c r="AQ21" s="64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2" t="s">
        <v>200</v>
      </c>
      <c r="AZ21" s="62"/>
      <c r="BA21" s="62"/>
      <c r="BB21"/>
      <c r="BC21" s="62" t="s">
        <v>201</v>
      </c>
      <c r="BD21" s="62"/>
      <c r="BE21" s="62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0.35109608462427699</v>
      </c>
      <c r="BQ21" s="2">
        <v>-4.41250415570138E-5</v>
      </c>
      <c r="BR21" s="2">
        <f t="shared" si="22"/>
        <v>0.35113874846494003</v>
      </c>
      <c r="BS21" s="2">
        <v>5.4297010993631378E-5</v>
      </c>
      <c r="BT21" s="2">
        <f t="shared" si="7"/>
        <v>0.35111741654460848</v>
      </c>
      <c r="BU21" s="2">
        <v>5.0863502992493093E-6</v>
      </c>
      <c r="BV21" s="2">
        <f t="shared" si="8"/>
        <v>-2.2443541832790534E-10</v>
      </c>
      <c r="BW21" s="2">
        <f t="shared" si="9"/>
        <v>2.7617361811580001E-10</v>
      </c>
      <c r="BX21" s="2">
        <f t="shared" si="10"/>
        <v>4.2663840663037522E-5</v>
      </c>
      <c r="BY21"/>
      <c r="BZ21" s="2">
        <v>17</v>
      </c>
      <c r="CA21" s="2">
        <f t="shared" si="23"/>
        <v>0.26069140625923287</v>
      </c>
      <c r="CB21" s="2">
        <v>-4.9813057856590293E-5</v>
      </c>
      <c r="CC21" s="2">
        <f t="shared" si="24"/>
        <v>0.26073407009989591</v>
      </c>
      <c r="CD21" s="2">
        <v>3.1182375085980762E-5</v>
      </c>
      <c r="CE21" s="2">
        <f t="shared" si="11"/>
        <v>0.26071273817956442</v>
      </c>
      <c r="CF21" s="2">
        <v>-9.3150362830279887E-6</v>
      </c>
      <c r="CG21" s="2">
        <f t="shared" si="12"/>
        <v>4.6401044130271101E-10</v>
      </c>
      <c r="CH21" s="2">
        <f t="shared" si="13"/>
        <v>-2.9046495531689878E-10</v>
      </c>
      <c r="CI21" s="2">
        <f t="shared" si="14"/>
        <v>4.2663840663037522E-5</v>
      </c>
    </row>
    <row r="22" spans="2:87" x14ac:dyDescent="0.2">
      <c r="B22" s="6" t="s">
        <v>288</v>
      </c>
      <c r="C22" s="17">
        <v>50</v>
      </c>
      <c r="D22" s="6" t="s">
        <v>61</v>
      </c>
      <c r="F22" s="54" t="s">
        <v>84</v>
      </c>
      <c r="G22" s="57"/>
      <c r="H22" s="57"/>
      <c r="J22" s="14" t="s">
        <v>117</v>
      </c>
      <c r="K22" s="6">
        <f>$C$55*(0.14*$G$13*1000/745.7)*0.453592</f>
        <v>25.924073079983184</v>
      </c>
      <c r="L22" s="6" t="s">
        <v>7</v>
      </c>
      <c r="N22" s="6" t="s">
        <v>32</v>
      </c>
      <c r="O22" s="6">
        <f xml:space="preserve"> O19 / ($C$47 * PI() * $C$9^2 * O20^2 * $C$9^2)</f>
        <v>4.0452261588732929E-3</v>
      </c>
      <c r="U22" s="2">
        <v>18</v>
      </c>
      <c r="V22" s="2">
        <f t="shared" si="15"/>
        <v>1.973724365234375E-2</v>
      </c>
      <c r="W22" s="2">
        <f t="shared" si="0"/>
        <v>3.6960928347616606E-6</v>
      </c>
      <c r="X22" s="2">
        <f t="shared" si="16"/>
        <v>1.9741058349609375E-2</v>
      </c>
      <c r="Y22" s="2">
        <f t="shared" si="1"/>
        <v>-1.2672250847625688E-7</v>
      </c>
      <c r="Z22" s="2">
        <f t="shared" si="3"/>
        <v>1.9739151000976562E-2</v>
      </c>
      <c r="AA22" s="2">
        <f t="shared" si="2"/>
        <v>1.7846853560057885E-6</v>
      </c>
      <c r="AB22" s="2">
        <f t="shared" si="4"/>
        <v>6.5963627566370581E-12</v>
      </c>
      <c r="AC22" s="2">
        <f t="shared" si="5"/>
        <v>-2.2615980515389505E-13</v>
      </c>
      <c r="AD22" s="2">
        <f t="shared" si="6"/>
        <v>3.814697265625E-6</v>
      </c>
      <c r="AF22" s="2">
        <v>18</v>
      </c>
      <c r="AG22" s="2">
        <f t="shared" si="25"/>
        <v>2970.7221984863281</v>
      </c>
      <c r="AH22" s="2">
        <v>-1.0725654030011356E-2</v>
      </c>
      <c r="AI22" s="2">
        <f t="shared" si="26"/>
        <v>2970.7565307617188</v>
      </c>
      <c r="AJ22" s="2">
        <v>8.3350925369813922E-3</v>
      </c>
      <c r="AK22" s="2">
        <f t="shared" si="17"/>
        <v>2970.7393646240234</v>
      </c>
      <c r="AL22" s="2">
        <v>-1.2102800619686604E-3</v>
      </c>
      <c r="AM22" s="2">
        <f t="shared" si="18"/>
        <v>1.2981045224096555E-5</v>
      </c>
      <c r="AN22" s="2">
        <f t="shared" si="19"/>
        <v>-1.0087796312172359E-5</v>
      </c>
      <c r="AO22" s="2">
        <f t="shared" si="20"/>
        <v>3.4332275390625E-2</v>
      </c>
      <c r="AQ22" s="64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2" t="s">
        <v>185</v>
      </c>
      <c r="BH22" s="62"/>
      <c r="BI22" s="62"/>
      <c r="BJ22" s="2"/>
      <c r="BK22" s="62" t="s">
        <v>186</v>
      </c>
      <c r="BL22" s="62"/>
      <c r="BM22" s="62"/>
      <c r="BN22"/>
      <c r="BO22" s="2">
        <v>18</v>
      </c>
      <c r="BP22" s="2">
        <f t="shared" si="21"/>
        <v>0.35109608462427699</v>
      </c>
      <c r="BQ22" s="2">
        <v>-4.41250415570138E-5</v>
      </c>
      <c r="BR22" s="2">
        <f t="shared" si="22"/>
        <v>0.35111741654460848</v>
      </c>
      <c r="BS22" s="2">
        <v>5.0863502992493093E-6</v>
      </c>
      <c r="BT22" s="2">
        <f t="shared" si="7"/>
        <v>0.35110675058444274</v>
      </c>
      <c r="BU22" s="2">
        <v>-1.9519254251171292E-5</v>
      </c>
      <c r="BV22" s="2">
        <f t="shared" si="8"/>
        <v>8.6128790499485153E-10</v>
      </c>
      <c r="BW22" s="2">
        <f t="shared" si="9"/>
        <v>-9.9281764701568457E-11</v>
      </c>
      <c r="BX22" s="2">
        <f t="shared" si="10"/>
        <v>2.1331920331491006E-5</v>
      </c>
      <c r="BY22"/>
      <c r="BZ22" s="2">
        <v>18</v>
      </c>
      <c r="CA22" s="2">
        <f t="shared" si="23"/>
        <v>0.26071273817956442</v>
      </c>
      <c r="CB22" s="2">
        <v>-9.3150362830279887E-6</v>
      </c>
      <c r="CC22" s="2">
        <f t="shared" si="24"/>
        <v>0.26073407009989591</v>
      </c>
      <c r="CD22" s="2">
        <v>3.1182375085980762E-5</v>
      </c>
      <c r="CE22" s="2">
        <f t="shared" si="11"/>
        <v>0.26072340413973016</v>
      </c>
      <c r="CF22" s="2">
        <v>1.0933745692304209E-5</v>
      </c>
      <c r="CG22" s="2">
        <f t="shared" si="12"/>
        <v>-1.0184823783321467E-10</v>
      </c>
      <c r="CH22" s="2">
        <f t="shared" si="13"/>
        <v>3.4094015927215623E-10</v>
      </c>
      <c r="CI22" s="2">
        <f t="shared" si="14"/>
        <v>2.1331920331491006E-5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63.692699151027206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1.9739151000976562E-2</v>
      </c>
      <c r="W23" s="2">
        <f t="shared" si="0"/>
        <v>1.7846853560057885E-6</v>
      </c>
      <c r="X23" s="2">
        <f t="shared" si="16"/>
        <v>1.9741058349609375E-2</v>
      </c>
      <c r="Y23" s="2">
        <f t="shared" si="1"/>
        <v>-1.2672250847625688E-7</v>
      </c>
      <c r="Z23" s="2">
        <f t="shared" si="3"/>
        <v>1.9740104675292969E-2</v>
      </c>
      <c r="AA23" s="2">
        <f t="shared" si="2"/>
        <v>8.2898147198140482E-7</v>
      </c>
      <c r="AB23" s="2">
        <f t="shared" si="4"/>
        <v>1.479471093445336E-12</v>
      </c>
      <c r="AC23" s="2">
        <f t="shared" si="5"/>
        <v>-1.0505061160982347E-13</v>
      </c>
      <c r="AD23" s="2">
        <f t="shared" si="6"/>
        <v>1.9073486328125E-6</v>
      </c>
      <c r="AF23" s="2">
        <v>19</v>
      </c>
      <c r="AG23" s="2">
        <f t="shared" si="25"/>
        <v>2970.7393646240234</v>
      </c>
      <c r="AH23" s="2">
        <v>-1.2102800619686604E-3</v>
      </c>
      <c r="AI23" s="2">
        <f t="shared" si="26"/>
        <v>2970.7565307617188</v>
      </c>
      <c r="AJ23" s="2">
        <v>8.3350925369813922E-3</v>
      </c>
      <c r="AK23" s="2">
        <f t="shared" si="17"/>
        <v>2970.7479476928711</v>
      </c>
      <c r="AL23" s="2">
        <v>3.5624059701149235E-3</v>
      </c>
      <c r="AM23" s="2">
        <f t="shared" si="18"/>
        <v>-4.3115089182682152E-6</v>
      </c>
      <c r="AN23" s="2">
        <f t="shared" si="19"/>
        <v>2.9692983415202854E-5</v>
      </c>
      <c r="AO23" s="2">
        <f t="shared" si="20"/>
        <v>1.71661376953125E-2</v>
      </c>
      <c r="AQ23" s="64"/>
      <c r="AR23" s="3">
        <f>0.615*($AR$9/2)</f>
        <v>2.46</v>
      </c>
      <c r="AS23" s="26" t="s">
        <v>8</v>
      </c>
      <c r="AT23"/>
      <c r="AU23" s="63" t="s">
        <v>203</v>
      </c>
      <c r="AV23" s="64">
        <f>BH20</f>
        <v>-1.7565500720628791E-9</v>
      </c>
      <c r="AW23" s="64"/>
      <c r="AX23"/>
      <c r="AY23" s="2" t="s">
        <v>158</v>
      </c>
      <c r="AZ23" s="2">
        <f>(1+$BH$56)*$AR$3</f>
        <v>9.6786145660313778</v>
      </c>
      <c r="BA23" s="26" t="s">
        <v>10</v>
      </c>
      <c r="BB23"/>
      <c r="BC23" s="2" t="s">
        <v>158</v>
      </c>
      <c r="BD23" s="2">
        <f>(1+$BL$56)*$AR$3</f>
        <v>10.291515082397733</v>
      </c>
      <c r="BE23" s="26" t="s">
        <v>10</v>
      </c>
      <c r="BF23"/>
      <c r="BG23" s="28" t="s">
        <v>154</v>
      </c>
      <c r="BH23" s="29">
        <f>BT68</f>
        <v>0.21301452525834014</v>
      </c>
      <c r="BI23" s="5" t="s">
        <v>155</v>
      </c>
      <c r="BJ23" s="2"/>
      <c r="BK23" s="28" t="s">
        <v>154</v>
      </c>
      <c r="BL23" s="29">
        <f>CE68</f>
        <v>0.1822527295508739</v>
      </c>
      <c r="BM23" s="5" t="s">
        <v>155</v>
      </c>
      <c r="BN23"/>
      <c r="BO23" s="2">
        <v>19</v>
      </c>
      <c r="BP23" s="2">
        <f t="shared" si="21"/>
        <v>0.35110675058444274</v>
      </c>
      <c r="BQ23" s="2">
        <v>-1.9519254251171292E-5</v>
      </c>
      <c r="BR23" s="2">
        <f t="shared" si="22"/>
        <v>0.35111741654460848</v>
      </c>
      <c r="BS23" s="2">
        <v>5.0863502992493093E-6</v>
      </c>
      <c r="BT23" s="2">
        <f t="shared" si="7"/>
        <v>0.35111208356452561</v>
      </c>
      <c r="BU23" s="2">
        <v>-7.2164291293475014E-6</v>
      </c>
      <c r="BV23" s="2">
        <f t="shared" si="8"/>
        <v>1.4085931496129257E-10</v>
      </c>
      <c r="BW23" s="2">
        <f t="shared" si="9"/>
        <v>-3.6705286461568095E-11</v>
      </c>
      <c r="BX23" s="2">
        <f t="shared" si="10"/>
        <v>1.0665960165745503E-5</v>
      </c>
      <c r="BY23"/>
      <c r="BZ23" s="2">
        <v>19</v>
      </c>
      <c r="CA23" s="2">
        <f t="shared" si="23"/>
        <v>0.26071273817956442</v>
      </c>
      <c r="CB23" s="2">
        <v>-9.3150362830279887E-6</v>
      </c>
      <c r="CC23" s="2">
        <f t="shared" si="24"/>
        <v>0.26072340413973016</v>
      </c>
      <c r="CD23" s="2">
        <v>1.0933745692304209E-5</v>
      </c>
      <c r="CE23" s="2">
        <f t="shared" si="11"/>
        <v>0.26071807115964729</v>
      </c>
      <c r="CF23" s="2">
        <v>8.0937377545942102E-7</v>
      </c>
      <c r="CG23" s="2">
        <f t="shared" si="12"/>
        <v>-7.5393460849358548E-12</v>
      </c>
      <c r="CH23" s="2">
        <f t="shared" si="13"/>
        <v>8.8494870308934381E-12</v>
      </c>
      <c r="CI23" s="2">
        <f t="shared" si="14"/>
        <v>1.0665960165745503E-5</v>
      </c>
    </row>
    <row r="24" spans="2:87" x14ac:dyDescent="0.2">
      <c r="B24" s="59" t="s">
        <v>107</v>
      </c>
      <c r="C24" s="59"/>
      <c r="D24" s="59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8.8497837769863708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30765.045914566352</v>
      </c>
      <c r="P24" s="6" t="s">
        <v>20</v>
      </c>
      <c r="U24" s="2">
        <v>20</v>
      </c>
      <c r="V24" s="2">
        <f t="shared" si="15"/>
        <v>1.9740104675292969E-2</v>
      </c>
      <c r="W24" s="2">
        <f t="shared" si="0"/>
        <v>8.2898147198140482E-7</v>
      </c>
      <c r="X24" s="2">
        <f t="shared" si="16"/>
        <v>1.9741058349609375E-2</v>
      </c>
      <c r="Y24" s="2">
        <f t="shared" si="1"/>
        <v>-1.2672250847625688E-7</v>
      </c>
      <c r="Z24" s="2">
        <f t="shared" si="3"/>
        <v>1.9740581512451172E-2</v>
      </c>
      <c r="AA24" s="2">
        <f t="shared" si="2"/>
        <v>3.511294938071674E-7</v>
      </c>
      <c r="AB24" s="2">
        <f t="shared" si="4"/>
        <v>2.9107984463235122E-13</v>
      </c>
      <c r="AC24" s="2">
        <f t="shared" si="5"/>
        <v>-4.4496010255242558E-14</v>
      </c>
      <c r="AD24" s="2">
        <f t="shared" si="6"/>
        <v>9.5367431640625E-7</v>
      </c>
      <c r="AF24" s="2">
        <v>20</v>
      </c>
      <c r="AG24" s="2">
        <f t="shared" si="25"/>
        <v>2970.7393646240234</v>
      </c>
      <c r="AH24" s="2">
        <v>-1.2102800619686604E-3</v>
      </c>
      <c r="AI24" s="2">
        <f t="shared" si="26"/>
        <v>2970.7479476928711</v>
      </c>
      <c r="AJ24" s="2">
        <v>3.5624059701149235E-3</v>
      </c>
      <c r="AK24" s="2">
        <f t="shared" si="17"/>
        <v>2970.7436561584473</v>
      </c>
      <c r="AL24" s="2">
        <v>1.1760628881347657E-3</v>
      </c>
      <c r="AM24" s="2">
        <f t="shared" si="18"/>
        <v>-1.4233654651307859E-6</v>
      </c>
      <c r="AN24" s="2">
        <f t="shared" si="19"/>
        <v>4.1896134539218887E-6</v>
      </c>
      <c r="AO24" s="2">
        <f t="shared" si="20"/>
        <v>8.58306884765625E-3</v>
      </c>
      <c r="AQ24" s="64"/>
      <c r="AR24" s="3">
        <f>0.725*($AR$9/2)</f>
        <v>2.9</v>
      </c>
      <c r="AS24" s="26" t="s">
        <v>8</v>
      </c>
      <c r="AT24"/>
      <c r="AU24" s="63"/>
      <c r="AV24" s="64">
        <f>BL20</f>
        <v>3.5749579546662247E-9</v>
      </c>
      <c r="AW24" s="64"/>
      <c r="AX24"/>
      <c r="AY24" s="2" t="s">
        <v>163</v>
      </c>
      <c r="AZ24" s="2">
        <f>(1-$BH$57)*$AV$5*$AR$23</f>
        <v>59.777351118842169</v>
      </c>
      <c r="BA24" s="26" t="s">
        <v>10</v>
      </c>
      <c r="BB24"/>
      <c r="BC24" s="2" t="s">
        <v>163</v>
      </c>
      <c r="BD24" s="2">
        <f>(1-$BL$57)*$AV$5*$AR$24</f>
        <v>70.745351731297689</v>
      </c>
      <c r="BE24" s="26" t="s">
        <v>10</v>
      </c>
      <c r="BF24"/>
      <c r="BG24" s="2" t="s">
        <v>159</v>
      </c>
      <c r="BH24" s="2">
        <f>($AR$37+$AR$5)/180*PI()</f>
        <v>0.47484659433574861</v>
      </c>
      <c r="BI24" s="2" t="s">
        <v>155</v>
      </c>
      <c r="BJ24" s="2"/>
      <c r="BK24" s="2" t="s">
        <v>159</v>
      </c>
      <c r="BL24" s="2">
        <f>($AR$38+$AR$5)/180*PI()</f>
        <v>0.45180824820942345</v>
      </c>
      <c r="BM24" s="2" t="s">
        <v>155</v>
      </c>
      <c r="BN24"/>
      <c r="BO24" s="2">
        <v>20</v>
      </c>
      <c r="BP24" s="2">
        <f t="shared" si="21"/>
        <v>0.35111208356452561</v>
      </c>
      <c r="BQ24" s="2">
        <v>-7.2164291293475014E-6</v>
      </c>
      <c r="BR24" s="2">
        <f t="shared" si="22"/>
        <v>0.35111741654460848</v>
      </c>
      <c r="BS24" s="2">
        <v>5.0863502992493093E-6</v>
      </c>
      <c r="BT24" s="2">
        <f t="shared" si="7"/>
        <v>0.35111475005456705</v>
      </c>
      <c r="BU24" s="2">
        <v>-1.0650337030626567E-6</v>
      </c>
      <c r="BV24" s="2">
        <f t="shared" si="8"/>
        <v>7.6857402385181932E-12</v>
      </c>
      <c r="BW24" s="2">
        <f t="shared" si="9"/>
        <v>-5.4171344942833436E-12</v>
      </c>
      <c r="BX24" s="2">
        <f t="shared" si="10"/>
        <v>5.3329800828727514E-6</v>
      </c>
      <c r="BY24"/>
      <c r="BZ24" s="2">
        <v>20</v>
      </c>
      <c r="CA24" s="2">
        <f t="shared" si="23"/>
        <v>0.26071273817956442</v>
      </c>
      <c r="CB24" s="2">
        <v>-9.3150362830279887E-6</v>
      </c>
      <c r="CC24" s="2">
        <f t="shared" si="24"/>
        <v>0.26071807115964729</v>
      </c>
      <c r="CD24" s="2">
        <v>8.0937377545942102E-7</v>
      </c>
      <c r="CE24" s="2">
        <f t="shared" si="11"/>
        <v>0.26071540466960585</v>
      </c>
      <c r="CF24" s="2">
        <v>-4.2528264863339604E-6</v>
      </c>
      <c r="CG24" s="2">
        <f t="shared" si="12"/>
        <v>3.9615233025623279E-11</v>
      </c>
      <c r="CH24" s="2">
        <f t="shared" si="13"/>
        <v>-3.4421262296179412E-12</v>
      </c>
      <c r="CI24" s="2">
        <f t="shared" si="14"/>
        <v>5.3329800828727514E-6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19.012746015232</v>
      </c>
      <c r="L25" s="6" t="s">
        <v>7</v>
      </c>
      <c r="N25" s="6" t="s">
        <v>34</v>
      </c>
      <c r="O25" s="18">
        <f>Z34</f>
        <v>1.9740932155400515E-2</v>
      </c>
      <c r="U25" s="2">
        <v>21</v>
      </c>
      <c r="V25" s="2">
        <f t="shared" si="15"/>
        <v>1.9740581512451172E-2</v>
      </c>
      <c r="W25" s="2">
        <f t="shared" si="0"/>
        <v>3.511294938071674E-7</v>
      </c>
      <c r="X25" s="2">
        <f t="shared" si="16"/>
        <v>1.9741058349609375E-2</v>
      </c>
      <c r="Y25" s="2">
        <f t="shared" si="1"/>
        <v>-1.2672250847625688E-7</v>
      </c>
      <c r="Z25" s="2">
        <f t="shared" si="3"/>
        <v>1.9740819931030273E-2</v>
      </c>
      <c r="AA25" s="2">
        <f t="shared" si="2"/>
        <v>1.1220349567866994E-7</v>
      </c>
      <c r="AB25" s="2">
        <f t="shared" si="4"/>
        <v>3.9397956641046071E-14</v>
      </c>
      <c r="AC25" s="2">
        <f t="shared" si="5"/>
        <v>-1.4218708432205903E-14</v>
      </c>
      <c r="AD25" s="2">
        <f t="shared" si="6"/>
        <v>4.76837158203125E-7</v>
      </c>
      <c r="AF25" s="2">
        <v>21</v>
      </c>
      <c r="AG25" s="2">
        <f t="shared" si="25"/>
        <v>2970.7393646240234</v>
      </c>
      <c r="AH25" s="2">
        <v>-1.2102800619686604E-3</v>
      </c>
      <c r="AI25" s="2">
        <f t="shared" si="26"/>
        <v>2970.7436561584473</v>
      </c>
      <c r="AJ25" s="2">
        <v>1.1760628881347657E-3</v>
      </c>
      <c r="AK25" s="2">
        <f t="shared" si="17"/>
        <v>2970.7415103912354</v>
      </c>
      <c r="AL25" s="2">
        <v>-1.7108603515225695E-5</v>
      </c>
      <c r="AM25" s="2">
        <f t="shared" si="18"/>
        <v>2.0706201722604596E-8</v>
      </c>
      <c r="AN25" s="2">
        <f t="shared" si="19"/>
        <v>-2.0120793662068936E-8</v>
      </c>
      <c r="AO25" s="2">
        <f t="shared" si="20"/>
        <v>4.291534423828125E-3</v>
      </c>
      <c r="AQ25" s="64"/>
      <c r="AR25" s="3">
        <f>0.835*($AR$9/2)</f>
        <v>3.34</v>
      </c>
      <c r="AS25" s="26" t="s">
        <v>8</v>
      </c>
      <c r="AT25"/>
      <c r="AU25" s="63"/>
      <c r="AV25" s="64">
        <f>BH39</f>
        <v>-3.3095017282214201E-9</v>
      </c>
      <c r="AW25" s="64"/>
      <c r="AX25"/>
      <c r="AY25" s="2" t="s">
        <v>167</v>
      </c>
      <c r="AZ25" s="2">
        <f>SQRT(AZ23^2 + AZ24^2)</f>
        <v>60.555819594017024</v>
      </c>
      <c r="BA25" s="26" t="s">
        <v>10</v>
      </c>
      <c r="BB25"/>
      <c r="BC25" s="2" t="s">
        <v>167</v>
      </c>
      <c r="BD25" s="2">
        <f>SQRT(BD23^2 + BD24^2)</f>
        <v>71.489999820088443</v>
      </c>
      <c r="BE25" s="26" t="s">
        <v>10</v>
      </c>
      <c r="BF25"/>
      <c r="BG25" s="2" t="s">
        <v>28</v>
      </c>
      <c r="BH25" s="2">
        <f>BH24-BH23</f>
        <v>0.26183206907740847</v>
      </c>
      <c r="BI25" s="2" t="s">
        <v>155</v>
      </c>
      <c r="BJ25" s="2"/>
      <c r="BK25" s="2" t="s">
        <v>28</v>
      </c>
      <c r="BL25" s="2">
        <f>BL24-BL23</f>
        <v>0.26955551865854954</v>
      </c>
      <c r="BM25" s="2" t="s">
        <v>155</v>
      </c>
      <c r="BN25"/>
      <c r="BO25" s="2">
        <v>21</v>
      </c>
      <c r="BP25" s="2">
        <f t="shared" si="21"/>
        <v>0.35111475005456705</v>
      </c>
      <c r="BQ25" s="2">
        <v>-1.0650337030626567E-6</v>
      </c>
      <c r="BR25" s="2">
        <f t="shared" si="22"/>
        <v>0.35111741654460848</v>
      </c>
      <c r="BS25" s="2">
        <v>5.0863502992493093E-6</v>
      </c>
      <c r="BT25" s="2">
        <f t="shared" si="7"/>
        <v>0.35111608329958777</v>
      </c>
      <c r="BU25" s="2">
        <v>2.0106597261038139E-6</v>
      </c>
      <c r="BV25" s="2">
        <f t="shared" si="8"/>
        <v>-2.1414203736912918E-12</v>
      </c>
      <c r="BW25" s="2">
        <f t="shared" si="9"/>
        <v>1.0226919699556669E-11</v>
      </c>
      <c r="BX25" s="2">
        <f t="shared" si="10"/>
        <v>2.6664900414363757E-6</v>
      </c>
      <c r="BY25"/>
      <c r="BZ25" s="2">
        <v>21</v>
      </c>
      <c r="CA25" s="2">
        <f t="shared" si="23"/>
        <v>0.26071540466960585</v>
      </c>
      <c r="CB25" s="2">
        <v>-4.2528264863339604E-6</v>
      </c>
      <c r="CC25" s="2">
        <f t="shared" si="24"/>
        <v>0.26071807115964729</v>
      </c>
      <c r="CD25" s="2">
        <v>8.0937377545942102E-7</v>
      </c>
      <c r="CE25" s="2">
        <f t="shared" si="11"/>
        <v>0.26071673791462657</v>
      </c>
      <c r="CF25" s="2">
        <v>-1.7217251635504027E-6</v>
      </c>
      <c r="CG25" s="2">
        <f t="shared" si="12"/>
        <v>7.3221983777348226E-12</v>
      </c>
      <c r="CH25" s="2">
        <f t="shared" si="13"/>
        <v>-1.3935191959262785E-12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7279.4243207676773</v>
      </c>
      <c r="H26" t="s">
        <v>22</v>
      </c>
      <c r="J26" s="15" t="s">
        <v>70</v>
      </c>
      <c r="K26" s="6">
        <f xml:space="preserve"> $C$56 * (13 * ($C$5*2.20462/1000)^1.3 * 0.453592)</f>
        <v>54.294636001111193</v>
      </c>
      <c r="L26" s="6" t="s">
        <v>7</v>
      </c>
      <c r="N26" s="6" t="s">
        <v>35</v>
      </c>
      <c r="O26" s="6">
        <f xml:space="preserve"> O20 * $C$9 * O25 - $C$8 * SIN(O18/180*PI())</f>
        <v>1.4348208525254358</v>
      </c>
      <c r="P26" s="6" t="s">
        <v>10</v>
      </c>
      <c r="U26" s="2">
        <v>22</v>
      </c>
      <c r="V26" s="2">
        <f t="shared" si="15"/>
        <v>1.9740819931030273E-2</v>
      </c>
      <c r="W26" s="2">
        <f t="shared" si="0"/>
        <v>1.1220349567866994E-7</v>
      </c>
      <c r="X26" s="2">
        <f t="shared" si="16"/>
        <v>1.9741058349609375E-2</v>
      </c>
      <c r="Y26" s="2">
        <f t="shared" si="1"/>
        <v>-1.2672250847625688E-7</v>
      </c>
      <c r="Z26" s="2">
        <f t="shared" si="3"/>
        <v>1.9740939140319824E-2</v>
      </c>
      <c r="AA26" s="2">
        <f t="shared" si="2"/>
        <v>-7.2595056424540338E-9</v>
      </c>
      <c r="AB26" s="2">
        <f t="shared" si="4"/>
        <v>-8.145419099823712E-16</v>
      </c>
      <c r="AC26" s="2">
        <f t="shared" si="5"/>
        <v>9.1994276530931592E-16</v>
      </c>
      <c r="AD26" s="2">
        <f t="shared" si="6"/>
        <v>2.384185791015625E-7</v>
      </c>
      <c r="AF26" s="2">
        <v>22</v>
      </c>
      <c r="AG26" s="2">
        <f t="shared" si="25"/>
        <v>2970.7415103912354</v>
      </c>
      <c r="AH26" s="2">
        <v>-1.7108603515225695E-5</v>
      </c>
      <c r="AI26" s="2">
        <f t="shared" si="26"/>
        <v>2970.7436561584473</v>
      </c>
      <c r="AJ26" s="2">
        <v>1.1760628881347657E-3</v>
      </c>
      <c r="AK26" s="2">
        <f t="shared" si="17"/>
        <v>2970.7425832748413</v>
      </c>
      <c r="AL26" s="2">
        <v>5.9447548483149149E-4</v>
      </c>
      <c r="AM26" s="2">
        <f t="shared" si="18"/>
        <v>-1.0170645369503555E-8</v>
      </c>
      <c r="AN26" s="2">
        <f t="shared" si="19"/>
        <v>6.9914055561623897E-7</v>
      </c>
      <c r="AO26" s="2">
        <f t="shared" si="20"/>
        <v>2.1457672119140625E-3</v>
      </c>
      <c r="AQ26" s="64"/>
      <c r="AR26" s="3">
        <f>0.945*($AR$9/2)</f>
        <v>3.78</v>
      </c>
      <c r="AS26" s="6" t="s">
        <v>8</v>
      </c>
      <c r="AT26"/>
      <c r="AU26" s="63"/>
      <c r="AV26" s="64">
        <f>BL39</f>
        <v>-3.4190485859175723E-10</v>
      </c>
      <c r="AW26" s="64"/>
      <c r="AX26"/>
      <c r="AY26" s="2" t="s">
        <v>170</v>
      </c>
      <c r="AZ26" s="37">
        <f>$AR$45*AZ25*$AR$31/$AR$46</f>
        <v>917804.78097786859</v>
      </c>
      <c r="BA26" s="26"/>
      <c r="BB26"/>
      <c r="BC26" s="2" t="s">
        <v>170</v>
      </c>
      <c r="BD26" s="37">
        <f>$AR$45*BD25*$AR$32/$AR$46</f>
        <v>1048422.5783267964</v>
      </c>
      <c r="BE26" s="26"/>
      <c r="BF26"/>
      <c r="BG26" s="2" t="s">
        <v>168</v>
      </c>
      <c r="BH26" s="2">
        <f>BH25/PI()*180</f>
        <v>15.001872499313336</v>
      </c>
      <c r="BI26" s="2" t="s">
        <v>43</v>
      </c>
      <c r="BJ26" s="2"/>
      <c r="BK26" s="2" t="s">
        <v>168</v>
      </c>
      <c r="BL26" s="2">
        <f>BL25/PI()*180</f>
        <v>15.444393563594801</v>
      </c>
      <c r="BM26" s="2" t="s">
        <v>43</v>
      </c>
      <c r="BN26"/>
      <c r="BO26" s="2">
        <v>22</v>
      </c>
      <c r="BP26" s="2">
        <f t="shared" si="21"/>
        <v>0.35111475005456705</v>
      </c>
      <c r="BQ26" s="2">
        <v>-1.0650337030626567E-6</v>
      </c>
      <c r="BR26" s="2">
        <f t="shared" si="22"/>
        <v>0.35111608329958777</v>
      </c>
      <c r="BS26" s="2">
        <v>2.0106597261038139E-6</v>
      </c>
      <c r="BT26" s="2">
        <f t="shared" si="7"/>
        <v>0.35111541667707741</v>
      </c>
      <c r="BU26" s="2">
        <v>4.7281336854054778E-7</v>
      </c>
      <c r="BV26" s="2">
        <f t="shared" si="8"/>
        <v>-5.0356217275426822E-13</v>
      </c>
      <c r="BW26" s="2">
        <f t="shared" si="9"/>
        <v>9.5066679808795949E-13</v>
      </c>
      <c r="BX26" s="2">
        <f t="shared" si="10"/>
        <v>1.3332450207181878E-6</v>
      </c>
      <c r="BY26"/>
      <c r="BZ26" s="2">
        <v>22</v>
      </c>
      <c r="CA26" s="2">
        <f t="shared" si="23"/>
        <v>0.26071673791462657</v>
      </c>
      <c r="CB26" s="2">
        <v>-1.7217251635504027E-6</v>
      </c>
      <c r="CC26" s="2">
        <f t="shared" si="24"/>
        <v>0.26071807115964729</v>
      </c>
      <c r="CD26" s="2">
        <v>8.0937377545942102E-7</v>
      </c>
      <c r="CE26" s="2">
        <f t="shared" si="11"/>
        <v>0.26071740453713693</v>
      </c>
      <c r="CF26" s="2">
        <v>-4.5617539608244773E-7</v>
      </c>
      <c r="CG26" s="2">
        <f t="shared" si="12"/>
        <v>7.8540865842772201E-13</v>
      </c>
      <c r="CH26" s="2">
        <f t="shared" si="13"/>
        <v>-3.6921640259894747E-13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323.98774984947391</v>
      </c>
      <c r="H27" s="42" t="s">
        <v>104</v>
      </c>
      <c r="J27" s="10" t="s">
        <v>57</v>
      </c>
      <c r="K27" s="10">
        <f>$C$5 - $C$13 - SUM(K13:K26)</f>
        <v>1.2428598893166054E-5</v>
      </c>
      <c r="L27" s="10" t="s">
        <v>7</v>
      </c>
      <c r="N27" s="6" t="s">
        <v>36</v>
      </c>
      <c r="O27" s="6">
        <f xml:space="preserve"> 1/$C$21 - O24 * SQRT( (2*$C$47*PI()*$C$9^2) / O19^3 )</f>
        <v>0.83526370232909408</v>
      </c>
      <c r="U27" s="2">
        <v>23</v>
      </c>
      <c r="V27" s="2">
        <f t="shared" si="15"/>
        <v>1.9740819931030273E-2</v>
      </c>
      <c r="W27" s="2">
        <f t="shared" si="0"/>
        <v>1.1220349567866994E-7</v>
      </c>
      <c r="X27" s="2">
        <f t="shared" si="16"/>
        <v>1.9740939140319824E-2</v>
      </c>
      <c r="Y27" s="2">
        <f t="shared" si="1"/>
        <v>-7.2595056424540338E-9</v>
      </c>
      <c r="Z27" s="2">
        <f t="shared" si="3"/>
        <v>1.9740879535675049E-2</v>
      </c>
      <c r="AA27" s="2">
        <f t="shared" si="2"/>
        <v>5.2471995203723365E-8</v>
      </c>
      <c r="AB27" s="2">
        <f t="shared" si="4"/>
        <v>5.887541287092164E-15</v>
      </c>
      <c r="AC27" s="2">
        <f t="shared" si="5"/>
        <v>-3.8092074525225075E-16</v>
      </c>
      <c r="AD27" s="2">
        <f t="shared" si="6"/>
        <v>1.1920928955078125E-7</v>
      </c>
      <c r="AF27" s="2">
        <v>23</v>
      </c>
      <c r="AG27" s="2">
        <f t="shared" si="25"/>
        <v>2970.7415103912354</v>
      </c>
      <c r="AH27" s="2">
        <v>-1.7108603515225695E-5</v>
      </c>
      <c r="AI27" s="2">
        <f t="shared" si="26"/>
        <v>2970.7425832748413</v>
      </c>
      <c r="AJ27" s="2">
        <v>5.9447548483149149E-4</v>
      </c>
      <c r="AK27" s="2">
        <f t="shared" si="17"/>
        <v>2970.7420468330383</v>
      </c>
      <c r="AL27" s="2">
        <v>2.7368509427105892E-4</v>
      </c>
      <c r="AM27" s="2">
        <f t="shared" si="18"/>
        <v>-4.6823697659107146E-9</v>
      </c>
      <c r="AN27" s="2">
        <f t="shared" si="19"/>
        <v>1.626990791079402E-7</v>
      </c>
      <c r="AO27" s="2">
        <f t="shared" si="20"/>
        <v>1.0728836059570312E-3</v>
      </c>
      <c r="AQ27" s="64" t="s">
        <v>204</v>
      </c>
      <c r="AR27" s="3">
        <f>0.071475*($AR$9/2)</f>
        <v>0.28589999999999999</v>
      </c>
      <c r="AS27" s="26" t="s">
        <v>8</v>
      </c>
      <c r="AT27"/>
      <c r="AU27" s="63"/>
      <c r="AV27" s="64">
        <f>BH58</f>
        <v>-5.942139558179349E-10</v>
      </c>
      <c r="AW27" s="64"/>
      <c r="AX27"/>
      <c r="AY27" s="2" t="s">
        <v>174</v>
      </c>
      <c r="AZ27" s="33">
        <f xml:space="preserve"> $BH$46 * PI() * $AR$45 * AZ25^2 * $BH$52 * $AR$23 * AZ22</f>
        <v>975.06644476593203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1313.6131773058623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0.35111475005456705</v>
      </c>
      <c r="BQ27" s="2">
        <v>-1.0650337030626567E-6</v>
      </c>
      <c r="BR27" s="2">
        <f t="shared" si="22"/>
        <v>0.35111541667707741</v>
      </c>
      <c r="BS27" s="2">
        <v>4.7281336854054778E-7</v>
      </c>
      <c r="BT27" s="2">
        <f t="shared" si="7"/>
        <v>0.3511150833658222</v>
      </c>
      <c r="BU27" s="2">
        <v>-2.9611007806851219E-7</v>
      </c>
      <c r="BV27" s="2">
        <f t="shared" si="8"/>
        <v>3.153672129594799E-13</v>
      </c>
      <c r="BW27" s="2">
        <f t="shared" si="9"/>
        <v>-1.4000480347037782E-13</v>
      </c>
      <c r="BX27" s="2">
        <f t="shared" si="10"/>
        <v>6.6662251035909392E-7</v>
      </c>
      <c r="BY27"/>
      <c r="BZ27" s="2">
        <v>23</v>
      </c>
      <c r="CA27" s="2">
        <f t="shared" si="23"/>
        <v>0.26071740453713693</v>
      </c>
      <c r="CB27" s="2">
        <v>-4.5617539608244773E-7</v>
      </c>
      <c r="CC27" s="2">
        <f t="shared" si="24"/>
        <v>0.26071807115964729</v>
      </c>
      <c r="CD27" s="2">
        <v>8.0937377545942102E-7</v>
      </c>
      <c r="CE27" s="2">
        <f t="shared" si="11"/>
        <v>0.26071773784839214</v>
      </c>
      <c r="CF27" s="2">
        <v>1.7659926421220717E-7</v>
      </c>
      <c r="CG27" s="2">
        <f t="shared" si="12"/>
        <v>-8.0560239299872448E-14</v>
      </c>
      <c r="CH27" s="2">
        <f t="shared" si="13"/>
        <v>1.4293481321878994E-13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1.9740879535675049E-2</v>
      </c>
      <c r="W28" s="2">
        <f t="shared" si="0"/>
        <v>5.2471995203723365E-8</v>
      </c>
      <c r="X28" s="2">
        <f t="shared" si="16"/>
        <v>1.9740939140319824E-2</v>
      </c>
      <c r="Y28" s="2">
        <f t="shared" si="1"/>
        <v>-7.2595056424540338E-9</v>
      </c>
      <c r="Z28" s="2">
        <f t="shared" si="3"/>
        <v>1.9740909337997437E-2</v>
      </c>
      <c r="AA28" s="2">
        <f t="shared" si="2"/>
        <v>2.2606244827472199E-8</v>
      </c>
      <c r="AB28" s="2">
        <f t="shared" si="4"/>
        <v>1.1861947701613173E-15</v>
      </c>
      <c r="AC28" s="2">
        <f t="shared" si="5"/>
        <v>-1.6411016187973175E-16</v>
      </c>
      <c r="AD28" s="2">
        <f t="shared" si="6"/>
        <v>5.9604644775390625E-8</v>
      </c>
      <c r="AF28" s="2">
        <v>24</v>
      </c>
      <c r="AG28" s="2">
        <f t="shared" si="25"/>
        <v>2970.7415103912354</v>
      </c>
      <c r="AH28" s="2">
        <v>-1.7108603515225695E-5</v>
      </c>
      <c r="AI28" s="2">
        <f t="shared" si="26"/>
        <v>2970.7420468330383</v>
      </c>
      <c r="AJ28" s="2">
        <v>2.7368509427105892E-4</v>
      </c>
      <c r="AK28" s="2">
        <f t="shared" si="17"/>
        <v>2970.7417786121368</v>
      </c>
      <c r="AL28" s="2">
        <v>1.2828824537791661E-4</v>
      </c>
      <c r="AM28" s="2">
        <f t="shared" si="18"/>
        <v>-2.1948327258347609E-9</v>
      </c>
      <c r="AN28" s="2">
        <f t="shared" si="19"/>
        <v>3.5110580530123843E-8</v>
      </c>
      <c r="AO28" s="2">
        <f t="shared" si="20"/>
        <v>5.3644180297851562E-4</v>
      </c>
      <c r="AQ28" s="64"/>
      <c r="AR28" s="3">
        <f>0.069425*($AR$9/2)</f>
        <v>0.2777</v>
      </c>
      <c r="AS28" s="26" t="s">
        <v>8</v>
      </c>
      <c r="AT28"/>
      <c r="AU28" s="63"/>
      <c r="AV28" s="64">
        <f>BL58</f>
        <v>4.158961265654515E-9</v>
      </c>
      <c r="AW28" s="64"/>
      <c r="AX28"/>
      <c r="AY28" s="2" t="s">
        <v>178</v>
      </c>
      <c r="AZ28" s="33">
        <f xml:space="preserve"> $BH$46 * PI() * $AR$45 * AZ25^2 * $BH$53 * $AR$23^2 * AZ22</f>
        <v>471.18521374413996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676.71774082817274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0.99998786095161241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0.9998091017319175</v>
      </c>
      <c r="BM28" s="2"/>
      <c r="BN28"/>
      <c r="BO28" s="2">
        <v>24</v>
      </c>
      <c r="BP28" s="2">
        <f t="shared" si="21"/>
        <v>0.3511150833658222</v>
      </c>
      <c r="BQ28" s="2">
        <v>-2.9611007806851219E-7</v>
      </c>
      <c r="BR28" s="2">
        <f t="shared" si="22"/>
        <v>0.35111541667707741</v>
      </c>
      <c r="BS28" s="2">
        <v>4.7281336854054778E-7</v>
      </c>
      <c r="BT28" s="2">
        <f t="shared" si="7"/>
        <v>0.35111525002144983</v>
      </c>
      <c r="BU28" s="2">
        <v>8.8351667593133953E-8</v>
      </c>
      <c r="BV28" s="2">
        <f t="shared" si="8"/>
        <v>-2.6161819188486133E-14</v>
      </c>
      <c r="BW28" s="2">
        <f t="shared" si="9"/>
        <v>4.1773849570884415E-14</v>
      </c>
      <c r="BX28" s="2">
        <f t="shared" si="10"/>
        <v>3.3331125520730254E-7</v>
      </c>
      <c r="BY28"/>
      <c r="BZ28" s="2">
        <v>24</v>
      </c>
      <c r="CA28" s="2">
        <f t="shared" si="23"/>
        <v>0.26071740453713693</v>
      </c>
      <c r="CB28" s="2">
        <v>-4.5617539608244773E-7</v>
      </c>
      <c r="CC28" s="2">
        <f t="shared" si="24"/>
        <v>0.26071773784839214</v>
      </c>
      <c r="CD28" s="2">
        <v>1.7659926421220717E-7</v>
      </c>
      <c r="CE28" s="2">
        <f t="shared" si="11"/>
        <v>0.26071757119276451</v>
      </c>
      <c r="CF28" s="2">
        <v>-1.3978804737357908E-7</v>
      </c>
      <c r="CG28" s="2">
        <f t="shared" si="12"/>
        <v>6.3767867878234404E-14</v>
      </c>
      <c r="CH28" s="2">
        <f t="shared" si="13"/>
        <v>-2.4686466311835225E-14</v>
      </c>
      <c r="CI28" s="2">
        <f t="shared" si="14"/>
        <v>3.3331125520730254E-7</v>
      </c>
    </row>
    <row r="29" spans="2:87" x14ac:dyDescent="0.2">
      <c r="B29" s="59" t="s">
        <v>111</v>
      </c>
      <c r="C29" s="59"/>
      <c r="D29" s="59"/>
      <c r="F29" s="54" t="s">
        <v>289</v>
      </c>
      <c r="G29" s="57"/>
      <c r="H29" s="57"/>
      <c r="N29" s="6" t="s">
        <v>38</v>
      </c>
      <c r="O29" s="6">
        <f xml:space="preserve"> 1/$C$53 * LN( EXP($C$53 * O27) + EXP($C$53 * O28) )</f>
        <v>1.1500026437135862</v>
      </c>
      <c r="U29" s="2">
        <v>25</v>
      </c>
      <c r="V29" s="2">
        <f t="shared" si="15"/>
        <v>1.9740909337997437E-2</v>
      </c>
      <c r="W29" s="2">
        <f t="shared" si="0"/>
        <v>2.2606244827472199E-8</v>
      </c>
      <c r="X29" s="2">
        <f t="shared" si="16"/>
        <v>1.9740939140319824E-2</v>
      </c>
      <c r="Y29" s="2">
        <f t="shared" si="1"/>
        <v>-7.2595056424540338E-9</v>
      </c>
      <c r="Z29" s="2">
        <f t="shared" si="3"/>
        <v>1.974092423915863E-2</v>
      </c>
      <c r="AA29" s="2">
        <f t="shared" si="2"/>
        <v>7.6733696029174236E-9</v>
      </c>
      <c r="AB29" s="2">
        <f t="shared" si="4"/>
        <v>1.7346607189523441E-16</v>
      </c>
      <c r="AC29" s="2">
        <f t="shared" si="5"/>
        <v>-5.5704869929014311E-17</v>
      </c>
      <c r="AD29" s="2">
        <f t="shared" si="6"/>
        <v>2.9802322387695312E-8</v>
      </c>
      <c r="AF29" s="2">
        <v>25</v>
      </c>
      <c r="AG29" s="2">
        <f t="shared" si="25"/>
        <v>2970.7415103912354</v>
      </c>
      <c r="AH29" s="2">
        <v>-1.7108603515225695E-5</v>
      </c>
      <c r="AI29" s="2">
        <f t="shared" si="26"/>
        <v>2970.7417786121368</v>
      </c>
      <c r="AJ29" s="2">
        <v>1.2828824537791661E-4</v>
      </c>
      <c r="AK29" s="2">
        <f t="shared" si="17"/>
        <v>2970.7416445016861</v>
      </c>
      <c r="AL29" s="2">
        <v>5.5589819567103405E-5</v>
      </c>
      <c r="AM29" s="2">
        <f t="shared" si="18"/>
        <v>-9.5106418245650745E-10</v>
      </c>
      <c r="AN29" s="2">
        <f t="shared" si="19"/>
        <v>7.1315204131386721E-9</v>
      </c>
      <c r="AO29" s="2">
        <f t="shared" si="20"/>
        <v>2.6822090148925781E-4</v>
      </c>
      <c r="AQ29" s="64"/>
      <c r="AR29" s="3">
        <f>0.067375*($AR$9/2)</f>
        <v>0.26950000000000002</v>
      </c>
      <c r="AS29" s="26" t="s">
        <v>8</v>
      </c>
      <c r="AT29"/>
      <c r="AU29" s="63"/>
      <c r="AV29" s="64">
        <f>BH77</f>
        <v>1.4573390445804524E-9</v>
      </c>
      <c r="AW29" s="64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0.99544416798273128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0.99884200022536518</v>
      </c>
      <c r="BM29" s="2"/>
      <c r="BN29"/>
      <c r="BO29" s="2">
        <v>25</v>
      </c>
      <c r="BP29" s="2">
        <f t="shared" si="21"/>
        <v>0.3511150833658222</v>
      </c>
      <c r="BQ29" s="2">
        <v>-2.9611007806851219E-7</v>
      </c>
      <c r="BR29" s="2">
        <f t="shared" si="22"/>
        <v>0.35111525002144983</v>
      </c>
      <c r="BS29" s="2">
        <v>8.8351667593133953E-8</v>
      </c>
      <c r="BT29" s="2">
        <f t="shared" si="7"/>
        <v>0.35111516669363602</v>
      </c>
      <c r="BU29" s="2">
        <v>-1.03879199686574E-7</v>
      </c>
      <c r="BV29" s="2">
        <f t="shared" si="8"/>
        <v>3.0759677928885995E-14</v>
      </c>
      <c r="BW29" s="2">
        <f t="shared" si="9"/>
        <v>-9.1779005205489709E-15</v>
      </c>
      <c r="BX29" s="2">
        <f t="shared" si="10"/>
        <v>1.6665562763140684E-7</v>
      </c>
      <c r="BY29"/>
      <c r="BZ29" s="2">
        <v>25</v>
      </c>
      <c r="CA29" s="2">
        <f t="shared" si="23"/>
        <v>0.26071757119276451</v>
      </c>
      <c r="CB29" s="2">
        <v>-1.3978804737357908E-7</v>
      </c>
      <c r="CC29" s="2">
        <f t="shared" si="24"/>
        <v>0.26071773784839214</v>
      </c>
      <c r="CD29" s="2">
        <v>1.7659926421220717E-7</v>
      </c>
      <c r="CE29" s="2">
        <f t="shared" si="11"/>
        <v>0.26071765452057832</v>
      </c>
      <c r="CF29" s="2">
        <v>1.8405613075311855E-8</v>
      </c>
      <c r="CG29" s="2">
        <f t="shared" si="12"/>
        <v>-2.5728847125114602E-15</v>
      </c>
      <c r="CH29" s="2">
        <f t="shared" si="13"/>
        <v>3.2504177264746533E-15</v>
      </c>
      <c r="CI29" s="2">
        <f t="shared" si="14"/>
        <v>1.6665562763140684E-7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8" t="s">
        <v>116</v>
      </c>
      <c r="K30" s="58"/>
      <c r="L30" s="58"/>
      <c r="U30" s="2">
        <v>26</v>
      </c>
      <c r="V30" s="2">
        <f t="shared" si="15"/>
        <v>1.974092423915863E-2</v>
      </c>
      <c r="W30" s="2">
        <f t="shared" si="0"/>
        <v>7.6733696029174236E-9</v>
      </c>
      <c r="X30" s="2">
        <f t="shared" si="16"/>
        <v>1.9740939140319824E-2</v>
      </c>
      <c r="Y30" s="2">
        <f t="shared" si="1"/>
        <v>-7.2595056424540338E-9</v>
      </c>
      <c r="Z30" s="2">
        <f t="shared" si="3"/>
        <v>1.9740931689739227E-2</v>
      </c>
      <c r="AA30" s="2">
        <f t="shared" si="2"/>
        <v>2.0693198196641838E-10</v>
      </c>
      <c r="AB30" s="2">
        <f t="shared" si="4"/>
        <v>1.5878655802925713E-18</v>
      </c>
      <c r="AC30" s="2">
        <f t="shared" si="5"/>
        <v>-1.5022238906894106E-18</v>
      </c>
      <c r="AD30" s="2">
        <f t="shared" si="6"/>
        <v>1.4901161193847656E-8</v>
      </c>
      <c r="AF30" s="2">
        <v>26</v>
      </c>
      <c r="AG30" s="2">
        <f t="shared" si="25"/>
        <v>2970.7415103912354</v>
      </c>
      <c r="AH30" s="2">
        <v>-1.7108603515225695E-5</v>
      </c>
      <c r="AI30" s="2">
        <f t="shared" si="26"/>
        <v>2970.7416445016861</v>
      </c>
      <c r="AJ30" s="2">
        <v>5.5589819567103405E-5</v>
      </c>
      <c r="AK30" s="2">
        <f t="shared" si="17"/>
        <v>2970.7415774464607</v>
      </c>
      <c r="AL30" s="2">
        <v>1.9240610527049284E-5</v>
      </c>
      <c r="AM30" s="2">
        <f t="shared" si="18"/>
        <v>-3.2917997689816391E-10</v>
      </c>
      <c r="AN30" s="2">
        <f t="shared" si="19"/>
        <v>1.0695820675595801E-9</v>
      </c>
      <c r="AO30" s="2">
        <f t="shared" si="20"/>
        <v>1.3411045074462891E-4</v>
      </c>
      <c r="AQ30" s="64"/>
      <c r="AR30" s="3">
        <f>0.065325*($AR$9/2)</f>
        <v>0.26129999999999998</v>
      </c>
      <c r="AS30" s="26" t="s">
        <v>8</v>
      </c>
      <c r="AT30"/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X30"/>
      <c r="AY30" s="62" t="s">
        <v>206</v>
      </c>
      <c r="AZ30" s="62"/>
      <c r="BA30" s="62"/>
      <c r="BB30"/>
      <c r="BC30" s="62" t="s">
        <v>220</v>
      </c>
      <c r="BD30" s="62"/>
      <c r="BE30" s="62"/>
      <c r="BF30"/>
      <c r="BG30" s="2" t="s">
        <v>183</v>
      </c>
      <c r="BH30" s="2">
        <f>IF(BH23=0,1,BH28*BH29)</f>
        <v>0.99543208423780893</v>
      </c>
      <c r="BI30" s="2"/>
      <c r="BJ30" s="2"/>
      <c r="BK30" s="2" t="s">
        <v>183</v>
      </c>
      <c r="BL30" s="2">
        <f>IF(BL23=0,1,BL28*BL29)</f>
        <v>0.99865132301743409</v>
      </c>
      <c r="BM30" s="2"/>
      <c r="BN30"/>
      <c r="BO30" s="2">
        <v>26</v>
      </c>
      <c r="BP30" s="2">
        <f t="shared" si="21"/>
        <v>0.35111516669363602</v>
      </c>
      <c r="BQ30" s="2">
        <v>-1.03879199686574E-7</v>
      </c>
      <c r="BR30" s="2">
        <f t="shared" si="22"/>
        <v>0.35111525002144983</v>
      </c>
      <c r="BS30" s="2">
        <v>8.8351667593133953E-8</v>
      </c>
      <c r="BT30" s="2">
        <f t="shared" si="7"/>
        <v>0.35111520835754295</v>
      </c>
      <c r="BU30" s="2">
        <v>-7.7637645756745144E-9</v>
      </c>
      <c r="BV30" s="2">
        <f t="shared" si="8"/>
        <v>8.0649365067604231E-16</v>
      </c>
      <c r="BW30" s="2">
        <f t="shared" si="9"/>
        <v>-6.8594154706134342E-16</v>
      </c>
      <c r="BX30" s="2">
        <f t="shared" si="10"/>
        <v>8.3327813815703422E-8</v>
      </c>
      <c r="BY30"/>
      <c r="BZ30" s="2">
        <v>26</v>
      </c>
      <c r="CA30" s="2">
        <f t="shared" si="23"/>
        <v>0.26071757119276451</v>
      </c>
      <c r="CB30" s="2">
        <v>-1.3978804737357908E-7</v>
      </c>
      <c r="CC30" s="2">
        <f t="shared" si="24"/>
        <v>0.26071765452057832</v>
      </c>
      <c r="CD30" s="2">
        <v>1.8405613075311855E-8</v>
      </c>
      <c r="CE30" s="2">
        <f t="shared" si="11"/>
        <v>0.26071761285667139</v>
      </c>
      <c r="CF30" s="2">
        <v>-6.0691216038910589E-8</v>
      </c>
      <c r="CG30" s="2">
        <f t="shared" si="12"/>
        <v>8.4839065828073564E-15</v>
      </c>
      <c r="CH30" s="2">
        <f t="shared" si="13"/>
        <v>-1.1170590394823493E-15</v>
      </c>
      <c r="CI30" s="2">
        <f t="shared" si="14"/>
        <v>8.3327813815703422E-8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237.78535270036562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1.9740931689739227E-2</v>
      </c>
      <c r="W31" s="2">
        <f t="shared" si="0"/>
        <v>2.0693198196641838E-10</v>
      </c>
      <c r="X31" s="2">
        <f t="shared" si="16"/>
        <v>1.9740939140319824E-2</v>
      </c>
      <c r="Y31" s="2">
        <f t="shared" si="1"/>
        <v>-7.2595056424540338E-9</v>
      </c>
      <c r="Z31" s="2">
        <f t="shared" si="3"/>
        <v>1.9740935415029526E-2</v>
      </c>
      <c r="AA31" s="2">
        <f t="shared" si="2"/>
        <v>-3.5262868319785312E-9</v>
      </c>
      <c r="AB31" s="2">
        <f t="shared" si="4"/>
        <v>-7.2970152312340006E-19</v>
      </c>
      <c r="AC31" s="2">
        <f t="shared" si="5"/>
        <v>2.5599099153659507E-17</v>
      </c>
      <c r="AD31" s="2">
        <f t="shared" si="6"/>
        <v>7.4505805969238281E-9</v>
      </c>
      <c r="AF31" s="2">
        <v>27</v>
      </c>
      <c r="AG31" s="2">
        <f t="shared" si="25"/>
        <v>2970.7415103912354</v>
      </c>
      <c r="AH31" s="2">
        <v>-1.7108603515225695E-5</v>
      </c>
      <c r="AI31" s="2">
        <f t="shared" si="26"/>
        <v>2970.7415774464607</v>
      </c>
      <c r="AJ31" s="2">
        <v>1.9240610527049284E-5</v>
      </c>
      <c r="AK31" s="2">
        <f t="shared" si="17"/>
        <v>2970.741543918848</v>
      </c>
      <c r="AL31" s="2">
        <v>1.0660050975275226E-6</v>
      </c>
      <c r="AM31" s="2">
        <f t="shared" si="18"/>
        <v>-1.8237858558807883E-11</v>
      </c>
      <c r="AN31" s="2">
        <f t="shared" si="19"/>
        <v>2.051058890137625E-11</v>
      </c>
      <c r="AO31" s="2">
        <f t="shared" si="20"/>
        <v>6.7055225372314453E-5</v>
      </c>
      <c r="AQ31" s="64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1.5532045509808687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1.5602345306400032</v>
      </c>
      <c r="BM31" s="2"/>
      <c r="BN31"/>
      <c r="BO31" s="2">
        <v>27</v>
      </c>
      <c r="BP31" s="2">
        <f t="shared" si="21"/>
        <v>0.35111520835754295</v>
      </c>
      <c r="BQ31" s="2">
        <v>-7.7637645756745144E-9</v>
      </c>
      <c r="BR31" s="2">
        <f t="shared" si="22"/>
        <v>0.35111525002144983</v>
      </c>
      <c r="BS31" s="2">
        <v>8.8351667593133953E-8</v>
      </c>
      <c r="BT31" s="2">
        <f t="shared" si="7"/>
        <v>0.35111522918949639</v>
      </c>
      <c r="BU31" s="2">
        <v>4.02939517585299E-8</v>
      </c>
      <c r="BV31" s="2">
        <f t="shared" si="8"/>
        <v>-3.1283275527681222E-16</v>
      </c>
      <c r="BW31" s="2">
        <f t="shared" si="9"/>
        <v>3.5600378317834092E-15</v>
      </c>
      <c r="BX31" s="2">
        <f t="shared" si="10"/>
        <v>4.1663906880096135E-8</v>
      </c>
      <c r="BY31"/>
      <c r="BZ31" s="2">
        <v>27</v>
      </c>
      <c r="CA31" s="2">
        <f t="shared" si="23"/>
        <v>0.26071761285667139</v>
      </c>
      <c r="CB31" s="2">
        <v>-6.0691216038910589E-8</v>
      </c>
      <c r="CC31" s="2">
        <f t="shared" si="24"/>
        <v>0.26071765452057832</v>
      </c>
      <c r="CD31" s="2">
        <v>1.8405613075311855E-8</v>
      </c>
      <c r="CE31" s="2">
        <f t="shared" si="11"/>
        <v>0.26071763368862488</v>
      </c>
      <c r="CF31" s="2">
        <v>-2.1142801079343521E-8</v>
      </c>
      <c r="CG31" s="2">
        <f t="shared" si="12"/>
        <v>1.2831823079741496E-15</v>
      </c>
      <c r="CH31" s="2">
        <f t="shared" si="13"/>
        <v>-3.8914621599468272E-16</v>
      </c>
      <c r="CI31" s="2">
        <f t="shared" si="14"/>
        <v>4.1663906935607287E-8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1392.73</v>
      </c>
      <c r="L32" s="6" t="s">
        <v>7</v>
      </c>
      <c r="U32" s="2">
        <v>28</v>
      </c>
      <c r="V32" s="2">
        <f t="shared" si="15"/>
        <v>1.9740931689739227E-2</v>
      </c>
      <c r="W32" s="2">
        <f t="shared" si="0"/>
        <v>2.0693198196641838E-10</v>
      </c>
      <c r="X32" s="2">
        <f t="shared" si="16"/>
        <v>1.9740935415029526E-2</v>
      </c>
      <c r="Y32" s="2">
        <f t="shared" si="1"/>
        <v>-3.5262868319785312E-9</v>
      </c>
      <c r="Z32" s="2">
        <f t="shared" si="3"/>
        <v>1.9740933552384377E-2</v>
      </c>
      <c r="AA32" s="2">
        <f t="shared" si="2"/>
        <v>-1.6596774232713329E-9</v>
      </c>
      <c r="AB32" s="2">
        <f t="shared" si="4"/>
        <v>-3.4344033862245519E-19</v>
      </c>
      <c r="AC32" s="2">
        <f t="shared" si="5"/>
        <v>5.8524986430137601E-18</v>
      </c>
      <c r="AD32" s="2">
        <f t="shared" si="6"/>
        <v>3.7252902984619141E-9</v>
      </c>
      <c r="AF32" s="2">
        <v>28</v>
      </c>
      <c r="AG32" s="2">
        <f t="shared" si="25"/>
        <v>2970.7415103912354</v>
      </c>
      <c r="AH32" s="2">
        <v>-1.7108603515225695E-5</v>
      </c>
      <c r="AI32" s="2">
        <f t="shared" si="26"/>
        <v>2970.741543918848</v>
      </c>
      <c r="AJ32" s="2">
        <v>1.0660050975275226E-6</v>
      </c>
      <c r="AK32" s="2">
        <f t="shared" si="17"/>
        <v>2970.7415271550417</v>
      </c>
      <c r="AL32" s="2">
        <v>-8.0212985267280601E-6</v>
      </c>
      <c r="AM32" s="2">
        <f t="shared" si="18"/>
        <v>1.3723321617105438E-10</v>
      </c>
      <c r="AN32" s="2">
        <f t="shared" si="19"/>
        <v>-8.550745118282119E-12</v>
      </c>
      <c r="AO32" s="2">
        <f t="shared" si="20"/>
        <v>3.3527612686157227E-5</v>
      </c>
      <c r="AQ32" s="64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11.020252437870171</v>
      </c>
      <c r="BA32" s="26" t="s">
        <v>10</v>
      </c>
      <c r="BB32"/>
      <c r="BC32" s="2" t="s">
        <v>158</v>
      </c>
      <c r="BD32" s="2">
        <f>(1+$BL$75)*$AR$3</f>
        <v>13.195364417346388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4.8958080277724345E-2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5.284741167215494E-2</v>
      </c>
      <c r="BM32" s="2"/>
      <c r="BN32"/>
      <c r="BO32" s="2">
        <v>28</v>
      </c>
      <c r="BP32" s="2">
        <f t="shared" si="21"/>
        <v>0.35111520835754295</v>
      </c>
      <c r="BQ32" s="2">
        <v>-7.7637645756745144E-9</v>
      </c>
      <c r="BR32" s="2">
        <f t="shared" si="22"/>
        <v>0.35111522918949639</v>
      </c>
      <c r="BS32" s="2">
        <v>4.02939517585299E-8</v>
      </c>
      <c r="BT32" s="2">
        <f t="shared" si="7"/>
        <v>0.3511152187735197</v>
      </c>
      <c r="BU32" s="2">
        <v>1.6265093744083359E-8</v>
      </c>
      <c r="BV32" s="2">
        <f t="shared" si="8"/>
        <v>-1.2627835863033954E-16</v>
      </c>
      <c r="BW32" s="2">
        <f t="shared" si="9"/>
        <v>6.5538490267206133E-16</v>
      </c>
      <c r="BX32" s="2">
        <f t="shared" si="10"/>
        <v>2.0831953440048068E-8</v>
      </c>
      <c r="BY32"/>
      <c r="BZ32" s="2">
        <v>28</v>
      </c>
      <c r="CA32" s="2">
        <f t="shared" si="23"/>
        <v>0.26071763368862488</v>
      </c>
      <c r="CB32" s="2">
        <v>-2.1142801079343521E-8</v>
      </c>
      <c r="CC32" s="2">
        <f t="shared" si="24"/>
        <v>0.26071765452057832</v>
      </c>
      <c r="CD32" s="2">
        <v>1.8405613075311855E-8</v>
      </c>
      <c r="CE32" s="2">
        <f t="shared" si="11"/>
        <v>0.26071764410460163</v>
      </c>
      <c r="CF32" s="2">
        <v>-1.3685939187491059E-9</v>
      </c>
      <c r="CG32" s="2">
        <f t="shared" si="12"/>
        <v>2.8935908982511574E-17</v>
      </c>
      <c r="CH32" s="2">
        <f t="shared" si="13"/>
        <v>-2.5189810125720833E-17</v>
      </c>
      <c r="CI32" s="2">
        <f t="shared" si="14"/>
        <v>2.0831953440048068E-8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635.34</v>
      </c>
      <c r="L33" s="6" t="s">
        <v>7</v>
      </c>
      <c r="U33" s="2">
        <v>29</v>
      </c>
      <c r="V33" s="2">
        <f t="shared" si="15"/>
        <v>1.9740931689739227E-2</v>
      </c>
      <c r="W33" s="2">
        <f t="shared" si="0"/>
        <v>2.0693198196641838E-10</v>
      </c>
      <c r="X33" s="2">
        <f t="shared" si="16"/>
        <v>1.9740933552384377E-2</v>
      </c>
      <c r="Y33" s="2">
        <f t="shared" si="1"/>
        <v>-1.6596774232713329E-9</v>
      </c>
      <c r="Z33" s="2">
        <f t="shared" si="3"/>
        <v>1.9740932621061802E-2</v>
      </c>
      <c r="AA33" s="2">
        <f t="shared" si="2"/>
        <v>-7.2637272238718076E-10</v>
      </c>
      <c r="AB33" s="2">
        <f t="shared" si="4"/>
        <v>-1.503097470899223E-19</v>
      </c>
      <c r="AC33" s="2">
        <f t="shared" si="5"/>
        <v>1.2055444082261395E-18</v>
      </c>
      <c r="AD33" s="2">
        <f t="shared" si="6"/>
        <v>1.862645149230957E-9</v>
      </c>
      <c r="AF33" s="2">
        <v>29</v>
      </c>
      <c r="AG33" s="2">
        <f t="shared" si="25"/>
        <v>2970.7415271550417</v>
      </c>
      <c r="AH33" s="2">
        <v>-8.0212985267280601E-6</v>
      </c>
      <c r="AI33" s="2">
        <f t="shared" si="26"/>
        <v>2970.741543918848</v>
      </c>
      <c r="AJ33" s="2">
        <v>1.0660050975275226E-6</v>
      </c>
      <c r="AK33" s="2">
        <f t="shared" si="17"/>
        <v>2970.7415355369449</v>
      </c>
      <c r="AL33" s="2">
        <v>-3.4776471693476196E-6</v>
      </c>
      <c r="AM33" s="2">
        <f t="shared" si="18"/>
        <v>2.789524611596807E-11</v>
      </c>
      <c r="AN33" s="2">
        <f t="shared" si="19"/>
        <v>-3.7071896099267222E-12</v>
      </c>
      <c r="AO33" s="2">
        <f t="shared" si="20"/>
        <v>1.6763806343078613E-5</v>
      </c>
      <c r="AQ33" s="64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81.679036933769666</v>
      </c>
      <c r="BA33" s="26" t="s">
        <v>10</v>
      </c>
      <c r="BB33"/>
      <c r="BC33" s="2" t="s">
        <v>163</v>
      </c>
      <c r="BD33" s="2">
        <f>(1-$BL$76)*$AV$5*$AR$26</f>
        <v>92.252457960990952</v>
      </c>
      <c r="BE33" s="26" t="s">
        <v>10</v>
      </c>
      <c r="BF33"/>
      <c r="BG33" s="2" t="s">
        <v>190</v>
      </c>
      <c r="BH33" s="2">
        <f xml:space="preserve"> BH31*COS(BH23) - BH32*SIN(BH23)</f>
        <v>1.5077490284372648</v>
      </c>
      <c r="BI33" s="2"/>
      <c r="BJ33"/>
      <c r="BK33" s="2" t="s">
        <v>190</v>
      </c>
      <c r="BL33" s="2">
        <f xml:space="preserve"> BL31*COS(BL23) - BL32*SIN(BL23)</f>
        <v>1.5248154041235191</v>
      </c>
      <c r="BM33" s="2"/>
      <c r="BN33"/>
      <c r="BO33" s="2">
        <v>29</v>
      </c>
      <c r="BP33" s="2">
        <f t="shared" si="21"/>
        <v>0.35111520835754295</v>
      </c>
      <c r="BQ33" s="2">
        <v>-7.7637645756745144E-9</v>
      </c>
      <c r="BR33" s="2">
        <f t="shared" si="22"/>
        <v>0.3511152187735197</v>
      </c>
      <c r="BS33" s="2">
        <v>1.6265093744083359E-8</v>
      </c>
      <c r="BT33" s="2">
        <f t="shared" si="7"/>
        <v>0.35111521356553133</v>
      </c>
      <c r="BU33" s="2">
        <v>4.25066459808221E-9</v>
      </c>
      <c r="BV33" s="2">
        <f t="shared" si="8"/>
        <v>-3.3001159229664409E-17</v>
      </c>
      <c r="BW33" s="2">
        <f t="shared" si="9"/>
        <v>6.9137458162463561E-17</v>
      </c>
      <c r="BX33" s="2">
        <f t="shared" si="10"/>
        <v>1.0415976747779609E-8</v>
      </c>
      <c r="BY33"/>
      <c r="BZ33" s="2">
        <v>29</v>
      </c>
      <c r="CA33" s="2">
        <f t="shared" si="23"/>
        <v>0.26071764410460163</v>
      </c>
      <c r="CB33" s="2">
        <v>-1.3685939187491059E-9</v>
      </c>
      <c r="CC33" s="2">
        <f t="shared" si="24"/>
        <v>0.26071765452057832</v>
      </c>
      <c r="CD33" s="2">
        <v>1.8405613075311855E-8</v>
      </c>
      <c r="CE33" s="2">
        <f t="shared" si="11"/>
        <v>0.26071764931259001</v>
      </c>
      <c r="CF33" s="2">
        <v>8.5185096754258893E-9</v>
      </c>
      <c r="CG33" s="2">
        <f t="shared" si="12"/>
        <v>-1.1658380538593292E-17</v>
      </c>
      <c r="CH33" s="2">
        <f t="shared" si="13"/>
        <v>1.567883930641893E-16</v>
      </c>
      <c r="CI33" s="2">
        <f t="shared" si="14"/>
        <v>1.0415976692268458E-8</v>
      </c>
    </row>
    <row r="34" spans="2:87" x14ac:dyDescent="0.2">
      <c r="J34" s="20" t="s">
        <v>72</v>
      </c>
      <c r="K34" s="6">
        <f>ROUND(SUM(K18:K22),2)</f>
        <v>196.82</v>
      </c>
      <c r="L34" s="6" t="s">
        <v>7</v>
      </c>
      <c r="U34" s="2">
        <v>30</v>
      </c>
      <c r="V34" s="2">
        <f t="shared" si="15"/>
        <v>1.9740931689739227E-2</v>
      </c>
      <c r="W34" s="2">
        <f t="shared" si="0"/>
        <v>2.0693198196641838E-10</v>
      </c>
      <c r="X34" s="2">
        <f t="shared" si="16"/>
        <v>1.9740932621061802E-2</v>
      </c>
      <c r="Y34" s="2">
        <f t="shared" si="1"/>
        <v>-7.2637272238718076E-10</v>
      </c>
      <c r="Z34" s="2">
        <f t="shared" si="3"/>
        <v>1.9740932155400515E-2</v>
      </c>
      <c r="AA34" s="2">
        <f t="shared" si="2"/>
        <v>-2.5972037021038119E-10</v>
      </c>
      <c r="AB34" s="2">
        <f t="shared" si="4"/>
        <v>-5.3744450964686105E-20</v>
      </c>
      <c r="AC34" s="2">
        <f t="shared" si="5"/>
        <v>1.8865379236912103E-19</v>
      </c>
      <c r="AD34" s="2">
        <f>X34-V34</f>
        <v>9.3132257461547852E-10</v>
      </c>
      <c r="AF34" s="2">
        <v>30</v>
      </c>
      <c r="AG34" s="2">
        <f t="shared" si="25"/>
        <v>2970.7415355369449</v>
      </c>
      <c r="AH34" s="2">
        <v>-3.4776471693476196E-6</v>
      </c>
      <c r="AI34" s="2">
        <f t="shared" si="26"/>
        <v>2970.741543918848</v>
      </c>
      <c r="AJ34" s="2">
        <v>1.0660050975275226E-6</v>
      </c>
      <c r="AK34" s="2">
        <f t="shared" si="17"/>
        <v>2970.7415397278965</v>
      </c>
      <c r="AL34" s="2">
        <v>-1.205821263283724E-6</v>
      </c>
      <c r="AM34" s="2">
        <f t="shared" si="18"/>
        <v>4.1934209029978134E-12</v>
      </c>
      <c r="AN34" s="2">
        <f t="shared" si="19"/>
        <v>-1.2854116133675267E-12</v>
      </c>
      <c r="AO34" s="2">
        <f t="shared" si="20"/>
        <v>8.3819031715393066E-6</v>
      </c>
      <c r="AQ34" s="64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82.419118159699408</v>
      </c>
      <c r="BA34" s="26" t="s">
        <v>10</v>
      </c>
      <c r="BB34"/>
      <c r="BC34" s="2" t="s">
        <v>167</v>
      </c>
      <c r="BD34" s="2">
        <f>SQRT(BD32^2 + BD33^2)</f>
        <v>93.191381800845591</v>
      </c>
      <c r="BE34" s="26" t="s">
        <v>10</v>
      </c>
      <c r="BF34"/>
      <c r="BG34" s="2" t="s">
        <v>192</v>
      </c>
      <c r="BH34" s="2">
        <f xml:space="preserve"> BH31*SIN(BH23) + BH32*COS(BH23)</f>
        <v>0.37621023119878882</v>
      </c>
      <c r="BI34" s="2"/>
      <c r="BJ34"/>
      <c r="BK34" s="2" t="s">
        <v>192</v>
      </c>
      <c r="BL34" s="2">
        <f xml:space="preserve"> BL31*SIN(BL23) + BL32*COS(BL23)</f>
        <v>0.33475755834559795</v>
      </c>
      <c r="BM34" s="2"/>
      <c r="BN34"/>
      <c r="BO34" s="2">
        <v>30</v>
      </c>
      <c r="BP34" s="2">
        <f t="shared" si="21"/>
        <v>0.35111520835754295</v>
      </c>
      <c r="BQ34" s="2">
        <v>-7.7637645756745144E-9</v>
      </c>
      <c r="BR34" s="2">
        <f t="shared" si="22"/>
        <v>0.35111521356553133</v>
      </c>
      <c r="BS34" s="2">
        <v>4.25066459808221E-9</v>
      </c>
      <c r="BT34" s="5">
        <f t="shared" si="7"/>
        <v>0.35111521096153714</v>
      </c>
      <c r="BU34" s="2">
        <v>-1.7565500720628791E-9</v>
      </c>
      <c r="BV34" s="2">
        <f t="shared" si="8"/>
        <v>1.3637441224880296E-17</v>
      </c>
      <c r="BW34" s="2">
        <f t="shared" si="9"/>
        <v>-7.4665052060764348E-18</v>
      </c>
      <c r="BX34" s="2">
        <f t="shared" si="10"/>
        <v>5.2079883738898047E-9</v>
      </c>
      <c r="BY34"/>
      <c r="BZ34" s="2">
        <v>30</v>
      </c>
      <c r="CA34" s="2">
        <f t="shared" si="23"/>
        <v>0.26071764410460163</v>
      </c>
      <c r="CB34" s="2">
        <v>-1.3685939187491059E-9</v>
      </c>
      <c r="CC34" s="2">
        <f t="shared" si="24"/>
        <v>0.26071764931259001</v>
      </c>
      <c r="CD34" s="2">
        <v>8.5185096754258893E-9</v>
      </c>
      <c r="CE34" s="5">
        <f t="shared" si="11"/>
        <v>0.26071764670859582</v>
      </c>
      <c r="CF34" s="2">
        <v>3.5749579546662247E-9</v>
      </c>
      <c r="CG34" s="2">
        <f t="shared" si="12"/>
        <v>-4.8926657165399366E-18</v>
      </c>
      <c r="CH34" s="2">
        <f t="shared" si="13"/>
        <v>3.045331392606498E-17</v>
      </c>
      <c r="CI34" s="2">
        <f t="shared" si="14"/>
        <v>5.2079883738898047E-9</v>
      </c>
    </row>
    <row r="35" spans="2:87" x14ac:dyDescent="0.2">
      <c r="B35" s="58" t="s">
        <v>2</v>
      </c>
      <c r="C35" s="58"/>
      <c r="D35" s="58"/>
      <c r="J35" s="15" t="s">
        <v>73</v>
      </c>
      <c r="K35" s="6">
        <f>ROUND(SUM(K23:K26),2)</f>
        <v>145.85</v>
      </c>
      <c r="L35" s="6" t="s">
        <v>7</v>
      </c>
      <c r="AF35" s="2">
        <v>31</v>
      </c>
      <c r="AG35" s="2">
        <f t="shared" si="25"/>
        <v>2970.7415397278965</v>
      </c>
      <c r="AH35" s="2">
        <v>-1.205821263283724E-6</v>
      </c>
      <c r="AI35" s="2">
        <f t="shared" si="26"/>
        <v>2970.741543918848</v>
      </c>
      <c r="AJ35" s="2">
        <v>1.0660050975275226E-6</v>
      </c>
      <c r="AK35" s="2">
        <f t="shared" si="17"/>
        <v>2970.7415418233722</v>
      </c>
      <c r="AL35" s="2">
        <v>-6.9910129241179675E-8</v>
      </c>
      <c r="AM35" s="2">
        <f t="shared" si="18"/>
        <v>8.4299120357927686E-14</v>
      </c>
      <c r="AN35" s="2">
        <f t="shared" si="19"/>
        <v>-7.4524554139905448E-14</v>
      </c>
      <c r="AO35" s="2">
        <f t="shared" si="20"/>
        <v>4.1909515857696533E-6</v>
      </c>
      <c r="AQ35" s="64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1168230.405605399</v>
      </c>
      <c r="BA35" s="26"/>
      <c r="BB35"/>
      <c r="BC35" s="2" t="s">
        <v>170</v>
      </c>
      <c r="BD35" s="37">
        <f>$AR$45*BD34*$AR$34/$AR$46</f>
        <v>1275158.7042710586</v>
      </c>
      <c r="BE35" s="26"/>
      <c r="BF35"/>
      <c r="BG35" s="2" t="s">
        <v>38</v>
      </c>
      <c r="BH35" s="2">
        <f xml:space="preserve"> 4*BH30*SIN(BH23)*SIN(BH23) / (BH27*BH33)</f>
        <v>1.4492364269988027</v>
      </c>
      <c r="BI35" s="2"/>
      <c r="BJ35"/>
      <c r="BK35" s="2" t="s">
        <v>38</v>
      </c>
      <c r="BL35" s="2">
        <f xml:space="preserve"> 4*BL30*SIN(BL23)*SIN(BL23) / (BL27*BL33)</f>
        <v>1.3933537999133989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2970.7400000000002</v>
      </c>
      <c r="L36" s="6" t="s">
        <v>7</v>
      </c>
      <c r="AF36" s="2">
        <v>32</v>
      </c>
      <c r="AG36" s="2">
        <f t="shared" si="25"/>
        <v>2970.7415418233722</v>
      </c>
      <c r="AH36" s="2">
        <v>-6.9910129241179675E-8</v>
      </c>
      <c r="AI36" s="2">
        <f t="shared" si="26"/>
        <v>2970.741543918848</v>
      </c>
      <c r="AJ36" s="2">
        <v>1.0660050975275226E-6</v>
      </c>
      <c r="AK36" s="2">
        <f t="shared" si="17"/>
        <v>2970.7415428711101</v>
      </c>
      <c r="AL36" s="2">
        <v>4.9804566515376791E-7</v>
      </c>
      <c r="AM36" s="2">
        <f t="shared" si="18"/>
        <v>-3.4818436818909211E-14</v>
      </c>
      <c r="AN36" s="2">
        <f t="shared" si="19"/>
        <v>5.3091921785540223E-13</v>
      </c>
      <c r="AO36" s="2">
        <f t="shared" si="20"/>
        <v>2.0954757928848267E-6</v>
      </c>
      <c r="AQ36" s="64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1669.695835359289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1946.2096700818995</v>
      </c>
      <c r="BE36" s="26" t="s">
        <v>22</v>
      </c>
      <c r="BF36"/>
      <c r="BG36" s="2" t="s">
        <v>194</v>
      </c>
      <c r="BH36" s="2">
        <f xml:space="preserve"> 4*BH30*SIN(BH23)*COS(BH23) / (BH27*BH34)</f>
        <v>26.852782876410611</v>
      </c>
      <c r="BI36" s="2"/>
      <c r="BJ36"/>
      <c r="BK36" s="2" t="s">
        <v>194</v>
      </c>
      <c r="BL36" s="2">
        <f xml:space="preserve"> 4*BL30*SIN(BL23)*COS(BL23) / (BL27*BL34)</f>
        <v>34.437221789983269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2970.7415418233722</v>
      </c>
      <c r="AH37" s="2">
        <v>-6.9910129241179675E-8</v>
      </c>
      <c r="AI37" s="2">
        <f t="shared" si="26"/>
        <v>2970.7415428711101</v>
      </c>
      <c r="AJ37" s="2">
        <v>4.9804566515376791E-7</v>
      </c>
      <c r="AK37" s="2">
        <f t="shared" si="17"/>
        <v>2970.7415423472412</v>
      </c>
      <c r="AL37" s="2">
        <v>2.1407004169304855E-7</v>
      </c>
      <c r="AM37" s="2">
        <f t="shared" si="18"/>
        <v>-1.4965664281425746E-14</v>
      </c>
      <c r="AN37" s="2">
        <f t="shared" si="19"/>
        <v>1.066166563045092E-13</v>
      </c>
      <c r="AO37" s="2">
        <f t="shared" si="20"/>
        <v>1.0477378964424133E-6</v>
      </c>
      <c r="AQ37" s="64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911.45961867955248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1211.8765612108275</v>
      </c>
      <c r="BE37" s="26" t="s">
        <v>179</v>
      </c>
      <c r="BF37"/>
      <c r="BG37" s="2" t="s">
        <v>45</v>
      </c>
      <c r="BH37" s="2">
        <f>1/(BH35-1)</f>
        <v>2.2259993622526633</v>
      </c>
      <c r="BI37" s="2"/>
      <c r="BJ37"/>
      <c r="BK37" s="2" t="s">
        <v>45</v>
      </c>
      <c r="BL37" s="2">
        <f>1/(BL35-1)</f>
        <v>2.5422405992268557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8" t="s">
        <v>59</v>
      </c>
      <c r="K38" s="58"/>
      <c r="L38" s="58"/>
      <c r="AF38" s="2">
        <v>34</v>
      </c>
      <c r="AG38" s="2">
        <f t="shared" si="25"/>
        <v>2970.7415418233722</v>
      </c>
      <c r="AH38" s="2">
        <v>-6.9910129241179675E-8</v>
      </c>
      <c r="AI38" s="2">
        <f t="shared" si="26"/>
        <v>2970.7415423472412</v>
      </c>
      <c r="AJ38" s="2">
        <v>2.1407004169304855E-7</v>
      </c>
      <c r="AK38" s="2">
        <f t="shared" si="17"/>
        <v>2970.7415420853067</v>
      </c>
      <c r="AL38" s="2">
        <v>7.2078819357557222E-8</v>
      </c>
      <c r="AM38" s="2">
        <f t="shared" si="18"/>
        <v>-5.0390395768384687E-15</v>
      </c>
      <c r="AN38" s="2">
        <f t="shared" si="19"/>
        <v>1.542991586505799E-14</v>
      </c>
      <c r="AO38" s="2">
        <f t="shared" si="20"/>
        <v>5.2386894822120667E-7</v>
      </c>
      <c r="AQ38" s="64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3.5903055161031365E-2</v>
      </c>
      <c r="BI38" s="2"/>
      <c r="BJ38"/>
      <c r="BK38" s="2" t="s">
        <v>197</v>
      </c>
      <c r="BL38" s="2">
        <f>1/(BL36+1)</f>
        <v>2.8218916424274019E-2</v>
      </c>
      <c r="BM38" s="2"/>
      <c r="BN38"/>
      <c r="BO38" s="30">
        <v>0</v>
      </c>
      <c r="BP38" s="30"/>
      <c r="BQ38" s="30">
        <f>$BH$39</f>
        <v>-3.3095017282214201E-9</v>
      </c>
      <c r="BR38" s="30"/>
      <c r="BS38" s="30">
        <f>$BH$39</f>
        <v>-3.3095017282214201E-9</v>
      </c>
      <c r="BT38" s="30"/>
      <c r="BU38" s="30">
        <f>$BH$39</f>
        <v>-3.3095017282214201E-9</v>
      </c>
      <c r="BV38" s="30"/>
      <c r="BW38" s="30"/>
      <c r="BX38" s="30"/>
      <c r="BY38"/>
      <c r="BZ38" s="30">
        <v>0</v>
      </c>
      <c r="CA38" s="30"/>
      <c r="CB38" s="30">
        <f>$BL$39</f>
        <v>-3.4190485859175723E-10</v>
      </c>
      <c r="CC38" s="30"/>
      <c r="CD38" s="30">
        <f>$BL$39</f>
        <v>-3.4190485859175723E-10</v>
      </c>
      <c r="CE38" s="30"/>
      <c r="CF38" s="30">
        <f>$BL$39</f>
        <v>-3.4190485859175723E-10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20.2</v>
      </c>
      <c r="L39" s="6" t="s">
        <v>61</v>
      </c>
      <c r="AF39" s="2">
        <v>35</v>
      </c>
      <c r="AG39" s="2">
        <f t="shared" si="25"/>
        <v>2970.7415418233722</v>
      </c>
      <c r="AH39" s="2">
        <v>-6.9910129241179675E-8</v>
      </c>
      <c r="AI39" s="2">
        <f t="shared" si="26"/>
        <v>2970.7415420853067</v>
      </c>
      <c r="AJ39" s="2">
        <v>7.2078819357557222E-8</v>
      </c>
      <c r="AK39" s="2">
        <f t="shared" si="17"/>
        <v>2970.7415419543395</v>
      </c>
      <c r="AL39" s="2">
        <v>1.0850271792151034E-9</v>
      </c>
      <c r="AM39" s="2">
        <f t="shared" si="18"/>
        <v>-7.5854390329120499E-17</v>
      </c>
      <c r="AN39" s="2">
        <f t="shared" si="19"/>
        <v>7.8207478048685303E-17</v>
      </c>
      <c r="AO39" s="2">
        <f t="shared" si="20"/>
        <v>2.6193447411060333E-7</v>
      </c>
      <c r="AQ39" s="64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-3.3095017282214201E-9</v>
      </c>
      <c r="BI39" s="40"/>
      <c r="BJ39"/>
      <c r="BK39" s="7" t="s">
        <v>199</v>
      </c>
      <c r="BL39" s="40">
        <f>SIN(BL23)/(1+BL37) - $AR$3*COS(BL23)/($AV$5*$AR$22*(1-BL38))</f>
        <v>-3.4190485859175723E-10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/>
        <v>-0.85202725234676735</v>
      </c>
      <c r="BR39" s="3">
        <f>0.9*PI()</f>
        <v>2.8274333882308138</v>
      </c>
      <c r="BS39" s="2">
        <f t="dataTable" ref="BS39:BS68" dt2D="0" dtr="0" r1="BH23" ca="1"/>
        <v>0.42314911590202797</v>
      </c>
      <c r="BT39" s="2">
        <f t="shared" ref="BT39:BT68" si="27">(BP39+BR39)/2</f>
        <v>1.4294246573833558</v>
      </c>
      <c r="BU39" s="2">
        <f t="dataTable" ref="BU39:BU68" dt2D="0" dtr="0" r1="BH23" ca="1"/>
        <v>1.010810959546609</v>
      </c>
      <c r="BV39" s="2">
        <f t="shared" ref="BV39:BV68" si="28">BQ39*BU39</f>
        <v>-0.86123848450449669</v>
      </c>
      <c r="BW39" s="2">
        <f t="shared" ref="BW39:BW68" si="29">BS39*BU39</f>
        <v>0.42772376387622818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-0.64775761411762633</v>
      </c>
      <c r="CC39" s="3">
        <f>0.9*PI()</f>
        <v>2.8274333882308138</v>
      </c>
      <c r="CD39" s="2">
        <f t="dataTable" ref="CD39:CD68" dt2D="0" dtr="0" r1="BL23" ca="1"/>
        <v>0.39655407842420559</v>
      </c>
      <c r="CE39" s="2">
        <f t="shared" ref="CE39:CE68" si="31">(CA39+CC39)/2</f>
        <v>1.4294246573833558</v>
      </c>
      <c r="CF39" s="2">
        <f t="dataTable" ref="CF39:CF68" dt2D="0" dtr="0" r1="BL23"/>
        <v>1.0074862094704096</v>
      </c>
      <c r="CG39" s="2">
        <f t="shared" ref="CG39:CG68" si="32">CB39*CF39</f>
        <v>-0.65260686330296358</v>
      </c>
      <c r="CH39" s="2">
        <f t="shared" ref="CH39:CH68" si="33">CD39*CF39</f>
        <v>0.39952276532163444</v>
      </c>
      <c r="CI39" s="2">
        <f t="shared" ref="CI39:CI68" si="34">CC39-CA39</f>
        <v>2.7960174616949161</v>
      </c>
    </row>
    <row r="40" spans="2:87" x14ac:dyDescent="0.2">
      <c r="B40" s="58" t="s">
        <v>272</v>
      </c>
      <c r="C40" s="60"/>
      <c r="D40" s="60"/>
      <c r="J40" s="11" t="s">
        <v>55</v>
      </c>
      <c r="K40" s="6">
        <f>ROUND(K13/$C$5 * 100, 2)</f>
        <v>46.88</v>
      </c>
      <c r="L40" s="6" t="s">
        <v>61</v>
      </c>
      <c r="AF40" s="2">
        <v>36</v>
      </c>
      <c r="AG40" s="2">
        <f t="shared" si="25"/>
        <v>2970.7415418233722</v>
      </c>
      <c r="AH40" s="2">
        <v>-6.9910129241179675E-8</v>
      </c>
      <c r="AI40" s="2">
        <f t="shared" si="26"/>
        <v>2970.7415419543395</v>
      </c>
      <c r="AJ40" s="2">
        <v>1.0850271792151034E-9</v>
      </c>
      <c r="AK40" s="2">
        <f t="shared" si="17"/>
        <v>2970.7415418888559</v>
      </c>
      <c r="AL40" s="2">
        <v>-3.4412096283631399E-8</v>
      </c>
      <c r="AM40" s="2">
        <f t="shared" si="18"/>
        <v>2.4057540986485899E-15</v>
      </c>
      <c r="AN40" s="2">
        <f t="shared" si="19"/>
        <v>-3.733805976150712E-17</v>
      </c>
      <c r="AO40" s="2">
        <f t="shared" si="20"/>
        <v>1.3096723705530167E-7</v>
      </c>
      <c r="AQ40" s="64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-0.85202725234676735</v>
      </c>
      <c r="BR40" s="2">
        <f t="shared" ref="BR40:BR68" si="36">IF(BW39&gt;0,BT39,BR39)</f>
        <v>1.4294246573833558</v>
      </c>
      <c r="BS40" s="2">
        <v>1.010810959546609</v>
      </c>
      <c r="BT40" s="2">
        <f t="shared" si="27"/>
        <v>0.73042029195962688</v>
      </c>
      <c r="BU40" s="2">
        <v>0.65095330037203936</v>
      </c>
      <c r="BV40" s="2">
        <f t="shared" si="28"/>
        <v>-0.55462995192204867</v>
      </c>
      <c r="BW40" s="2">
        <f t="shared" si="29"/>
        <v>0.65799073016909315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-0.64775761411762633</v>
      </c>
      <c r="CC40" s="2">
        <f t="shared" ref="CC40:CC68" si="38">IF(CH39&gt;0,CE39,CC39)</f>
        <v>1.4294246573833558</v>
      </c>
      <c r="CD40" s="2">
        <v>1.0074862094704096</v>
      </c>
      <c r="CE40" s="2">
        <f t="shared" si="31"/>
        <v>0.73042029195962688</v>
      </c>
      <c r="CF40" s="2">
        <v>0.65360524858172353</v>
      </c>
      <c r="CG40" s="2">
        <f t="shared" si="32"/>
        <v>-0.42337777639605528</v>
      </c>
      <c r="CH40" s="2">
        <f t="shared" si="33"/>
        <v>0.65849827438356545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21.39</v>
      </c>
      <c r="L41" s="6" t="s">
        <v>61</v>
      </c>
      <c r="AF41" s="2">
        <v>37</v>
      </c>
      <c r="AG41" s="2">
        <f t="shared" si="25"/>
        <v>2970.7415418888559</v>
      </c>
      <c r="AH41" s="2">
        <v>-3.4412096283631399E-8</v>
      </c>
      <c r="AI41" s="2">
        <f t="shared" si="26"/>
        <v>2970.7415419543395</v>
      </c>
      <c r="AJ41" s="2">
        <v>1.0850271792151034E-9</v>
      </c>
      <c r="AK41" s="2">
        <f t="shared" si="17"/>
        <v>2970.7415419215977</v>
      </c>
      <c r="AL41" s="2">
        <v>-1.6664216673234478E-8</v>
      </c>
      <c r="AM41" s="2">
        <f t="shared" si="18"/>
        <v>5.7345062865064057E-16</v>
      </c>
      <c r="AN41" s="2">
        <f t="shared" si="19"/>
        <v>-1.80811280107889E-17</v>
      </c>
      <c r="AO41" s="2">
        <f t="shared" si="20"/>
        <v>6.5483618527650833E-8</v>
      </c>
      <c r="AQ41" s="64"/>
      <c r="AR41" s="3">
        <v>-1.02</v>
      </c>
      <c r="AS41" s="26" t="s">
        <v>43</v>
      </c>
      <c r="AT41"/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F41"/>
      <c r="BG41" s="62" t="s">
        <v>200</v>
      </c>
      <c r="BH41" s="62"/>
      <c r="BI41" s="62"/>
      <c r="BJ41" s="2"/>
      <c r="BK41" s="62" t="s">
        <v>201</v>
      </c>
      <c r="BL41" s="62"/>
      <c r="BM41" s="62"/>
      <c r="BN41"/>
      <c r="BO41" s="2">
        <v>3</v>
      </c>
      <c r="BP41" s="2">
        <f t="shared" si="35"/>
        <v>3.1415926535897934E-2</v>
      </c>
      <c r="BQ41" s="2">
        <v>-0.85202725234676735</v>
      </c>
      <c r="BR41" s="2">
        <f t="shared" si="36"/>
        <v>0.73042029195962688</v>
      </c>
      <c r="BS41" s="2">
        <v>0.65095330037203936</v>
      </c>
      <c r="BT41" s="2">
        <f t="shared" si="27"/>
        <v>0.38091810924776243</v>
      </c>
      <c r="BU41" s="2">
        <v>0.26941394531718121</v>
      </c>
      <c r="BV41" s="2">
        <f t="shared" si="28"/>
        <v>-0.22954802357250015</v>
      </c>
      <c r="BW41" s="2">
        <f t="shared" si="29"/>
        <v>0.17537589687047125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-0.64775761411762633</v>
      </c>
      <c r="CC41" s="2">
        <f t="shared" si="38"/>
        <v>0.73042029195962688</v>
      </c>
      <c r="CD41" s="2">
        <v>0.65360524858172353</v>
      </c>
      <c r="CE41" s="2">
        <f t="shared" si="31"/>
        <v>0.38091810924776243</v>
      </c>
      <c r="CF41" s="2">
        <v>0.29918594768868878</v>
      </c>
      <c r="CG41" s="2">
        <f t="shared" si="32"/>
        <v>-0.193799975652346</v>
      </c>
      <c r="CH41" s="2">
        <f t="shared" si="33"/>
        <v>0.19554950571122395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6.63</v>
      </c>
      <c r="L42" s="6" t="s">
        <v>61</v>
      </c>
      <c r="AF42" s="2">
        <v>38</v>
      </c>
      <c r="AG42" s="2">
        <f t="shared" si="25"/>
        <v>2970.7415419215977</v>
      </c>
      <c r="AH42" s="2">
        <v>-1.6664216673234478E-8</v>
      </c>
      <c r="AI42" s="2">
        <f t="shared" si="26"/>
        <v>2970.7415419543395</v>
      </c>
      <c r="AJ42" s="2">
        <v>1.0850271792151034E-9</v>
      </c>
      <c r="AK42" s="2">
        <f t="shared" si="17"/>
        <v>2970.7415419379686</v>
      </c>
      <c r="AL42" s="2">
        <v>-7.7893673733342439E-9</v>
      </c>
      <c r="AM42" s="2">
        <f t="shared" si="18"/>
        <v>1.2980370565666516E-16</v>
      </c>
      <c r="AN42" s="2">
        <f t="shared" si="19"/>
        <v>-8.4516753089590138E-18</v>
      </c>
      <c r="AO42" s="2">
        <f t="shared" si="20"/>
        <v>3.2741809263825417E-8</v>
      </c>
      <c r="AQ42" s="64"/>
      <c r="AR42" s="3">
        <v>-2.34</v>
      </c>
      <c r="AS42" s="26" t="s">
        <v>43</v>
      </c>
      <c r="AT42"/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F42"/>
      <c r="BG42" s="28" t="s">
        <v>154</v>
      </c>
      <c r="BH42" s="29">
        <f>BT102</f>
        <v>0.16051806506331423</v>
      </c>
      <c r="BI42" s="5" t="s">
        <v>155</v>
      </c>
      <c r="BJ42" s="2"/>
      <c r="BK42" s="28" t="s">
        <v>154</v>
      </c>
      <c r="BL42" s="29">
        <f>CE102</f>
        <v>0.14445934231625368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-0.85202725234676735</v>
      </c>
      <c r="BR42" s="2">
        <f t="shared" si="36"/>
        <v>0.38091810924776243</v>
      </c>
      <c r="BS42" s="2">
        <v>0.26941394531718121</v>
      </c>
      <c r="BT42" s="2">
        <f t="shared" si="27"/>
        <v>0.20616701789183017</v>
      </c>
      <c r="BU42" s="2">
        <v>-1.2309046227888108E-2</v>
      </c>
      <c r="BV42" s="2">
        <f t="shared" si="28"/>
        <v>1.0487642836556847E-2</v>
      </c>
      <c r="BW42" s="2">
        <f t="shared" si="29"/>
        <v>-3.3162287073469025E-3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-0.64775761411762633</v>
      </c>
      <c r="CC42" s="2">
        <f t="shared" si="38"/>
        <v>0.38091810924776243</v>
      </c>
      <c r="CD42" s="2">
        <v>0.29918594768868878</v>
      </c>
      <c r="CE42" s="2">
        <f t="shared" si="31"/>
        <v>0.20616701789183017</v>
      </c>
      <c r="CF42" s="2">
        <v>4.1462016900852758E-2</v>
      </c>
      <c r="CG42" s="2">
        <f t="shared" si="32"/>
        <v>-2.6857337144201084E-2</v>
      </c>
      <c r="CH42" s="2">
        <f t="shared" si="33"/>
        <v>1.2404852819566064E-2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4.91</v>
      </c>
      <c r="L43" s="6" t="s">
        <v>61</v>
      </c>
      <c r="AF43" s="2">
        <v>39</v>
      </c>
      <c r="AG43" s="2">
        <f t="shared" si="25"/>
        <v>2970.7415419379686</v>
      </c>
      <c r="AH43" s="2">
        <v>-7.7893673733342439E-9</v>
      </c>
      <c r="AI43" s="2">
        <f t="shared" si="26"/>
        <v>2970.7415419543395</v>
      </c>
      <c r="AJ43" s="2">
        <v>1.0850271792151034E-9</v>
      </c>
      <c r="AK43" s="2">
        <f t="shared" si="17"/>
        <v>2970.741541946154</v>
      </c>
      <c r="AL43" s="2">
        <v>-3.3546712074894458E-9</v>
      </c>
      <c r="AM43" s="2">
        <f t="shared" si="18"/>
        <v>2.6130766451882081E-17</v>
      </c>
      <c r="AN43" s="2">
        <f t="shared" si="19"/>
        <v>-3.6399094374563982E-18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0.42876990208309834</v>
      </c>
      <c r="BI43" s="2" t="s">
        <v>155</v>
      </c>
      <c r="BJ43" s="2"/>
      <c r="BK43" s="2" t="s">
        <v>159</v>
      </c>
      <c r="BL43" s="2">
        <f>($AR$40+$AR$5)/180*PI()</f>
        <v>0.40573155595677318</v>
      </c>
      <c r="BM43" s="2" t="s">
        <v>155</v>
      </c>
      <c r="BN43"/>
      <c r="BO43" s="2">
        <v>5</v>
      </c>
      <c r="BP43" s="2">
        <f t="shared" si="35"/>
        <v>0.20616701789183017</v>
      </c>
      <c r="BQ43" s="2">
        <v>-1.2309046227888108E-2</v>
      </c>
      <c r="BR43" s="2">
        <f t="shared" si="36"/>
        <v>0.38091810924776243</v>
      </c>
      <c r="BS43" s="2">
        <v>0.26941394531718121</v>
      </c>
      <c r="BT43" s="2">
        <f t="shared" si="27"/>
        <v>0.2935425635697963</v>
      </c>
      <c r="BU43" s="2">
        <v>0.13721795848079804</v>
      </c>
      <c r="BV43" s="2">
        <f t="shared" si="28"/>
        <v>-1.6890221942365742E-3</v>
      </c>
      <c r="BW43" s="2">
        <f t="shared" si="29"/>
        <v>3.6968431562680967E-2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-0.64775761411762633</v>
      </c>
      <c r="CC43" s="2">
        <f t="shared" si="38"/>
        <v>0.20616701789183017</v>
      </c>
      <c r="CD43" s="2">
        <v>4.1462016900852758E-2</v>
      </c>
      <c r="CE43" s="2">
        <f t="shared" si="31"/>
        <v>0.11879147221386405</v>
      </c>
      <c r="CF43" s="2">
        <v>-0.1200367876175719</v>
      </c>
      <c r="CG43" s="2">
        <f t="shared" si="32"/>
        <v>7.7754743153502601E-2</v>
      </c>
      <c r="CH43" s="2">
        <f t="shared" si="33"/>
        <v>-4.9769673169238393E-3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100.00999999999999</v>
      </c>
      <c r="L44" s="10" t="s">
        <v>61</v>
      </c>
      <c r="AF44" s="2">
        <v>40</v>
      </c>
      <c r="AG44" s="2">
        <f t="shared" si="25"/>
        <v>2970.741541946154</v>
      </c>
      <c r="AH44" s="2">
        <v>-3.3546712074894458E-9</v>
      </c>
      <c r="AI44" s="2">
        <f t="shared" si="26"/>
        <v>2970.7415419543395</v>
      </c>
      <c r="AJ44" s="2">
        <v>1.0850271792151034E-9</v>
      </c>
      <c r="AK44" s="5">
        <f>(AG44+AI44)/2</f>
        <v>2970.7415419502468</v>
      </c>
      <c r="AL44" s="2">
        <v>-1.133685145759955E-9</v>
      </c>
      <c r="AM44" s="2">
        <f t="shared" si="18"/>
        <v>3.8031409168393968E-18</v>
      </c>
      <c r="AN44" s="2">
        <f t="shared" si="19"/>
        <v>-1.2300791958219874E-18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0.26825183701978411</v>
      </c>
      <c r="BI44" s="2" t="s">
        <v>155</v>
      </c>
      <c r="BJ44" s="2"/>
      <c r="BK44" s="2" t="s">
        <v>28</v>
      </c>
      <c r="BL44" s="2">
        <f>BL43-BL42</f>
        <v>0.2612722136405195</v>
      </c>
      <c r="BM44" s="2" t="s">
        <v>155</v>
      </c>
      <c r="BN44"/>
      <c r="BO44" s="2">
        <v>6</v>
      </c>
      <c r="BP44" s="2">
        <f t="shared" si="35"/>
        <v>0.20616701789183017</v>
      </c>
      <c r="BQ44" s="2">
        <v>-1.2309046227888108E-2</v>
      </c>
      <c r="BR44" s="2">
        <f t="shared" si="36"/>
        <v>0.2935425635697963</v>
      </c>
      <c r="BS44" s="2">
        <v>0.13721795848079804</v>
      </c>
      <c r="BT44" s="2">
        <f t="shared" si="27"/>
        <v>0.24985479073081324</v>
      </c>
      <c r="BU44" s="2">
        <v>6.4581827495508629E-2</v>
      </c>
      <c r="BV44" s="2">
        <f t="shared" si="28"/>
        <v>-7.9494070012371102E-4</v>
      </c>
      <c r="BW44" s="2">
        <f t="shared" si="29"/>
        <v>8.8617865238927642E-3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-0.1200367876175719</v>
      </c>
      <c r="CC44" s="2">
        <f t="shared" si="38"/>
        <v>0.20616701789183017</v>
      </c>
      <c r="CD44" s="2">
        <v>4.1462016900852758E-2</v>
      </c>
      <c r="CE44" s="2">
        <f t="shared" si="31"/>
        <v>0.16247924505284711</v>
      </c>
      <c r="CF44" s="2">
        <v>-3.5717481459216563E-2</v>
      </c>
      <c r="CG44" s="2">
        <f t="shared" si="32"/>
        <v>4.2874117361545406E-3</v>
      </c>
      <c r="CH44" s="2">
        <f t="shared" si="33"/>
        <v>-1.4809188199179321E-3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15.369698107864844</v>
      </c>
      <c r="BI45" s="2" t="s">
        <v>43</v>
      </c>
      <c r="BJ45" s="2"/>
      <c r="BK45" s="2" t="s">
        <v>168</v>
      </c>
      <c r="BL45" s="2">
        <f>BL44/PI()*180</f>
        <v>14.969795145642145</v>
      </c>
      <c r="BM45" s="2" t="s">
        <v>43</v>
      </c>
      <c r="BN45"/>
      <c r="BO45" s="2">
        <v>7</v>
      </c>
      <c r="BP45" s="2">
        <f t="shared" si="35"/>
        <v>0.20616701789183017</v>
      </c>
      <c r="BQ45" s="2">
        <v>-1.2309046227888108E-2</v>
      </c>
      <c r="BR45" s="2">
        <f t="shared" si="36"/>
        <v>0.24985479073081324</v>
      </c>
      <c r="BS45" s="2">
        <v>6.4581827495508629E-2</v>
      </c>
      <c r="BT45" s="2">
        <f t="shared" si="27"/>
        <v>0.2280109043113217</v>
      </c>
      <c r="BU45" s="2">
        <v>2.6636389305678493E-2</v>
      </c>
      <c r="BV45" s="2">
        <f t="shared" si="28"/>
        <v>-3.2786854730762098E-4</v>
      </c>
      <c r="BW45" s="2">
        <f t="shared" si="29"/>
        <v>1.7202266992425394E-3</v>
      </c>
      <c r="BX45" s="2">
        <f t="shared" si="30"/>
        <v>4.3687772838983063E-2</v>
      </c>
      <c r="BY45"/>
      <c r="BZ45" s="2">
        <v>7</v>
      </c>
      <c r="CA45" s="2">
        <f t="shared" si="37"/>
        <v>0.16247924505284711</v>
      </c>
      <c r="CB45" s="2">
        <v>-3.5717481459216563E-2</v>
      </c>
      <c r="CC45" s="2">
        <f t="shared" si="38"/>
        <v>0.20616701789183017</v>
      </c>
      <c r="CD45" s="2">
        <v>4.1462016900852758E-2</v>
      </c>
      <c r="CE45" s="2">
        <f t="shared" si="31"/>
        <v>0.18432313147233864</v>
      </c>
      <c r="CF45" s="2">
        <v>3.6624275117517133E-3</v>
      </c>
      <c r="CG45" s="2">
        <f t="shared" si="32"/>
        <v>-1.3081268674671647E-4</v>
      </c>
      <c r="CH45" s="2">
        <f t="shared" si="33"/>
        <v>1.5185163139039764E-4</v>
      </c>
      <c r="CI45" s="2">
        <f t="shared" si="34"/>
        <v>4.3687772838983063E-2</v>
      </c>
    </row>
    <row r="46" spans="2:87" x14ac:dyDescent="0.2">
      <c r="B46" s="58" t="s">
        <v>273</v>
      </c>
      <c r="C46" s="60"/>
      <c r="D46" s="60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0.20616701789183017</v>
      </c>
      <c r="BQ46" s="2">
        <v>-1.2309046227888108E-2</v>
      </c>
      <c r="BR46" s="2">
        <f t="shared" si="36"/>
        <v>0.2280109043113217</v>
      </c>
      <c r="BS46" s="2">
        <v>2.6636389305678493E-2</v>
      </c>
      <c r="BT46" s="2">
        <f t="shared" si="27"/>
        <v>0.21708896110157594</v>
      </c>
      <c r="BU46" s="2">
        <v>7.2816875918764595E-3</v>
      </c>
      <c r="BV46" s="2">
        <f t="shared" si="28"/>
        <v>-8.9630629185446576E-5</v>
      </c>
      <c r="BW46" s="2">
        <f t="shared" si="29"/>
        <v>1.939578654995499E-4</v>
      </c>
      <c r="BX46" s="2">
        <f t="shared" si="30"/>
        <v>2.1843886419491532E-2</v>
      </c>
      <c r="BY46"/>
      <c r="BZ46" s="2">
        <v>8</v>
      </c>
      <c r="CA46" s="2">
        <f t="shared" si="37"/>
        <v>0.16247924505284711</v>
      </c>
      <c r="CB46" s="2">
        <v>-3.5717481459216563E-2</v>
      </c>
      <c r="CC46" s="2">
        <f t="shared" si="38"/>
        <v>0.18432313147233864</v>
      </c>
      <c r="CD46" s="2">
        <v>3.6624275117517133E-3</v>
      </c>
      <c r="CE46" s="2">
        <f t="shared" si="31"/>
        <v>0.17340118826259288</v>
      </c>
      <c r="CF46" s="2">
        <v>-1.5820591873359033E-2</v>
      </c>
      <c r="CG46" s="2">
        <f t="shared" si="32"/>
        <v>5.6507169691053351E-4</v>
      </c>
      <c r="CH46" s="2">
        <f t="shared" si="33"/>
        <v>-5.7941770929185696E-5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72" t="s">
        <v>222</v>
      </c>
      <c r="AG47" s="72"/>
      <c r="AH47" s="72"/>
      <c r="AI47" s="72"/>
      <c r="AJ47" s="2"/>
      <c r="AK47" s="2"/>
      <c r="AL47" s="2"/>
      <c r="AM47" s="2"/>
      <c r="AN47" s="2"/>
      <c r="AO47" s="2"/>
      <c r="AT47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0.9982121467046069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0.98776970450856494</v>
      </c>
      <c r="BM47" s="2"/>
      <c r="BN47"/>
      <c r="BO47" s="2">
        <v>9</v>
      </c>
      <c r="BP47" s="2">
        <f t="shared" si="35"/>
        <v>0.20616701789183017</v>
      </c>
      <c r="BQ47" s="2">
        <v>-1.2309046227888108E-2</v>
      </c>
      <c r="BR47" s="2">
        <f t="shared" si="36"/>
        <v>0.21708896110157594</v>
      </c>
      <c r="BS47" s="2">
        <v>7.2816875918764595E-3</v>
      </c>
      <c r="BT47" s="2">
        <f t="shared" si="27"/>
        <v>0.21162798949670306</v>
      </c>
      <c r="BU47" s="2">
        <v>-2.4853083548955768E-3</v>
      </c>
      <c r="BV47" s="2">
        <f t="shared" si="28"/>
        <v>3.0591775430966202E-5</v>
      </c>
      <c r="BW47" s="2">
        <f t="shared" si="29"/>
        <v>-1.8097239009830017E-5</v>
      </c>
      <c r="BX47" s="2">
        <f t="shared" si="30"/>
        <v>1.0921943209745766E-2</v>
      </c>
      <c r="BY47"/>
      <c r="BZ47" s="2">
        <v>9</v>
      </c>
      <c r="CA47" s="2">
        <f t="shared" si="37"/>
        <v>0.17340118826259288</v>
      </c>
      <c r="CB47" s="2">
        <v>-1.5820591873359033E-2</v>
      </c>
      <c r="CC47" s="2">
        <f t="shared" si="38"/>
        <v>0.18432313147233864</v>
      </c>
      <c r="CD47" s="2">
        <v>3.6624275117517133E-3</v>
      </c>
      <c r="CE47" s="2">
        <f t="shared" si="31"/>
        <v>0.17886215986746576</v>
      </c>
      <c r="CF47" s="2">
        <v>-6.0286466882962936E-3</v>
      </c>
      <c r="CG47" s="2">
        <f t="shared" si="32"/>
        <v>9.5376758804213192E-5</v>
      </c>
      <c r="CH47" s="2">
        <f t="shared" si="33"/>
        <v>-2.2079481489847203E-5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3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0.99966632983097636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0.99989342720106678</v>
      </c>
      <c r="BM48" s="2"/>
      <c r="BN48"/>
      <c r="BO48" s="2">
        <v>10</v>
      </c>
      <c r="BP48" s="2">
        <f t="shared" si="35"/>
        <v>0.21162798949670306</v>
      </c>
      <c r="BQ48" s="2">
        <v>-2.4853083548955768E-3</v>
      </c>
      <c r="BR48" s="2">
        <f t="shared" si="36"/>
        <v>0.21708896110157594</v>
      </c>
      <c r="BS48" s="2">
        <v>7.2816875918764595E-3</v>
      </c>
      <c r="BT48" s="2">
        <f t="shared" si="27"/>
        <v>0.21435847529913948</v>
      </c>
      <c r="BU48" s="2">
        <v>2.405437480537842E-3</v>
      </c>
      <c r="BV48" s="2">
        <f t="shared" si="28"/>
        <v>-5.9782538675596648E-6</v>
      </c>
      <c r="BW48" s="2">
        <f t="shared" si="29"/>
        <v>1.7515644255066976E-5</v>
      </c>
      <c r="BX48" s="2">
        <f t="shared" si="30"/>
        <v>5.4609716048728829E-3</v>
      </c>
      <c r="BY48"/>
      <c r="BZ48" s="2">
        <v>10</v>
      </c>
      <c r="CA48" s="2">
        <f t="shared" si="37"/>
        <v>0.17886215986746576</v>
      </c>
      <c r="CB48" s="2">
        <v>-6.0286466882962936E-3</v>
      </c>
      <c r="CC48" s="2">
        <f t="shared" si="38"/>
        <v>0.18432313147233864</v>
      </c>
      <c r="CD48" s="2">
        <v>3.6624275117517133E-3</v>
      </c>
      <c r="CE48" s="2">
        <f t="shared" si="31"/>
        <v>0.18159264566990219</v>
      </c>
      <c r="CF48" s="2">
        <v>-1.1706502088744339E-3</v>
      </c>
      <c r="CG48" s="2">
        <f t="shared" si="32"/>
        <v>7.0574365048842201E-6</v>
      </c>
      <c r="CH48" s="2">
        <f t="shared" si="33"/>
        <v>-4.2874215316196166E-6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0.3162606472196785</v>
      </c>
      <c r="AI49" s="2"/>
      <c r="AJ49" s="2">
        <f>G11</f>
        <v>0.3162606472196785</v>
      </c>
      <c r="AK49" s="2"/>
      <c r="AL49" s="2">
        <f>G11</f>
        <v>0.3162606472196785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0.99787907308889456</v>
      </c>
      <c r="BI49" s="2"/>
      <c r="BJ49" s="2"/>
      <c r="BK49" s="2" t="s">
        <v>183</v>
      </c>
      <c r="BL49" s="2">
        <f>IF(BL42=0,1,BL47*BL48)</f>
        <v>0.98766443512645397</v>
      </c>
      <c r="BM49" s="2"/>
      <c r="BN49"/>
      <c r="BO49" s="2">
        <v>11</v>
      </c>
      <c r="BP49" s="2">
        <f t="shared" si="35"/>
        <v>0.21162798949670306</v>
      </c>
      <c r="BQ49" s="2">
        <v>-2.4853083548955768E-3</v>
      </c>
      <c r="BR49" s="2">
        <f t="shared" si="36"/>
        <v>0.21435847529913948</v>
      </c>
      <c r="BS49" s="2">
        <v>2.405437480537842E-3</v>
      </c>
      <c r="BT49" s="2">
        <f t="shared" si="27"/>
        <v>0.21299323239792128</v>
      </c>
      <c r="BU49" s="2">
        <v>-3.8141961209908759E-5</v>
      </c>
      <c r="BV49" s="2">
        <f t="shared" si="28"/>
        <v>9.4794534867089245E-8</v>
      </c>
      <c r="BW49" s="2">
        <f t="shared" si="29"/>
        <v>-9.1748103075535022E-8</v>
      </c>
      <c r="BX49" s="2">
        <f t="shared" si="30"/>
        <v>2.7304858024364276E-3</v>
      </c>
      <c r="BY49"/>
      <c r="BZ49" s="2">
        <v>11</v>
      </c>
      <c r="CA49" s="2">
        <f t="shared" si="37"/>
        <v>0.18159264566990219</v>
      </c>
      <c r="CB49" s="2">
        <v>-1.1706502088744339E-3</v>
      </c>
      <c r="CC49" s="2">
        <f t="shared" si="38"/>
        <v>0.18432313147233864</v>
      </c>
      <c r="CD49" s="2">
        <v>3.6624275117517133E-3</v>
      </c>
      <c r="CE49" s="2">
        <f t="shared" si="31"/>
        <v>0.18295788857112041</v>
      </c>
      <c r="CF49" s="2">
        <v>1.2489854921049412E-3</v>
      </c>
      <c r="CG49" s="2">
        <f t="shared" si="32"/>
        <v>-1.462125127213787E-6</v>
      </c>
      <c r="CH49" s="2">
        <f t="shared" si="33"/>
        <v>4.5743188280638888E-6</v>
      </c>
      <c r="CI49" s="2">
        <f t="shared" si="34"/>
        <v>2.7304858024364553E-3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6780.8803926612945</v>
      </c>
      <c r="AI50" s="3">
        <v>1500</v>
      </c>
      <c r="AJ50" s="2">
        <f t="dataTable" ref="AJ50:AJ79" dt2D="0" dtr="0" r1="C6" ca="1"/>
        <v>-275947.36911661644</v>
      </c>
      <c r="AK50" s="2">
        <f t="shared" ref="AK50:AK79" si="39">(AG50+AI50)/2</f>
        <v>775</v>
      </c>
      <c r="AL50" s="2">
        <f t="dataTable" ref="AL50:AL79" dt2D="0" dtr="0" r1="C6" ca="1"/>
        <v>-68461.315041259397</v>
      </c>
      <c r="AM50" s="2">
        <f t="shared" ref="AM50:AM79" si="40">AH50*AL50</f>
        <v>-464227988.81908363</v>
      </c>
      <c r="AN50" s="2">
        <f t="shared" ref="AN50:AN79" si="41">AJ50*AL50</f>
        <v>18891719771.899372</v>
      </c>
      <c r="AO50" s="2">
        <f t="shared" ref="AO50:AO79" si="42">AI50-AG50</f>
        <v>1450</v>
      </c>
      <c r="AT50"/>
      <c r="AU50" s="70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1.5593131476588691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1.5525502866250906</v>
      </c>
      <c r="BM50" s="2"/>
      <c r="BN50"/>
      <c r="BO50" s="2">
        <v>12</v>
      </c>
      <c r="BP50" s="2">
        <f t="shared" si="35"/>
        <v>0.21299323239792128</v>
      </c>
      <c r="BQ50" s="2">
        <v>-3.8141961209908759E-5</v>
      </c>
      <c r="BR50" s="2">
        <f t="shared" si="36"/>
        <v>0.21435847529913948</v>
      </c>
      <c r="BS50" s="2">
        <v>2.405437480537842E-3</v>
      </c>
      <c r="BT50" s="2">
        <f t="shared" si="27"/>
        <v>0.21367585384853038</v>
      </c>
      <c r="BU50" s="2">
        <v>1.1840984942319138E-3</v>
      </c>
      <c r="BV50" s="2">
        <f t="shared" si="28"/>
        <v>-4.5163838835705028E-8</v>
      </c>
      <c r="BW50" s="2">
        <f t="shared" si="29"/>
        <v>2.8482748986738673E-6</v>
      </c>
      <c r="BX50" s="2">
        <f t="shared" si="30"/>
        <v>1.3652429012181999E-3</v>
      </c>
      <c r="BY50"/>
      <c r="BZ50" s="2">
        <v>12</v>
      </c>
      <c r="CA50" s="2">
        <f t="shared" si="37"/>
        <v>0.18159264566990219</v>
      </c>
      <c r="CB50" s="2">
        <v>-1.1706502088744339E-3</v>
      </c>
      <c r="CC50" s="2">
        <f t="shared" si="38"/>
        <v>0.18295788857112041</v>
      </c>
      <c r="CD50" s="2">
        <v>1.2489854921049412E-3</v>
      </c>
      <c r="CE50" s="2">
        <f t="shared" si="31"/>
        <v>0.18227526712051129</v>
      </c>
      <c r="CF50" s="2">
        <v>3.9944073811047642E-5</v>
      </c>
      <c r="CG50" s="2">
        <f t="shared" si="32"/>
        <v>-4.6760538350198727E-8</v>
      </c>
      <c r="CH50" s="2">
        <f t="shared" si="33"/>
        <v>4.9889568685567431E-8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6780.8803926612945</v>
      </c>
      <c r="AI51" s="2">
        <f t="shared" ref="AI51:AI79" si="44">IF(AN50&gt;0, AK50, AI50)</f>
        <v>775</v>
      </c>
      <c r="AJ51" s="2">
        <v>-68461.315041259397</v>
      </c>
      <c r="AK51" s="2">
        <f t="shared" si="39"/>
        <v>412.5</v>
      </c>
      <c r="AL51" s="2">
        <v>-14309.734994119506</v>
      </c>
      <c r="AM51" s="2">
        <f t="shared" si="40"/>
        <v>-97032601.445804149</v>
      </c>
      <c r="AN51" s="2">
        <f t="shared" si="41"/>
        <v>979663275.58934975</v>
      </c>
      <c r="AO51" s="2">
        <f t="shared" si="42"/>
        <v>725</v>
      </c>
      <c r="AT51"/>
      <c r="AU51" s="70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5.2176583386077516E-2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4.8684114025240824E-2</v>
      </c>
      <c r="BM51" s="2"/>
      <c r="BN51"/>
      <c r="BO51" s="2">
        <v>13</v>
      </c>
      <c r="BP51" s="2">
        <f t="shared" si="35"/>
        <v>0.21299323239792128</v>
      </c>
      <c r="BQ51" s="2">
        <v>-3.8141961209908759E-5</v>
      </c>
      <c r="BR51" s="2">
        <f t="shared" si="36"/>
        <v>0.21367585384853038</v>
      </c>
      <c r="BS51" s="2">
        <v>1.1840984942319138E-3</v>
      </c>
      <c r="BT51" s="2">
        <f t="shared" si="27"/>
        <v>0.21333454312322583</v>
      </c>
      <c r="BU51" s="2">
        <v>5.7309065791270875E-4</v>
      </c>
      <c r="BV51" s="2">
        <f t="shared" si="28"/>
        <v>-2.1858801643867628E-8</v>
      </c>
      <c r="BW51" s="2">
        <f t="shared" si="29"/>
        <v>6.7859578509281523E-7</v>
      </c>
      <c r="BX51" s="2">
        <f t="shared" si="30"/>
        <v>6.8262145060909996E-4</v>
      </c>
      <c r="BY51"/>
      <c r="BZ51" s="2">
        <v>13</v>
      </c>
      <c r="CA51" s="2">
        <f t="shared" si="37"/>
        <v>0.18159264566990219</v>
      </c>
      <c r="CB51" s="2">
        <v>-1.1706502088744339E-3</v>
      </c>
      <c r="CC51" s="2">
        <f t="shared" si="38"/>
        <v>0.18227526712051129</v>
      </c>
      <c r="CD51" s="2">
        <v>3.9944073811047642E-5</v>
      </c>
      <c r="CE51" s="2">
        <f t="shared" si="31"/>
        <v>0.18193395639520674</v>
      </c>
      <c r="CF51" s="2">
        <v>-5.6515867929245178E-4</v>
      </c>
      <c r="CG51" s="2">
        <f t="shared" si="32"/>
        <v>6.616031259609079E-7</v>
      </c>
      <c r="CH51" s="2">
        <f t="shared" si="33"/>
        <v>-2.2574740000611897E-8</v>
      </c>
      <c r="CI51" s="2">
        <f t="shared" si="34"/>
        <v>6.8262145060909996E-4</v>
      </c>
    </row>
    <row r="52" spans="2:87" x14ac:dyDescent="0.2">
      <c r="B52" s="58" t="s">
        <v>74</v>
      </c>
      <c r="C52" s="58"/>
      <c r="D52" s="58"/>
      <c r="AF52" s="2">
        <v>3</v>
      </c>
      <c r="AG52" s="2">
        <f t="shared" si="43"/>
        <v>50</v>
      </c>
      <c r="AH52" s="2">
        <v>6780.8803926612945</v>
      </c>
      <c r="AI52" s="2">
        <f t="shared" si="44"/>
        <v>412.5</v>
      </c>
      <c r="AJ52" s="2">
        <v>-14309.734994119506</v>
      </c>
      <c r="AK52" s="2">
        <f t="shared" si="39"/>
        <v>231.25</v>
      </c>
      <c r="AL52" s="2">
        <v>368.19328181578112</v>
      </c>
      <c r="AM52" s="2">
        <f t="shared" si="40"/>
        <v>2496674.6053742445</v>
      </c>
      <c r="AN52" s="2">
        <f t="shared" si="41"/>
        <v>-5268748.2893989887</v>
      </c>
      <c r="AO52" s="2">
        <f t="shared" si="42"/>
        <v>362.5</v>
      </c>
      <c r="AT52"/>
      <c r="AU52" s="70"/>
      <c r="AV52" s="67">
        <v>-2.2751380819795499</v>
      </c>
      <c r="AW52" s="68"/>
      <c r="AX52" s="69"/>
      <c r="AY52" s="67">
        <v>0.14939144598517301</v>
      </c>
      <c r="AZ52" s="68"/>
      <c r="BA52" s="69"/>
      <c r="BB52" s="64">
        <v>3.3811980767955601</v>
      </c>
      <c r="BC52" s="64"/>
      <c r="BD52" s="73"/>
      <c r="BE52" s="27"/>
      <c r="BF52"/>
      <c r="BG52" s="2" t="s">
        <v>190</v>
      </c>
      <c r="BH52" s="2">
        <f xml:space="preserve"> BH50*COS(BH42) - BH51*SIN(BH42)</f>
        <v>1.5309282106013868</v>
      </c>
      <c r="BI52" s="2"/>
      <c r="BJ52" s="2"/>
      <c r="BK52" s="2" t="s">
        <v>190</v>
      </c>
      <c r="BL52" s="2">
        <f xml:space="preserve"> BL50*COS(BL42) - BL51*SIN(BL42)</f>
        <v>1.5293703002563621</v>
      </c>
      <c r="BM52" s="2"/>
      <c r="BN52"/>
      <c r="BO52" s="2">
        <v>14</v>
      </c>
      <c r="BP52" s="2">
        <f t="shared" si="35"/>
        <v>0.21299323239792128</v>
      </c>
      <c r="BQ52" s="2">
        <v>-3.8141961209908759E-5</v>
      </c>
      <c r="BR52" s="2">
        <f t="shared" si="36"/>
        <v>0.21333454312322583</v>
      </c>
      <c r="BS52" s="2">
        <v>5.7309065791270875E-4</v>
      </c>
      <c r="BT52" s="2">
        <f t="shared" si="27"/>
        <v>0.21316388776057354</v>
      </c>
      <c r="BU52" s="2">
        <v>2.6750240937142844E-4</v>
      </c>
      <c r="BV52" s="2">
        <f t="shared" si="28"/>
        <v>-1.0203066521802157E-8</v>
      </c>
      <c r="BW52" s="2">
        <f t="shared" si="29"/>
        <v>1.5330313177990668E-7</v>
      </c>
      <c r="BX52" s="2">
        <f t="shared" si="30"/>
        <v>3.4131072530454998E-4</v>
      </c>
      <c r="BY52"/>
      <c r="BZ52" s="2">
        <v>14</v>
      </c>
      <c r="CA52" s="2">
        <f t="shared" si="37"/>
        <v>0.18193395639520674</v>
      </c>
      <c r="CB52" s="2">
        <v>-5.6515867929245178E-4</v>
      </c>
      <c r="CC52" s="2">
        <f t="shared" si="38"/>
        <v>0.18227526712051129</v>
      </c>
      <c r="CD52" s="2">
        <v>3.9944073811047642E-5</v>
      </c>
      <c r="CE52" s="2">
        <f t="shared" si="31"/>
        <v>0.18210461175785903</v>
      </c>
      <c r="CF52" s="2">
        <v>-2.6255874081518998E-4</v>
      </c>
      <c r="CG52" s="2">
        <f t="shared" si="32"/>
        <v>1.4838735119580193E-7</v>
      </c>
      <c r="CH52" s="2">
        <f t="shared" si="33"/>
        <v>-1.0487665722857676E-8</v>
      </c>
      <c r="CI52" s="2">
        <f t="shared" si="34"/>
        <v>3.4131072530454998E-4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368.19328181578112</v>
      </c>
      <c r="AI53" s="2">
        <f t="shared" si="44"/>
        <v>412.5</v>
      </c>
      <c r="AJ53" s="2">
        <v>-14309.734994119506</v>
      </c>
      <c r="AK53" s="2">
        <f t="shared" si="39"/>
        <v>321.875</v>
      </c>
      <c r="AL53" s="2">
        <v>-5937.6157105156417</v>
      </c>
      <c r="AM53" s="2">
        <f t="shared" si="40"/>
        <v>-2186190.2146156952</v>
      </c>
      <c r="AN53" s="2">
        <f t="shared" si="41"/>
        <v>84965707.314399436</v>
      </c>
      <c r="AO53" s="2">
        <f t="shared" si="42"/>
        <v>181.25</v>
      </c>
      <c r="AT53"/>
      <c r="AU53" s="70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0.30073028164867333</v>
      </c>
      <c r="BI53" s="2"/>
      <c r="BJ53" s="2"/>
      <c r="BK53" s="2" t="s">
        <v>192</v>
      </c>
      <c r="BL53" s="2">
        <f xml:space="preserve"> BL50*SIN(BL42) + BL51*COS(BL42)</f>
        <v>0.27167815545575019</v>
      </c>
      <c r="BM53" s="2"/>
      <c r="BN53"/>
      <c r="BO53" s="2">
        <v>15</v>
      </c>
      <c r="BP53" s="2">
        <f t="shared" si="35"/>
        <v>0.21299323239792128</v>
      </c>
      <c r="BQ53" s="2">
        <v>-3.8141961209908759E-5</v>
      </c>
      <c r="BR53" s="2">
        <f t="shared" si="36"/>
        <v>0.21316388776057354</v>
      </c>
      <c r="BS53" s="2">
        <v>2.6750240937142844E-4</v>
      </c>
      <c r="BT53" s="2">
        <f t="shared" si="27"/>
        <v>0.21307856007924741</v>
      </c>
      <c r="BU53" s="2">
        <v>1.1468723471309838E-4</v>
      </c>
      <c r="BV53" s="2">
        <f t="shared" si="28"/>
        <v>-4.3743960576986995E-9</v>
      </c>
      <c r="BW53" s="2">
        <f t="shared" si="29"/>
        <v>3.0679111609900342E-8</v>
      </c>
      <c r="BX53" s="2">
        <f t="shared" si="30"/>
        <v>1.7065536265226111E-4</v>
      </c>
      <c r="BY53"/>
      <c r="BZ53" s="2">
        <v>15</v>
      </c>
      <c r="CA53" s="2">
        <f t="shared" si="37"/>
        <v>0.18210461175785903</v>
      </c>
      <c r="CB53" s="2">
        <v>-2.6255874081518998E-4</v>
      </c>
      <c r="CC53" s="2">
        <f t="shared" si="38"/>
        <v>0.18227526712051129</v>
      </c>
      <c r="CD53" s="2">
        <v>3.9944073811047642E-5</v>
      </c>
      <c r="CE53" s="2">
        <f t="shared" si="31"/>
        <v>0.18218993943918516</v>
      </c>
      <c r="CF53" s="2">
        <v>-1.1129519740279287E-4</v>
      </c>
      <c r="CG53" s="2">
        <f t="shared" si="32"/>
        <v>2.9221526888855298E-8</v>
      </c>
      <c r="CH53" s="2">
        <f t="shared" si="33"/>
        <v>-4.4455835798722764E-9</v>
      </c>
      <c r="CI53" s="2">
        <f t="shared" si="34"/>
        <v>1.7065536265226111E-4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368.19328181578112</v>
      </c>
      <c r="AI54" s="2">
        <f t="shared" si="44"/>
        <v>321.875</v>
      </c>
      <c r="AJ54" s="2">
        <v>-5937.6157105156417</v>
      </c>
      <c r="AK54" s="2">
        <f t="shared" si="39"/>
        <v>276.5625</v>
      </c>
      <c r="AL54" s="2">
        <v>-2526.4224279408718</v>
      </c>
      <c r="AM54" s="2">
        <f t="shared" si="40"/>
        <v>-930211.76499654341</v>
      </c>
      <c r="AN54" s="2">
        <f t="shared" si="41"/>
        <v>15000925.499540793</v>
      </c>
      <c r="AO54" s="2">
        <f t="shared" si="42"/>
        <v>90.625</v>
      </c>
      <c r="AT54"/>
      <c r="AU54" s="70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1.3558113379711549</v>
      </c>
      <c r="BI54" s="2"/>
      <c r="BJ54" s="2"/>
      <c r="BK54" s="2" t="s">
        <v>38</v>
      </c>
      <c r="BL54" s="2">
        <f xml:space="preserve"> 4*BL49*SIN(BL42)*SIN(BL42) / (BL46*BL52)</f>
        <v>1.3276778762603292</v>
      </c>
      <c r="BM54" s="2"/>
      <c r="BN54"/>
      <c r="BO54" s="2">
        <v>16</v>
      </c>
      <c r="BP54" s="2">
        <f t="shared" si="35"/>
        <v>0.21299323239792128</v>
      </c>
      <c r="BQ54" s="2">
        <v>-3.8141961209908759E-5</v>
      </c>
      <c r="BR54" s="2">
        <f t="shared" si="36"/>
        <v>0.21307856007924741</v>
      </c>
      <c r="BS54" s="2">
        <v>1.1468723471309838E-4</v>
      </c>
      <c r="BT54" s="2">
        <f t="shared" si="27"/>
        <v>0.21303589623858435</v>
      </c>
      <c r="BU54" s="2">
        <v>3.8274388830666917E-5</v>
      </c>
      <c r="BV54" s="2">
        <f t="shared" si="28"/>
        <v>-1.4598602541122627E-9</v>
      </c>
      <c r="BW54" s="2">
        <f t="shared" si="29"/>
        <v>4.3895838153230878E-9</v>
      </c>
      <c r="BX54" s="2">
        <f t="shared" si="30"/>
        <v>8.5327681326130556E-5</v>
      </c>
      <c r="BY54"/>
      <c r="BZ54" s="2">
        <v>16</v>
      </c>
      <c r="CA54" s="2">
        <f t="shared" si="37"/>
        <v>0.18218993943918516</v>
      </c>
      <c r="CB54" s="2">
        <v>-1.1129519740279287E-4</v>
      </c>
      <c r="CC54" s="2">
        <f t="shared" si="38"/>
        <v>0.18227526712051129</v>
      </c>
      <c r="CD54" s="2">
        <v>3.9944073811047642E-5</v>
      </c>
      <c r="CE54" s="2">
        <f t="shared" si="31"/>
        <v>0.18223260327984822</v>
      </c>
      <c r="CF54" s="2">
        <v>-3.5672528318222985E-5</v>
      </c>
      <c r="CG54" s="2">
        <f t="shared" si="32"/>
        <v>3.9701810810333458E-9</v>
      </c>
      <c r="CH54" s="2">
        <f t="shared" si="33"/>
        <v>-1.424906104169786E-9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231.25</v>
      </c>
      <c r="AH55" s="2">
        <v>368.19328181578112</v>
      </c>
      <c r="AI55" s="2">
        <f t="shared" si="44"/>
        <v>276.5625</v>
      </c>
      <c r="AJ55" s="2">
        <v>-2526.4224279408718</v>
      </c>
      <c r="AK55" s="2">
        <f t="shared" si="39"/>
        <v>253.90625</v>
      </c>
      <c r="AL55" s="2">
        <v>-1014.542376460282</v>
      </c>
      <c r="AM55" s="2">
        <f t="shared" si="40"/>
        <v>-373547.68713009288</v>
      </c>
      <c r="AN55" s="2">
        <f t="shared" si="41"/>
        <v>2563162.6139856875</v>
      </c>
      <c r="AO55" s="2">
        <f t="shared" si="42"/>
        <v>45.3125</v>
      </c>
      <c r="AT55"/>
      <c r="AU55" s="71"/>
      <c r="AV55" s="67">
        <v>-2.92797950805124E-2</v>
      </c>
      <c r="AW55" s="68"/>
      <c r="AX55" s="69"/>
      <c r="AY55" s="68">
        <v>4.8575804011639703E-2</v>
      </c>
      <c r="AZ55" s="68"/>
      <c r="BA55" s="68"/>
      <c r="BB55" s="67">
        <v>7.4720850653456003E-3</v>
      </c>
      <c r="BC55" s="68"/>
      <c r="BD55" s="69"/>
      <c r="BE55"/>
      <c r="BF55"/>
      <c r="BG55" s="2" t="s">
        <v>194</v>
      </c>
      <c r="BH55" s="2">
        <f xml:space="preserve"> 4*BH49*SIN(BH42)*COS(BH42) / (BH46*BH53)</f>
        <v>42.628534613498822</v>
      </c>
      <c r="BI55" s="2"/>
      <c r="BJ55" s="2"/>
      <c r="BK55" s="2" t="s">
        <v>194</v>
      </c>
      <c r="BL55" s="2">
        <f xml:space="preserve"> 4*BL49*SIN(BL42)*COS(BL42) / (BL46*BL53)</f>
        <v>51.377053670801509</v>
      </c>
      <c r="BM55" s="2"/>
      <c r="BN55"/>
      <c r="BO55" s="2">
        <v>17</v>
      </c>
      <c r="BP55" s="2">
        <f t="shared" si="35"/>
        <v>0.21299323239792128</v>
      </c>
      <c r="BQ55" s="2">
        <v>-3.8141961209908759E-5</v>
      </c>
      <c r="BR55" s="2">
        <f t="shared" si="36"/>
        <v>0.21303589623858435</v>
      </c>
      <c r="BS55" s="2">
        <v>3.8274388830666917E-5</v>
      </c>
      <c r="BT55" s="2">
        <f t="shared" si="27"/>
        <v>0.21301456431825283</v>
      </c>
      <c r="BU55" s="2">
        <v>6.6651757710256554E-8</v>
      </c>
      <c r="BV55" s="2">
        <f t="shared" si="28"/>
        <v>-2.5422287571568424E-12</v>
      </c>
      <c r="BW55" s="2">
        <f t="shared" si="29"/>
        <v>2.5510552908497611E-12</v>
      </c>
      <c r="BX55" s="2">
        <f t="shared" si="30"/>
        <v>4.2663840663065278E-5</v>
      </c>
      <c r="BY55"/>
      <c r="BZ55" s="2">
        <v>17</v>
      </c>
      <c r="CA55" s="2">
        <f t="shared" si="37"/>
        <v>0.18223260327984822</v>
      </c>
      <c r="CB55" s="2">
        <v>-3.5672528318222985E-5</v>
      </c>
      <c r="CC55" s="2">
        <f t="shared" si="38"/>
        <v>0.18227526712051129</v>
      </c>
      <c r="CD55" s="2">
        <v>3.9944073811047642E-5</v>
      </c>
      <c r="CE55" s="2">
        <f t="shared" si="31"/>
        <v>0.18225393520017974</v>
      </c>
      <c r="CF55" s="2">
        <v>2.136531047462753E-6</v>
      </c>
      <c r="CG55" s="2">
        <f t="shared" si="32"/>
        <v>-7.6215464293377675E-11</v>
      </c>
      <c r="CH55" s="2">
        <f t="shared" si="33"/>
        <v>8.5341753859447141E-11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231.25</v>
      </c>
      <c r="AH56" s="2">
        <v>368.19328181578112</v>
      </c>
      <c r="AI56" s="2">
        <f t="shared" si="44"/>
        <v>253.90625</v>
      </c>
      <c r="AJ56" s="2">
        <v>-1014.542376460282</v>
      </c>
      <c r="AK56" s="2">
        <f t="shared" si="39"/>
        <v>242.578125</v>
      </c>
      <c r="AL56" s="2">
        <v>-307.0314981716856</v>
      </c>
      <c r="AM56" s="2">
        <f t="shared" si="40"/>
        <v>-113046.93493264892</v>
      </c>
      <c r="AN56" s="2">
        <f t="shared" si="41"/>
        <v>311496.4658032626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2.8104781756029045</v>
      </c>
      <c r="BI56" s="2"/>
      <c r="BJ56" s="2"/>
      <c r="BK56" s="2" t="s">
        <v>45</v>
      </c>
      <c r="BL56" s="2">
        <f>1/(BL54-1)</f>
        <v>3.051777591495171</v>
      </c>
      <c r="BM56" s="2"/>
      <c r="BN56"/>
      <c r="BO56" s="2">
        <v>18</v>
      </c>
      <c r="BP56" s="2">
        <f t="shared" si="35"/>
        <v>0.21299323239792128</v>
      </c>
      <c r="BQ56" s="2">
        <v>-3.8141961209908759E-5</v>
      </c>
      <c r="BR56" s="2">
        <f t="shared" si="36"/>
        <v>0.21301456431825283</v>
      </c>
      <c r="BS56" s="2">
        <v>6.6651757710256554E-8</v>
      </c>
      <c r="BT56" s="2">
        <f t="shared" si="27"/>
        <v>0.21300389835808706</v>
      </c>
      <c r="BU56" s="2">
        <v>-1.9037545248318244E-5</v>
      </c>
      <c r="BV56" s="2">
        <f t="shared" si="28"/>
        <v>7.2612931239323729E-10</v>
      </c>
      <c r="BW56" s="2">
        <f t="shared" si="29"/>
        <v>-1.2688858532889536E-12</v>
      </c>
      <c r="BX56" s="2">
        <f t="shared" si="30"/>
        <v>2.1331920331546517E-5</v>
      </c>
      <c r="BY56"/>
      <c r="BZ56" s="2">
        <v>18</v>
      </c>
      <c r="CA56" s="2">
        <f t="shared" si="37"/>
        <v>0.18223260327984822</v>
      </c>
      <c r="CB56" s="2">
        <v>-3.5672528318222985E-5</v>
      </c>
      <c r="CC56" s="2">
        <f t="shared" si="38"/>
        <v>0.18225393520017974</v>
      </c>
      <c r="CD56" s="2">
        <v>2.136531047462753E-6</v>
      </c>
      <c r="CE56" s="2">
        <f t="shared" si="31"/>
        <v>0.18224326924001399</v>
      </c>
      <c r="CF56" s="2">
        <v>-1.6767809051555782E-5</v>
      </c>
      <c r="CG56" s="2">
        <f t="shared" si="32"/>
        <v>5.9815014322617929E-10</v>
      </c>
      <c r="CH56" s="2">
        <f t="shared" si="33"/>
        <v>-3.5824944636575907E-11</v>
      </c>
      <c r="CI56" s="2">
        <f t="shared" si="34"/>
        <v>2.1331920331518761E-5</v>
      </c>
    </row>
    <row r="57" spans="2:87" x14ac:dyDescent="0.2">
      <c r="AF57" s="2">
        <v>8</v>
      </c>
      <c r="AG57" s="2">
        <f t="shared" si="43"/>
        <v>231.25</v>
      </c>
      <c r="AH57" s="2">
        <v>368.19328181578112</v>
      </c>
      <c r="AI57" s="2">
        <f t="shared" si="44"/>
        <v>242.578125</v>
      </c>
      <c r="AJ57" s="2">
        <v>-307.0314981716856</v>
      </c>
      <c r="AK57" s="2">
        <f t="shared" si="39"/>
        <v>236.9140625</v>
      </c>
      <c r="AL57" s="2">
        <v>34.616654109690899</v>
      </c>
      <c r="AM57" s="2">
        <f t="shared" si="40"/>
        <v>12745.619482128839</v>
      </c>
      <c r="AN57" s="2">
        <f t="shared" si="41"/>
        <v>-10628.403172989434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2.2920779000690904E-2</v>
      </c>
      <c r="BI57" s="2"/>
      <c r="BJ57" s="2"/>
      <c r="BK57" s="2" t="s">
        <v>197</v>
      </c>
      <c r="BL57" s="2">
        <f>1/(BL55+1)</f>
        <v>1.9092330131533674E-2</v>
      </c>
      <c r="BM57" s="2"/>
      <c r="BN57"/>
      <c r="BO57" s="2">
        <v>19</v>
      </c>
      <c r="BP57" s="2">
        <f t="shared" si="35"/>
        <v>0.21300389835808706</v>
      </c>
      <c r="BQ57" s="2">
        <v>-1.9037545248318244E-5</v>
      </c>
      <c r="BR57" s="2">
        <f t="shared" si="36"/>
        <v>0.21301456431825283</v>
      </c>
      <c r="BS57" s="2">
        <v>6.6651757710256554E-8</v>
      </c>
      <c r="BT57" s="2">
        <f t="shared" si="27"/>
        <v>0.21300923133816996</v>
      </c>
      <c r="BU57" s="2">
        <v>-9.4854193747329063E-6</v>
      </c>
      <c r="BV57" s="2">
        <f t="shared" si="28"/>
        <v>1.8057910054575224E-10</v>
      </c>
      <c r="BW57" s="2">
        <f t="shared" si="29"/>
        <v>-6.3221987394487088E-13</v>
      </c>
      <c r="BX57" s="2">
        <f t="shared" si="30"/>
        <v>1.0665960165773258E-5</v>
      </c>
      <c r="BY57"/>
      <c r="BZ57" s="2">
        <v>19</v>
      </c>
      <c r="CA57" s="2">
        <f t="shared" si="37"/>
        <v>0.18224326924001399</v>
      </c>
      <c r="CB57" s="2">
        <v>-1.6767809051555782E-5</v>
      </c>
      <c r="CC57" s="2">
        <f t="shared" si="38"/>
        <v>0.18225393520017974</v>
      </c>
      <c r="CD57" s="2">
        <v>2.136531047462753E-6</v>
      </c>
      <c r="CE57" s="2">
        <f t="shared" si="31"/>
        <v>0.18224860222009687</v>
      </c>
      <c r="CF57" s="2">
        <v>-7.3155916071460103E-6</v>
      </c>
      <c r="CG57" s="2">
        <f t="shared" si="32"/>
        <v>1.2266644316778839E-10</v>
      </c>
      <c r="CH57" s="2">
        <f t="shared" si="33"/>
        <v>-1.5629988599225389E-11</v>
      </c>
      <c r="CI57" s="2">
        <f t="shared" si="34"/>
        <v>1.0665960165745503E-5</v>
      </c>
    </row>
    <row r="58" spans="2:87" x14ac:dyDescent="0.2">
      <c r="AF58" s="2">
        <v>9</v>
      </c>
      <c r="AG58" s="2">
        <f t="shared" si="43"/>
        <v>236.9140625</v>
      </c>
      <c r="AH58" s="2">
        <v>34.616654109690899</v>
      </c>
      <c r="AI58" s="2">
        <f t="shared" si="44"/>
        <v>242.578125</v>
      </c>
      <c r="AJ58" s="2">
        <v>-307.0314981716856</v>
      </c>
      <c r="AK58" s="2">
        <f t="shared" si="39"/>
        <v>239.74609375</v>
      </c>
      <c r="AL58" s="2">
        <v>-135.19848145908691</v>
      </c>
      <c r="AM58" s="2">
        <f t="shared" si="40"/>
        <v>-4680.1190688246697</v>
      </c>
      <c r="AN58" s="2">
        <f t="shared" si="41"/>
        <v>41510.192312920313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-5.942139558179349E-10</v>
      </c>
      <c r="BI58" s="40"/>
      <c r="BJ58" s="2"/>
      <c r="BK58" s="7" t="s">
        <v>199</v>
      </c>
      <c r="BL58" s="40">
        <f>SIN(BL42)/(1+BL56) - $AR$3*COS(BL42)/($AV$5*$AR$24*(1-BL57))</f>
        <v>4.158961265654515E-9</v>
      </c>
      <c r="BM58" s="40"/>
      <c r="BN58"/>
      <c r="BO58" s="2">
        <v>20</v>
      </c>
      <c r="BP58" s="2">
        <f t="shared" si="35"/>
        <v>0.21300923133816996</v>
      </c>
      <c r="BQ58" s="2">
        <v>-9.4854193747329063E-6</v>
      </c>
      <c r="BR58" s="2">
        <f t="shared" si="36"/>
        <v>0.21301456431825283</v>
      </c>
      <c r="BS58" s="2">
        <v>6.6651757710256554E-8</v>
      </c>
      <c r="BT58" s="2">
        <f t="shared" si="27"/>
        <v>0.21301189782821139</v>
      </c>
      <c r="BU58" s="2">
        <v>-4.7093769657002849E-6</v>
      </c>
      <c r="BV58" s="2">
        <f t="shared" si="28"/>
        <v>4.4670415513374351E-11</v>
      </c>
      <c r="BW58" s="2">
        <f t="shared" si="29"/>
        <v>-3.1388825248411859E-13</v>
      </c>
      <c r="BX58" s="2">
        <f t="shared" si="30"/>
        <v>5.3329800828727514E-6</v>
      </c>
      <c r="BY58"/>
      <c r="BZ58" s="2">
        <v>20</v>
      </c>
      <c r="CA58" s="2">
        <f t="shared" si="37"/>
        <v>0.18224860222009687</v>
      </c>
      <c r="CB58" s="2">
        <v>-7.3155916071460103E-6</v>
      </c>
      <c r="CC58" s="2">
        <f t="shared" si="38"/>
        <v>0.18225393520017974</v>
      </c>
      <c r="CD58" s="2">
        <v>2.136531047462753E-6</v>
      </c>
      <c r="CE58" s="2">
        <f t="shared" si="31"/>
        <v>0.1822512687101383</v>
      </c>
      <c r="CF58" s="2">
        <v>-2.5895184312743624E-6</v>
      </c>
      <c r="CG58" s="2">
        <f t="shared" si="32"/>
        <v>1.8943859302380629E-11</v>
      </c>
      <c r="CH58" s="2">
        <f t="shared" si="33"/>
        <v>-5.532586526394719E-12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236.9140625</v>
      </c>
      <c r="AH59" s="2">
        <v>34.616654109690899</v>
      </c>
      <c r="AI59" s="2">
        <f t="shared" si="44"/>
        <v>239.74609375</v>
      </c>
      <c r="AJ59" s="2">
        <v>-135.19848145908691</v>
      </c>
      <c r="AK59" s="2">
        <f t="shared" si="39"/>
        <v>238.330078125</v>
      </c>
      <c r="AL59" s="2">
        <v>-50.038678531718688</v>
      </c>
      <c r="AM59" s="2">
        <f t="shared" si="40"/>
        <v>-1732.1716268385214</v>
      </c>
      <c r="AN59" s="2">
        <f t="shared" si="41"/>
        <v>6765.1533517077787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0.21301189782821139</v>
      </c>
      <c r="BQ59" s="2">
        <v>-4.7093769657002849E-6</v>
      </c>
      <c r="BR59" s="2">
        <f t="shared" si="36"/>
        <v>0.21301456431825283</v>
      </c>
      <c r="BS59" s="2">
        <v>6.6651757710256554E-8</v>
      </c>
      <c r="BT59" s="2">
        <f t="shared" si="27"/>
        <v>0.21301323107323211</v>
      </c>
      <c r="BU59" s="2">
        <v>-2.3213608933148056E-6</v>
      </c>
      <c r="BV59" s="2">
        <f t="shared" si="28"/>
        <v>1.0932163520054181E-11</v>
      </c>
      <c r="BW59" s="2">
        <f t="shared" si="29"/>
        <v>-1.5472278381928312E-13</v>
      </c>
      <c r="BX59" s="2">
        <f t="shared" si="30"/>
        <v>2.6664900414363757E-6</v>
      </c>
      <c r="BY59"/>
      <c r="BZ59" s="2">
        <v>21</v>
      </c>
      <c r="CA59" s="2">
        <f t="shared" si="37"/>
        <v>0.1822512687101383</v>
      </c>
      <c r="CB59" s="2">
        <v>-2.5895184312743624E-6</v>
      </c>
      <c r="CC59" s="2">
        <f t="shared" si="38"/>
        <v>0.18225393520017974</v>
      </c>
      <c r="CD59" s="2">
        <v>2.136531047462753E-6</v>
      </c>
      <c r="CE59" s="2">
        <f t="shared" si="31"/>
        <v>0.18225260195515902</v>
      </c>
      <c r="CF59" s="2">
        <v>-2.2649072979608054E-7</v>
      </c>
      <c r="CG59" s="2">
        <f t="shared" si="32"/>
        <v>5.8650191931973193E-13</v>
      </c>
      <c r="CH59" s="2">
        <f t="shared" si="33"/>
        <v>-4.8390447617182336E-13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236.9140625</v>
      </c>
      <c r="AH60" s="2">
        <v>34.616654109690899</v>
      </c>
      <c r="AI60" s="2">
        <f t="shared" si="44"/>
        <v>238.330078125</v>
      </c>
      <c r="AJ60" s="2">
        <v>-50.038678531718688</v>
      </c>
      <c r="AK60" s="2">
        <f t="shared" si="39"/>
        <v>237.6220703125</v>
      </c>
      <c r="AL60" s="2">
        <v>-7.6479534252712256</v>
      </c>
      <c r="AM60" s="2">
        <f t="shared" si="40"/>
        <v>-264.74655836963973</v>
      </c>
      <c r="AN60" s="2">
        <f t="shared" si="41"/>
        <v>382.69348287270367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2" t="s">
        <v>206</v>
      </c>
      <c r="BH60" s="62"/>
      <c r="BI60" s="62"/>
      <c r="BJ60" s="2"/>
      <c r="BK60" s="62" t="s">
        <v>220</v>
      </c>
      <c r="BL60" s="62"/>
      <c r="BM60" s="62"/>
      <c r="BN60"/>
      <c r="BO60" s="2">
        <v>22</v>
      </c>
      <c r="BP60" s="2">
        <f t="shared" si="35"/>
        <v>0.21301323107323211</v>
      </c>
      <c r="BQ60" s="2">
        <v>-2.3213608933148056E-6</v>
      </c>
      <c r="BR60" s="2">
        <f t="shared" si="36"/>
        <v>0.21301456431825283</v>
      </c>
      <c r="BS60" s="2">
        <v>6.6651757710256554E-8</v>
      </c>
      <c r="BT60" s="2">
        <f t="shared" si="27"/>
        <v>0.21301389769574247</v>
      </c>
      <c r="BU60" s="2">
        <v>-1.1273541401096709E-6</v>
      </c>
      <c r="BV60" s="2">
        <f t="shared" si="28"/>
        <v>2.6169958137671303E-12</v>
      </c>
      <c r="BW60" s="2">
        <f t="shared" si="29"/>
        <v>-7.5140135000244411E-14</v>
      </c>
      <c r="BX60" s="2">
        <f t="shared" si="30"/>
        <v>1.3332450207181878E-6</v>
      </c>
      <c r="BY60"/>
      <c r="BZ60" s="2">
        <v>22</v>
      </c>
      <c r="CA60" s="2">
        <f t="shared" si="37"/>
        <v>0.18225260195515902</v>
      </c>
      <c r="CB60" s="2">
        <v>-2.2649072979608054E-7</v>
      </c>
      <c r="CC60" s="2">
        <f t="shared" si="38"/>
        <v>0.18225393520017974</v>
      </c>
      <c r="CD60" s="2">
        <v>2.136531047462753E-6</v>
      </c>
      <c r="CE60" s="2">
        <f t="shared" si="31"/>
        <v>0.18225326857766938</v>
      </c>
      <c r="CF60" s="2">
        <v>9.5502089935556311E-7</v>
      </c>
      <c r="CG60" s="2">
        <f t="shared" si="32"/>
        <v>-2.1630338046555066E-13</v>
      </c>
      <c r="CH60" s="2">
        <f t="shared" si="33"/>
        <v>2.0404318024489618E-12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236.9140625</v>
      </c>
      <c r="AH61" s="2">
        <v>34.616654109690899</v>
      </c>
      <c r="AI61" s="2">
        <f t="shared" si="44"/>
        <v>237.6220703125</v>
      </c>
      <c r="AJ61" s="2">
        <v>-7.6479534252712256</v>
      </c>
      <c r="AK61" s="2">
        <f t="shared" si="39"/>
        <v>237.26806640625</v>
      </c>
      <c r="AL61" s="2">
        <v>13.500115038645163</v>
      </c>
      <c r="AM61" s="2">
        <f t="shared" si="40"/>
        <v>467.32881273381599</v>
      </c>
      <c r="AN61" s="2">
        <f t="shared" si="41"/>
        <v>-103.24825105136186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0.13411156940746272</v>
      </c>
      <c r="BI61" s="5" t="s">
        <v>155</v>
      </c>
      <c r="BJ61" s="2"/>
      <c r="BK61" s="28" t="s">
        <v>154</v>
      </c>
      <c r="BL61" s="29">
        <f>CE136</f>
        <v>0.14207171685850392</v>
      </c>
      <c r="BM61" s="5" t="s">
        <v>155</v>
      </c>
      <c r="BN61"/>
      <c r="BO61" s="2">
        <v>23</v>
      </c>
      <c r="BP61" s="2">
        <f t="shared" si="35"/>
        <v>0.21301389769574247</v>
      </c>
      <c r="BQ61" s="2">
        <v>-1.1273541401096709E-6</v>
      </c>
      <c r="BR61" s="2">
        <f t="shared" si="36"/>
        <v>0.21301456431825283</v>
      </c>
      <c r="BS61" s="2">
        <v>6.6651757710256554E-8</v>
      </c>
      <c r="BT61" s="2">
        <f t="shared" si="27"/>
        <v>0.21301423100699765</v>
      </c>
      <c r="BU61" s="2">
        <v>-5.3035108422971877E-7</v>
      </c>
      <c r="BV61" s="2">
        <f t="shared" si="28"/>
        <v>5.9789349051802631E-13</v>
      </c>
      <c r="BW61" s="2">
        <f t="shared" si="29"/>
        <v>-3.5348831967451079E-14</v>
      </c>
      <c r="BX61" s="2">
        <f t="shared" si="30"/>
        <v>6.6662251035909392E-7</v>
      </c>
      <c r="BY61"/>
      <c r="BZ61" s="2">
        <v>23</v>
      </c>
      <c r="CA61" s="2">
        <f t="shared" si="37"/>
        <v>0.18225260195515902</v>
      </c>
      <c r="CB61" s="2">
        <v>-2.2649072979608054E-7</v>
      </c>
      <c r="CC61" s="2">
        <f t="shared" si="38"/>
        <v>0.18225326857766938</v>
      </c>
      <c r="CD61" s="2">
        <v>9.5502089935556311E-7</v>
      </c>
      <c r="CE61" s="2">
        <f t="shared" si="31"/>
        <v>0.1822529352664142</v>
      </c>
      <c r="CF61" s="2">
        <v>3.6426526993371677E-7</v>
      </c>
      <c r="CG61" s="2">
        <f t="shared" si="32"/>
        <v>-8.2502706826653787E-14</v>
      </c>
      <c r="CH61" s="2">
        <f t="shared" si="33"/>
        <v>3.4788094569609513E-13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237.26806640625</v>
      </c>
      <c r="AH62" s="2">
        <v>13.500115038645163</v>
      </c>
      <c r="AI62" s="2">
        <f t="shared" si="44"/>
        <v>237.6220703125</v>
      </c>
      <c r="AJ62" s="2">
        <v>-7.6479534252712256</v>
      </c>
      <c r="AK62" s="2">
        <f t="shared" si="39"/>
        <v>237.445068359375</v>
      </c>
      <c r="AL62" s="2">
        <v>2.9300219807964822</v>
      </c>
      <c r="AM62" s="2">
        <f t="shared" si="40"/>
        <v>39.55563380651148</v>
      </c>
      <c r="AN62" s="2">
        <f t="shared" si="41"/>
        <v>-22.408671644152438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0.38269320983044802</v>
      </c>
      <c r="BI62" s="2" t="s">
        <v>155</v>
      </c>
      <c r="BJ62" s="2"/>
      <c r="BK62" s="2" t="s">
        <v>159</v>
      </c>
      <c r="BL62" s="2">
        <f>($AR$42+$AR$5)/180*PI()</f>
        <v>0.35965486370412292</v>
      </c>
      <c r="BM62" s="2" t="s">
        <v>155</v>
      </c>
      <c r="BN62"/>
      <c r="BO62" s="2">
        <v>24</v>
      </c>
      <c r="BP62" s="2">
        <f t="shared" si="35"/>
        <v>0.21301423100699765</v>
      </c>
      <c r="BQ62" s="2">
        <v>-5.3035108422971877E-7</v>
      </c>
      <c r="BR62" s="2">
        <f t="shared" si="36"/>
        <v>0.21301456431825283</v>
      </c>
      <c r="BS62" s="2">
        <v>6.6651757710256554E-8</v>
      </c>
      <c r="BT62" s="2">
        <f t="shared" si="27"/>
        <v>0.21301439766262525</v>
      </c>
      <c r="BU62" s="2">
        <v>-2.3184963650335622E-7</v>
      </c>
      <c r="BV62" s="2">
        <f t="shared" si="28"/>
        <v>1.2296170609782115E-13</v>
      </c>
      <c r="BW62" s="2">
        <f t="shared" si="29"/>
        <v>-1.5453185797432751E-14</v>
      </c>
      <c r="BX62" s="2">
        <f t="shared" si="30"/>
        <v>3.3331125517954696E-7</v>
      </c>
      <c r="BY62"/>
      <c r="BZ62" s="2">
        <v>24</v>
      </c>
      <c r="CA62" s="2">
        <f t="shared" si="37"/>
        <v>0.18225260195515902</v>
      </c>
      <c r="CB62" s="2">
        <v>-2.2649072979608054E-7</v>
      </c>
      <c r="CC62" s="2">
        <f t="shared" si="38"/>
        <v>0.1822529352664142</v>
      </c>
      <c r="CD62" s="2">
        <v>3.6426526993371677E-7</v>
      </c>
      <c r="CE62" s="2">
        <f t="shared" si="31"/>
        <v>0.1822527686107866</v>
      </c>
      <c r="CF62" s="2">
        <v>6.8887316365118245E-8</v>
      </c>
      <c r="CG62" s="2">
        <f t="shared" si="32"/>
        <v>-1.5602338557229113E-14</v>
      </c>
      <c r="CH62" s="2">
        <f t="shared" si="33"/>
        <v>2.5093256890749143E-14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237.445068359375</v>
      </c>
      <c r="AH63" s="2">
        <v>2.9300219807964822</v>
      </c>
      <c r="AI63" s="2">
        <f t="shared" si="44"/>
        <v>237.6220703125</v>
      </c>
      <c r="AJ63" s="2">
        <v>-7.6479534252712256</v>
      </c>
      <c r="AK63" s="2">
        <f t="shared" si="39"/>
        <v>237.5335693359375</v>
      </c>
      <c r="AL63" s="2">
        <v>-2.3579804287119259</v>
      </c>
      <c r="AM63" s="2">
        <f t="shared" si="40"/>
        <v>-6.9089344864138553</v>
      </c>
      <c r="AN63" s="2">
        <f t="shared" si="41"/>
        <v>18.033724496489885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0.24858164042298531</v>
      </c>
      <c r="BI63" s="2" t="s">
        <v>155</v>
      </c>
      <c r="BJ63" s="2"/>
      <c r="BK63" s="2" t="s">
        <v>28</v>
      </c>
      <c r="BL63" s="2">
        <f>BL62-BL61</f>
        <v>0.217583146845619</v>
      </c>
      <c r="BM63" s="2" t="s">
        <v>155</v>
      </c>
      <c r="BN63"/>
      <c r="BO63" s="2">
        <v>25</v>
      </c>
      <c r="BP63" s="2">
        <f t="shared" si="35"/>
        <v>0.21301439766262525</v>
      </c>
      <c r="BQ63" s="2">
        <v>-2.3184963650335622E-7</v>
      </c>
      <c r="BR63" s="2">
        <f t="shared" si="36"/>
        <v>0.21301456431825283</v>
      </c>
      <c r="BS63" s="2">
        <v>6.6651757710256554E-8</v>
      </c>
      <c r="BT63" s="2">
        <f t="shared" si="27"/>
        <v>0.21301448099043904</v>
      </c>
      <c r="BU63" s="2">
        <v>-8.2598932707456107E-8</v>
      </c>
      <c r="BV63" s="2">
        <f t="shared" si="28"/>
        <v>1.9150532523788878E-14</v>
      </c>
      <c r="BW63" s="2">
        <f t="shared" si="29"/>
        <v>-5.50536404994315E-15</v>
      </c>
      <c r="BX63" s="2">
        <f t="shared" si="30"/>
        <v>1.6665562757589569E-7</v>
      </c>
      <c r="BY63"/>
      <c r="BZ63" s="2">
        <v>25</v>
      </c>
      <c r="CA63" s="2">
        <f t="shared" si="37"/>
        <v>0.18225260195515902</v>
      </c>
      <c r="CB63" s="2">
        <v>-2.2649072979608054E-7</v>
      </c>
      <c r="CC63" s="2">
        <f t="shared" si="38"/>
        <v>0.1822527686107866</v>
      </c>
      <c r="CD63" s="2">
        <v>6.8887316365118245E-8</v>
      </c>
      <c r="CE63" s="2">
        <f t="shared" si="31"/>
        <v>0.18225268528297281</v>
      </c>
      <c r="CF63" s="2">
        <v>-7.8801695141406114E-8</v>
      </c>
      <c r="CG63" s="2">
        <f t="shared" si="32"/>
        <v>1.7847853441745326E-14</v>
      </c>
      <c r="CH63" s="2">
        <f t="shared" si="33"/>
        <v>-5.4284373033136442E-15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237.445068359375</v>
      </c>
      <c r="AH64" s="2">
        <v>2.9300219807964822</v>
      </c>
      <c r="AI64" s="2">
        <f t="shared" si="44"/>
        <v>237.5335693359375</v>
      </c>
      <c r="AJ64" s="2">
        <v>-2.3579804287119259</v>
      </c>
      <c r="AK64" s="2">
        <f t="shared" si="39"/>
        <v>237.48931884765625</v>
      </c>
      <c r="AL64" s="2">
        <v>0.28626709942727757</v>
      </c>
      <c r="AM64" s="2">
        <f t="shared" si="40"/>
        <v>0.83876889370077534</v>
      </c>
      <c r="AN64" s="2">
        <f t="shared" si="41"/>
        <v>-0.67501221783365151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14.242678860675678</v>
      </c>
      <c r="BI64" s="2" t="s">
        <v>43</v>
      </c>
      <c r="BJ64" s="2"/>
      <c r="BK64" s="2" t="s">
        <v>168</v>
      </c>
      <c r="BL64" s="2">
        <f>BL63/PI()*180</f>
        <v>12.466596007429199</v>
      </c>
      <c r="BM64" s="2" t="s">
        <v>43</v>
      </c>
      <c r="BN64"/>
      <c r="BO64" s="2">
        <v>26</v>
      </c>
      <c r="BP64" s="2">
        <f t="shared" si="35"/>
        <v>0.21301448099043904</v>
      </c>
      <c r="BQ64" s="2">
        <v>-8.2598932707456107E-8</v>
      </c>
      <c r="BR64" s="2">
        <f t="shared" si="36"/>
        <v>0.21301456431825283</v>
      </c>
      <c r="BS64" s="2">
        <v>6.6651757710256554E-8</v>
      </c>
      <c r="BT64" s="2">
        <f t="shared" si="27"/>
        <v>0.21301452265434595</v>
      </c>
      <c r="BU64" s="2">
        <v>-7.9735857638763008E-9</v>
      </c>
      <c r="BV64" s="2">
        <f t="shared" si="28"/>
        <v>6.5860967394754855E-16</v>
      </c>
      <c r="BW64" s="2">
        <f t="shared" si="29"/>
        <v>-5.3145350641583409E-16</v>
      </c>
      <c r="BX64" s="2">
        <f t="shared" si="30"/>
        <v>8.3327813787947846E-8</v>
      </c>
      <c r="BY64"/>
      <c r="BZ64" s="2">
        <v>26</v>
      </c>
      <c r="CA64" s="2">
        <f t="shared" si="37"/>
        <v>0.18225268528297281</v>
      </c>
      <c r="CB64" s="2">
        <v>-7.8801695141406114E-8</v>
      </c>
      <c r="CC64" s="2">
        <f t="shared" si="38"/>
        <v>0.1822527686107866</v>
      </c>
      <c r="CD64" s="2">
        <v>6.8887316365118245E-8</v>
      </c>
      <c r="CE64" s="2">
        <f t="shared" si="31"/>
        <v>0.18225272694687972</v>
      </c>
      <c r="CF64" s="2">
        <v>-4.9571865015640704E-9</v>
      </c>
      <c r="CG64" s="2">
        <f t="shared" si="32"/>
        <v>3.9063469945534538E-16</v>
      </c>
      <c r="CH64" s="2">
        <f t="shared" si="33"/>
        <v>-3.4148727481413786E-16</v>
      </c>
      <c r="CI64" s="2">
        <f t="shared" si="34"/>
        <v>8.3327813787947846E-8</v>
      </c>
    </row>
    <row r="65" spans="32:87" x14ac:dyDescent="0.2">
      <c r="AF65" s="2">
        <v>16</v>
      </c>
      <c r="AG65" s="2">
        <f t="shared" si="43"/>
        <v>237.48931884765625</v>
      </c>
      <c r="AH65" s="2">
        <v>0.28626709942727757</v>
      </c>
      <c r="AI65" s="2">
        <f t="shared" si="44"/>
        <v>237.5335693359375</v>
      </c>
      <c r="AJ65" s="2">
        <v>-2.3579804287119259</v>
      </c>
      <c r="AK65" s="2">
        <f t="shared" si="39"/>
        <v>237.51144409179688</v>
      </c>
      <c r="AL65" s="2">
        <v>-1.0357950837978933</v>
      </c>
      <c r="AM65" s="2">
        <f t="shared" si="40"/>
        <v>-0.29651405423985683</v>
      </c>
      <c r="AN65" s="2">
        <f t="shared" si="41"/>
        <v>2.4423845357514615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0.21301452265434595</v>
      </c>
      <c r="BQ65" s="2">
        <v>-7.9735857638763008E-9</v>
      </c>
      <c r="BR65" s="2">
        <f t="shared" si="36"/>
        <v>0.21301456431825283</v>
      </c>
      <c r="BS65" s="2">
        <v>6.6651757710256554E-8</v>
      </c>
      <c r="BT65" s="2">
        <f t="shared" si="27"/>
        <v>0.21301454348629939</v>
      </c>
      <c r="BU65" s="2">
        <v>2.9339086340951503E-8</v>
      </c>
      <c r="BV65" s="2">
        <f t="shared" si="28"/>
        <v>-2.3393772117334853E-16</v>
      </c>
      <c r="BW65" s="2">
        <f t="shared" si="29"/>
        <v>1.9555016742373971E-15</v>
      </c>
      <c r="BX65" s="2">
        <f t="shared" si="30"/>
        <v>4.1663906880096135E-8</v>
      </c>
      <c r="BY65"/>
      <c r="BZ65" s="2">
        <v>27</v>
      </c>
      <c r="CA65" s="2">
        <f t="shared" si="37"/>
        <v>0.18225272694687972</v>
      </c>
      <c r="CB65" s="2">
        <v>-4.9571865015640704E-9</v>
      </c>
      <c r="CC65" s="2">
        <f t="shared" si="38"/>
        <v>0.1822527686107866</v>
      </c>
      <c r="CD65" s="2">
        <v>6.8887316365118245E-8</v>
      </c>
      <c r="CE65" s="2">
        <f t="shared" si="31"/>
        <v>0.18225274777883316</v>
      </c>
      <c r="CF65" s="2">
        <v>3.19650656568915E-8</v>
      </c>
      <c r="CG65" s="2">
        <f t="shared" si="32"/>
        <v>-1.5845679199595178E-16</v>
      </c>
      <c r="CH65" s="2">
        <f t="shared" si="33"/>
        <v>2.2019875905380609E-15</v>
      </c>
      <c r="CI65" s="2">
        <f t="shared" si="34"/>
        <v>4.1663906880096135E-8</v>
      </c>
    </row>
    <row r="66" spans="32:87" x14ac:dyDescent="0.2">
      <c r="AF66" s="2">
        <v>17</v>
      </c>
      <c r="AG66" s="2">
        <f t="shared" si="43"/>
        <v>237.48931884765625</v>
      </c>
      <c r="AH66" s="2">
        <v>0.28626709942727757</v>
      </c>
      <c r="AI66" s="2">
        <f t="shared" si="44"/>
        <v>237.51144409179688</v>
      </c>
      <c r="AJ66" s="2">
        <v>-1.0357950837978933</v>
      </c>
      <c r="AK66" s="2">
        <f t="shared" si="39"/>
        <v>237.50038146972656</v>
      </c>
      <c r="AL66" s="2">
        <v>-0.37474859697340435</v>
      </c>
      <c r="AM66" s="2">
        <f t="shared" si="40"/>
        <v>-0.10727819387001832</v>
      </c>
      <c r="AN66" s="2">
        <f t="shared" si="41"/>
        <v>0.38816275440521031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0.93049720613807141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0.63700178138064445</v>
      </c>
      <c r="BM66" s="2"/>
      <c r="BN66"/>
      <c r="BO66" s="2">
        <v>28</v>
      </c>
      <c r="BP66" s="2">
        <f t="shared" si="35"/>
        <v>0.21301452265434595</v>
      </c>
      <c r="BQ66" s="2">
        <v>-7.9735857638763008E-9</v>
      </c>
      <c r="BR66" s="2">
        <f t="shared" si="36"/>
        <v>0.21301454348629939</v>
      </c>
      <c r="BS66" s="2">
        <v>2.9339086340951503E-8</v>
      </c>
      <c r="BT66" s="2">
        <f t="shared" si="27"/>
        <v>0.21301453307032267</v>
      </c>
      <c r="BU66" s="2">
        <v>1.0682750309354283E-8</v>
      </c>
      <c r="BV66" s="2">
        <f t="shared" si="28"/>
        <v>-8.5179825785712455E-17</v>
      </c>
      <c r="BW66" s="2">
        <f t="shared" si="29"/>
        <v>3.1342213368497171E-16</v>
      </c>
      <c r="BX66" s="2">
        <f t="shared" si="30"/>
        <v>2.0831953440048068E-8</v>
      </c>
      <c r="BY66"/>
      <c r="BZ66" s="2">
        <v>28</v>
      </c>
      <c r="CA66" s="2">
        <f t="shared" si="37"/>
        <v>0.18225272694687972</v>
      </c>
      <c r="CB66" s="2">
        <v>-4.9571865015640704E-9</v>
      </c>
      <c r="CC66" s="2">
        <f t="shared" si="38"/>
        <v>0.18225274777883316</v>
      </c>
      <c r="CD66" s="2">
        <v>3.19650656568915E-8</v>
      </c>
      <c r="CE66" s="2">
        <f t="shared" si="31"/>
        <v>0.18225273736285644</v>
      </c>
      <c r="CF66" s="2">
        <v>1.3503939744197169E-8</v>
      </c>
      <c r="CG66" s="2">
        <f t="shared" si="32"/>
        <v>-6.6941547817868767E-17</v>
      </c>
      <c r="CH66" s="2">
        <f t="shared" si="33"/>
        <v>4.3165432054996911E-16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237.48931884765625</v>
      </c>
      <c r="AH67" s="2">
        <v>0.28626709942727757</v>
      </c>
      <c r="AI67" s="2">
        <f t="shared" si="44"/>
        <v>237.50038146972656</v>
      </c>
      <c r="AJ67" s="2">
        <v>-0.37474859697340435</v>
      </c>
      <c r="AK67" s="2">
        <f t="shared" si="39"/>
        <v>237.49485015869141</v>
      </c>
      <c r="AL67" s="2">
        <v>-4.4236899972929677E-2</v>
      </c>
      <c r="AM67" s="2">
        <f t="shared" si="40"/>
        <v>-1.2663569042905193E-2</v>
      </c>
      <c r="AN67" s="2">
        <f t="shared" si="41"/>
        <v>1.6577716199308225E-2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0.99995714487912313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0.99993871693691738</v>
      </c>
      <c r="BM67" s="2"/>
      <c r="BN67"/>
      <c r="BO67" s="2">
        <v>29</v>
      </c>
      <c r="BP67" s="2">
        <f t="shared" si="35"/>
        <v>0.21301452265434595</v>
      </c>
      <c r="BQ67" s="2">
        <v>-7.9735857638763008E-9</v>
      </c>
      <c r="BR67" s="2">
        <f t="shared" si="36"/>
        <v>0.21301453307032267</v>
      </c>
      <c r="BS67" s="2">
        <v>1.0682750309354283E-8</v>
      </c>
      <c r="BT67" s="2">
        <f t="shared" si="27"/>
        <v>0.21301452786233432</v>
      </c>
      <c r="BU67" s="2">
        <v>1.3545823074334606E-9</v>
      </c>
      <c r="BV67" s="2">
        <f t="shared" si="28"/>
        <v>-1.0800878202550152E-17</v>
      </c>
      <c r="BW67" s="2">
        <f t="shared" si="29"/>
        <v>1.4470664563780641E-17</v>
      </c>
      <c r="BX67" s="2">
        <f t="shared" si="30"/>
        <v>1.0415976720024034E-8</v>
      </c>
      <c r="BY67"/>
      <c r="BZ67" s="2">
        <v>29</v>
      </c>
      <c r="CA67" s="2">
        <f t="shared" si="37"/>
        <v>0.18225272694687972</v>
      </c>
      <c r="CB67" s="2">
        <v>-4.9571865015640704E-9</v>
      </c>
      <c r="CC67" s="2">
        <f t="shared" si="38"/>
        <v>0.18225273736285644</v>
      </c>
      <c r="CD67" s="2">
        <v>1.3503939744197169E-8</v>
      </c>
      <c r="CE67" s="2">
        <f t="shared" si="31"/>
        <v>0.18225273215486809</v>
      </c>
      <c r="CF67" s="2">
        <v>4.273376708052723E-9</v>
      </c>
      <c r="CG67" s="2">
        <f t="shared" si="32"/>
        <v>-2.1183925333257262E-17</v>
      </c>
      <c r="CH67" s="2">
        <f t="shared" si="33"/>
        <v>5.7707421569799627E-17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237.48931884765625</v>
      </c>
      <c r="AH68" s="2">
        <v>0.28626709942727757</v>
      </c>
      <c r="AI68" s="2">
        <f t="shared" si="44"/>
        <v>237.49485015869141</v>
      </c>
      <c r="AJ68" s="2">
        <v>-4.4236899972929677E-2</v>
      </c>
      <c r="AK68" s="2">
        <f t="shared" si="39"/>
        <v>237.49208450317383</v>
      </c>
      <c r="AL68" s="2">
        <v>0.12101606192845793</v>
      </c>
      <c r="AM68" s="2">
        <f t="shared" si="40"/>
        <v>3.4642917032371448E-2</v>
      </c>
      <c r="AN68" s="2">
        <f t="shared" si="41"/>
        <v>-5.3533754266470567E-3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0.93045732956782679</v>
      </c>
      <c r="BI68" s="2"/>
      <c r="BJ68" s="2"/>
      <c r="BK68" s="2" t="s">
        <v>183</v>
      </c>
      <c r="BL68" s="2">
        <f>IF(BL61=0,1,BL66*BL67)</f>
        <v>0.6369627439602924</v>
      </c>
      <c r="BM68" s="2"/>
      <c r="BN68"/>
      <c r="BO68" s="2">
        <v>30</v>
      </c>
      <c r="BP68" s="2">
        <f t="shared" si="35"/>
        <v>0.21301452265434595</v>
      </c>
      <c r="BQ68" s="2">
        <v>-7.9735857638763008E-9</v>
      </c>
      <c r="BR68" s="2">
        <f t="shared" si="36"/>
        <v>0.21301452786233432</v>
      </c>
      <c r="BS68" s="2">
        <v>1.3545823074334606E-9</v>
      </c>
      <c r="BT68" s="5">
        <f t="shared" si="27"/>
        <v>0.21301452525834014</v>
      </c>
      <c r="BU68" s="2">
        <v>-3.3095017282214201E-9</v>
      </c>
      <c r="BV68" s="2">
        <f t="shared" si="28"/>
        <v>2.6388595865670328E-17</v>
      </c>
      <c r="BW68" s="2">
        <f t="shared" si="29"/>
        <v>-4.482992487469197E-18</v>
      </c>
      <c r="BX68" s="2">
        <f t="shared" si="30"/>
        <v>5.2079883738898047E-9</v>
      </c>
      <c r="BY68"/>
      <c r="BZ68" s="2">
        <v>30</v>
      </c>
      <c r="CA68" s="2">
        <f t="shared" si="37"/>
        <v>0.18225272694687972</v>
      </c>
      <c r="CB68" s="2">
        <v>-4.9571865015640704E-9</v>
      </c>
      <c r="CC68" s="2">
        <f t="shared" si="38"/>
        <v>0.18225273215486809</v>
      </c>
      <c r="CD68" s="2">
        <v>4.273376708052723E-9</v>
      </c>
      <c r="CE68" s="5">
        <f t="shared" si="31"/>
        <v>0.1822527295508739</v>
      </c>
      <c r="CF68" s="2">
        <v>-3.4190485859175723E-10</v>
      </c>
      <c r="CG68" s="2">
        <f t="shared" si="32"/>
        <v>1.6948861498302313E-18</v>
      </c>
      <c r="CH68" s="2">
        <f t="shared" si="33"/>
        <v>-1.4610882590760753E-18</v>
      </c>
      <c r="CI68" s="2">
        <f t="shared" si="34"/>
        <v>5.2079883738898047E-9</v>
      </c>
    </row>
    <row r="69" spans="32:87" x14ac:dyDescent="0.2">
      <c r="AF69" s="2">
        <v>20</v>
      </c>
      <c r="AG69" s="2">
        <f t="shared" si="43"/>
        <v>237.49208450317383</v>
      </c>
      <c r="AH69" s="2">
        <v>0.12101606192845793</v>
      </c>
      <c r="AI69" s="2">
        <f t="shared" si="44"/>
        <v>237.49485015869141</v>
      </c>
      <c r="AJ69" s="2">
        <v>-4.4236899972929677E-2</v>
      </c>
      <c r="AK69" s="2">
        <f t="shared" si="39"/>
        <v>237.49346733093262</v>
      </c>
      <c r="AL69" s="2">
        <v>3.8389821527744061E-2</v>
      </c>
      <c r="AM69" s="2">
        <f t="shared" si="40"/>
        <v>4.6457850194239229E-3</v>
      </c>
      <c r="AN69" s="2">
        <f t="shared" si="41"/>
        <v>-1.6982466949014364E-3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1.5327208282108626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1.4480814526983248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237.49346733093262</v>
      </c>
      <c r="AH70" s="2">
        <v>3.8389821527744061E-2</v>
      </c>
      <c r="AI70" s="2">
        <f t="shared" si="44"/>
        <v>237.49485015869141</v>
      </c>
      <c r="AJ70" s="2">
        <v>-4.4236899972929677E-2</v>
      </c>
      <c r="AK70" s="2">
        <f t="shared" si="39"/>
        <v>237.49415874481201</v>
      </c>
      <c r="AL70" s="2">
        <v>-2.9234790854388848E-3</v>
      </c>
      <c r="AM70" s="2">
        <f t="shared" si="40"/>
        <v>-1.1223184033009121E-4</v>
      </c>
      <c r="AN70" s="2">
        <f t="shared" si="41"/>
        <v>1.2932565187551189E-4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4.2765226351432942E-2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3.0694684209117584E-2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237.49346733093262</v>
      </c>
      <c r="AH71" s="2">
        <v>3.8389821527744061E-2</v>
      </c>
      <c r="AI71" s="2">
        <f t="shared" si="44"/>
        <v>237.49415874481201</v>
      </c>
      <c r="AJ71" s="2">
        <v>-2.9234790854388848E-3</v>
      </c>
      <c r="AK71" s="2">
        <f t="shared" si="39"/>
        <v>237.49381303787231</v>
      </c>
      <c r="AL71" s="2">
        <v>1.7733186256009503E-2</v>
      </c>
      <c r="AM71" s="2">
        <f t="shared" si="40"/>
        <v>6.8077385548644879E-4</v>
      </c>
      <c r="AN71" s="2">
        <f t="shared" si="41"/>
        <v>-5.1842599137636065E-5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1.5132396488062987</v>
      </c>
      <c r="BI71" s="2"/>
      <c r="BJ71" s="2"/>
      <c r="BK71" s="2" t="s">
        <v>190</v>
      </c>
      <c r="BL71" s="2">
        <f xml:space="preserve"> BL69*COS(BL61) - BL70*SIN(BL61)</f>
        <v>1.4291455188682369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237.49381303787231</v>
      </c>
      <c r="AH72" s="2">
        <v>1.7733186256009503E-2</v>
      </c>
      <c r="AI72" s="2">
        <f t="shared" si="44"/>
        <v>237.49415874481201</v>
      </c>
      <c r="AJ72" s="2">
        <v>-2.9234790854388848E-3</v>
      </c>
      <c r="AK72" s="2">
        <f t="shared" si="39"/>
        <v>237.49398589134216</v>
      </c>
      <c r="AL72" s="2">
        <v>7.4048573451364064E-3</v>
      </c>
      <c r="AM72" s="2">
        <f t="shared" si="40"/>
        <v>1.3131171450048393E-4</v>
      </c>
      <c r="AN72" s="2">
        <f t="shared" si="41"/>
        <v>-2.1647945579164791E-5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0.24732118206265907</v>
      </c>
      <c r="BI72" s="2"/>
      <c r="BJ72" s="2"/>
      <c r="BK72" s="2" t="s">
        <v>192</v>
      </c>
      <c r="BL72" s="2">
        <f xml:space="preserve"> BL69*SIN(BL61) + BL70*COS(BL61)</f>
        <v>0.23542545144148275</v>
      </c>
      <c r="BM72" s="2"/>
      <c r="BN72"/>
      <c r="BO72" s="30">
        <v>0</v>
      </c>
      <c r="BP72" s="30"/>
      <c r="BQ72" s="30">
        <f>$BH$58</f>
        <v>-5.942139558179349E-10</v>
      </c>
      <c r="BR72" s="30"/>
      <c r="BS72" s="30">
        <f>$BH$58</f>
        <v>-5.942139558179349E-10</v>
      </c>
      <c r="BT72" s="30"/>
      <c r="BU72" s="30">
        <f>$BH$58</f>
        <v>-5.942139558179349E-10</v>
      </c>
      <c r="BV72" s="30"/>
      <c r="BW72" s="30"/>
      <c r="BX72" s="30"/>
      <c r="BY72"/>
      <c r="BZ72" s="30">
        <v>0</v>
      </c>
      <c r="CA72" s="30"/>
      <c r="CB72" s="30">
        <f>$BL$58</f>
        <v>4.158961265654515E-9</v>
      </c>
      <c r="CC72" s="30"/>
      <c r="CD72" s="30">
        <f>$BL$58</f>
        <v>4.158961265654515E-9</v>
      </c>
      <c r="CE72" s="30"/>
      <c r="CF72" s="30">
        <f>$BL$58</f>
        <v>4.158961265654515E-9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237.49398589134216</v>
      </c>
      <c r="AH73" s="2">
        <v>7.4048573451364064E-3</v>
      </c>
      <c r="AI73" s="2">
        <f t="shared" si="44"/>
        <v>237.49415874481201</v>
      </c>
      <c r="AJ73" s="2">
        <v>-2.9234790854388848E-3</v>
      </c>
      <c r="AK73" s="2">
        <f t="shared" si="39"/>
        <v>237.49407231807709</v>
      </c>
      <c r="AL73" s="2">
        <v>2.2406900707210298E-3</v>
      </c>
      <c r="AM73" s="2">
        <f t="shared" si="40"/>
        <v>1.6591990328352833E-5</v>
      </c>
      <c r="AN73" s="2">
        <f t="shared" si="41"/>
        <v>-6.5506105587035066E-6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1.2995193856089884</v>
      </c>
      <c r="BI73" s="2"/>
      <c r="BJ73" s="2"/>
      <c r="BK73" s="2" t="s">
        <v>38</v>
      </c>
      <c r="BL73" s="2">
        <f xml:space="preserve"> 4*BL68*SIN(BL61)*SIN(BL61) / (BL65*BL71)</f>
        <v>1.2383775815180014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-0.52100318247876243</v>
      </c>
      <c r="BR73" s="3">
        <f>0.9*PI()</f>
        <v>2.8274333882308138</v>
      </c>
      <c r="BS73" s="2">
        <f t="dataTable" ref="BS73:BS102" dt2D="0" dtr="0" r1="BH42"/>
        <v>0.38036050401391713</v>
      </c>
      <c r="BT73" s="2">
        <f t="shared" ref="BT73:BT102" si="45">(BP73+BR73)/2</f>
        <v>1.4294246573833558</v>
      </c>
      <c r="BU73" s="2">
        <f t="dataTable" ref="BU73:BU102" dt2D="0" dtr="0" r1="BH42" ca="1"/>
        <v>1.0066183554337029</v>
      </c>
      <c r="BV73" s="2">
        <f t="shared" ref="BV73:BV102" si="46">BQ73*BU73</f>
        <v>-0.52445136672249726</v>
      </c>
      <c r="BW73" s="2">
        <f t="shared" ref="BW73:BW102" si="47">BS73*BU73</f>
        <v>0.3828778650224236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/>
        <v>-0.43475555326502296</v>
      </c>
      <c r="CC73" s="3">
        <f>0.9*PI()</f>
        <v>2.8274333882308138</v>
      </c>
      <c r="CD73" s="2">
        <f t="dataTable" ref="CD73:CD102" dt2D="0" dtr="0" r1="BL42" ca="1"/>
        <v>0.37052865159784132</v>
      </c>
      <c r="CE73" s="2">
        <f t="shared" ref="CE73:CE102" si="49">(CA73+CC73)/2</f>
        <v>1.4294246573833558</v>
      </c>
      <c r="CF73" s="2">
        <f t="dataTable" ref="CF73:CF102" dt2D="0" dtr="0" r1="BL42" ca="1"/>
        <v>1.0074826134077486</v>
      </c>
      <c r="CG73" s="2">
        <f t="shared" ref="CG73:CG102" si="50">CB73*CF73</f>
        <v>-0.438008660996977</v>
      </c>
      <c r="CH73" s="2">
        <f t="shared" ref="CH73:CH102" si="51">CD73*CF73</f>
        <v>0.37330117425424231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237.49407231807709</v>
      </c>
      <c r="AH74" s="2">
        <v>2.2406900707210298E-3</v>
      </c>
      <c r="AI74" s="2">
        <f t="shared" si="44"/>
        <v>237.49415874481201</v>
      </c>
      <c r="AJ74" s="2">
        <v>-2.9234790854388848E-3</v>
      </c>
      <c r="AK74" s="2">
        <f t="shared" si="39"/>
        <v>237.49411553144455</v>
      </c>
      <c r="AL74" s="2">
        <v>-3.4139427316404181E-4</v>
      </c>
      <c r="AM74" s="2">
        <f t="shared" si="40"/>
        <v>-7.6495875807969138E-7</v>
      </c>
      <c r="AN74" s="2">
        <f t="shared" si="41"/>
        <v>9.9805901748368579E-7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58.931596385742147</v>
      </c>
      <c r="BI74" s="2"/>
      <c r="BJ74" s="2"/>
      <c r="BK74" s="2" t="s">
        <v>194</v>
      </c>
      <c r="BL74" s="2">
        <f xml:space="preserve"> 4*BL68*SIN(BL61)*COS(BL61) / (BL65*BL72)</f>
        <v>52.557253874489113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-0.52100318247876243</v>
      </c>
      <c r="BR74" s="2">
        <f t="shared" ref="BR74:BR102" si="54">IF(BW73&gt;0,BT73,BR73)</f>
        <v>1.4294246573833558</v>
      </c>
      <c r="BS74" s="2">
        <v>1.0066183554337029</v>
      </c>
      <c r="BT74" s="2">
        <f t="shared" si="45"/>
        <v>0.73042029195962688</v>
      </c>
      <c r="BU74" s="2">
        <v>0.65662077782896033</v>
      </c>
      <c r="BV74" s="2">
        <f t="shared" si="46"/>
        <v>-0.34210151493056873</v>
      </c>
      <c r="BW74" s="2">
        <f t="shared" si="47"/>
        <v>0.66096652752178686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-0.43475555326502296</v>
      </c>
      <c r="CC74" s="2">
        <f t="shared" ref="CC74:CC102" si="56">IF(CH73&gt;0,CE73,CC73)</f>
        <v>1.4294246573833558</v>
      </c>
      <c r="CD74" s="2">
        <v>1.0074826134077486</v>
      </c>
      <c r="CE74" s="2">
        <f t="shared" si="49"/>
        <v>0.73042029195962688</v>
      </c>
      <c r="CF74" s="2">
        <v>0.6600519866588862</v>
      </c>
      <c r="CG74" s="2">
        <f t="shared" si="50"/>
        <v>-0.28696126664356164</v>
      </c>
      <c r="CH74" s="2">
        <f t="shared" si="51"/>
        <v>0.66499090050407106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237.49407231807709</v>
      </c>
      <c r="AH75" s="2">
        <v>2.2406900707210298E-3</v>
      </c>
      <c r="AI75" s="2">
        <f t="shared" si="44"/>
        <v>237.49411553144455</v>
      </c>
      <c r="AJ75" s="2">
        <v>-3.4139427316404181E-4</v>
      </c>
      <c r="AK75" s="2">
        <f t="shared" si="39"/>
        <v>237.49409392476082</v>
      </c>
      <c r="AL75" s="2">
        <v>9.496479578956496E-4</v>
      </c>
      <c r="AM75" s="2">
        <f t="shared" si="40"/>
        <v>2.1278667499372847E-6</v>
      </c>
      <c r="AN75" s="2">
        <f t="shared" si="41"/>
        <v>-3.2420437434750187E-7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3.3386820621536111</v>
      </c>
      <c r="BI75" s="2"/>
      <c r="BJ75" s="2"/>
      <c r="BK75" s="2" t="s">
        <v>45</v>
      </c>
      <c r="BL75" s="2">
        <f>1/(BL73-1)</f>
        <v>4.1950253611599955</v>
      </c>
      <c r="BM75" s="2"/>
      <c r="BN75"/>
      <c r="BO75" s="2">
        <v>3</v>
      </c>
      <c r="BP75" s="2">
        <f t="shared" si="53"/>
        <v>3.1415926535897934E-2</v>
      </c>
      <c r="BQ75" s="2">
        <v>-0.52100318247876243</v>
      </c>
      <c r="BR75" s="2">
        <f t="shared" si="54"/>
        <v>0.73042029195962688</v>
      </c>
      <c r="BS75" s="2">
        <v>0.65662077782896033</v>
      </c>
      <c r="BT75" s="2">
        <f t="shared" si="45"/>
        <v>0.38091810924776243</v>
      </c>
      <c r="BU75" s="2">
        <v>0.31751216442170949</v>
      </c>
      <c r="BV75" s="2">
        <f t="shared" si="46"/>
        <v>-0.16542484813943073</v>
      </c>
      <c r="BW75" s="2">
        <f t="shared" si="47"/>
        <v>0.20848508437273963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-0.43475555326502296</v>
      </c>
      <c r="CC75" s="2">
        <f t="shared" si="56"/>
        <v>0.73042029195962688</v>
      </c>
      <c r="CD75" s="2">
        <v>0.6600519866588862</v>
      </c>
      <c r="CE75" s="2">
        <f t="shared" si="49"/>
        <v>0.38091810924776243</v>
      </c>
      <c r="CF75" s="2">
        <v>0.32980944543096341</v>
      </c>
      <c r="CG75" s="2">
        <f t="shared" si="50"/>
        <v>-0.1433864879203689</v>
      </c>
      <c r="CH75" s="2">
        <f t="shared" si="51"/>
        <v>0.21769137967557292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237.49409392476082</v>
      </c>
      <c r="AH76" s="2">
        <v>9.496479578956496E-4</v>
      </c>
      <c r="AI76" s="2">
        <f t="shared" si="44"/>
        <v>237.49411553144455</v>
      </c>
      <c r="AJ76" s="2">
        <v>-3.4139427316404181E-4</v>
      </c>
      <c r="AK76" s="2">
        <f t="shared" si="39"/>
        <v>237.49410472810268</v>
      </c>
      <c r="AL76" s="2">
        <v>3.0412685646297177E-4</v>
      </c>
      <c r="AM76" s="2">
        <f t="shared" si="40"/>
        <v>2.888134481812845E-7</v>
      </c>
      <c r="AN76" s="2">
        <f t="shared" si="41"/>
        <v>-1.0382716711184112E-7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1.6685689357640775E-2</v>
      </c>
      <c r="BI76" s="2"/>
      <c r="BJ76"/>
      <c r="BK76" s="2" t="s">
        <v>197</v>
      </c>
      <c r="BL76" s="2">
        <f>1/(BL74+1)</f>
        <v>1.867160706826922E-2</v>
      </c>
      <c r="BM76" s="2"/>
      <c r="BN76"/>
      <c r="BO76" s="2">
        <v>4</v>
      </c>
      <c r="BP76" s="2">
        <f t="shared" si="53"/>
        <v>3.1415926535897934E-2</v>
      </c>
      <c r="BQ76" s="2">
        <v>-0.52100318247876243</v>
      </c>
      <c r="BR76" s="2">
        <f t="shared" si="54"/>
        <v>0.38091810924776243</v>
      </c>
      <c r="BS76" s="2">
        <v>0.31751216442170949</v>
      </c>
      <c r="BT76" s="2">
        <f t="shared" si="45"/>
        <v>0.20616701789183017</v>
      </c>
      <c r="BU76" s="2">
        <v>7.6902425649618578E-2</v>
      </c>
      <c r="BV76" s="2">
        <f t="shared" si="46"/>
        <v>-4.006640850378769E-2</v>
      </c>
      <c r="BW76" s="2">
        <f t="shared" si="47"/>
        <v>2.4417455617289984E-2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-0.43475555326502296</v>
      </c>
      <c r="CC76" s="2">
        <f t="shared" si="56"/>
        <v>0.38091810924776243</v>
      </c>
      <c r="CD76" s="2">
        <v>0.32980944543096341</v>
      </c>
      <c r="CE76" s="2">
        <f t="shared" si="49"/>
        <v>0.20616701789183017</v>
      </c>
      <c r="CF76" s="2">
        <v>0.10065803470087063</v>
      </c>
      <c r="CG76" s="2">
        <f t="shared" si="50"/>
        <v>-4.376163956694689E-2</v>
      </c>
      <c r="CH76" s="2">
        <f t="shared" si="51"/>
        <v>3.3197970602864814E-2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237.49410472810268</v>
      </c>
      <c r="AH77" s="2">
        <v>3.0412685646297177E-4</v>
      </c>
      <c r="AI77" s="2">
        <f t="shared" si="44"/>
        <v>237.49411553144455</v>
      </c>
      <c r="AJ77" s="2">
        <v>-3.4139427316404181E-4</v>
      </c>
      <c r="AK77" s="2">
        <f t="shared" si="39"/>
        <v>237.49411012977362</v>
      </c>
      <c r="AL77" s="2">
        <v>-1.8633703803061508E-5</v>
      </c>
      <c r="AM77" s="2">
        <f t="shared" si="40"/>
        <v>-5.6670097618872184E-9</v>
      </c>
      <c r="AN77" s="2">
        <f t="shared" si="41"/>
        <v>6.361439766200225E-9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1.4573390445804524E-9</v>
      </c>
      <c r="BI77" s="40"/>
      <c r="BJ77"/>
      <c r="BK77" s="7" t="s">
        <v>199</v>
      </c>
      <c r="BL77" s="40">
        <f>SIN(BL61)/(1+BL75) - $AR$3*COS(BL61)/($AV$5*$AR$26*(1-BL76))</f>
        <v>8.6423869449792079E-10</v>
      </c>
      <c r="BM77" s="40"/>
      <c r="BN77"/>
      <c r="BO77" s="2">
        <v>5</v>
      </c>
      <c r="BP77" s="2">
        <f t="shared" si="53"/>
        <v>3.1415926535897934E-2</v>
      </c>
      <c r="BQ77" s="2">
        <v>-0.52100318247876243</v>
      </c>
      <c r="BR77" s="2">
        <f t="shared" si="54"/>
        <v>0.20616701789183017</v>
      </c>
      <c r="BS77" s="2">
        <v>7.6902425649618578E-2</v>
      </c>
      <c r="BT77" s="2">
        <f t="shared" si="45"/>
        <v>0.11879147221386405</v>
      </c>
      <c r="BU77" s="2">
        <v>-8.0295466901144807E-2</v>
      </c>
      <c r="BV77" s="2">
        <f t="shared" si="46"/>
        <v>4.1834193794114578E-2</v>
      </c>
      <c r="BW77" s="2">
        <f t="shared" si="47"/>
        <v>-6.1749161733666976E-3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-0.43475555326502296</v>
      </c>
      <c r="CC77" s="2">
        <f t="shared" si="56"/>
        <v>0.20616701789183017</v>
      </c>
      <c r="CD77" s="2">
        <v>0.10065803470087063</v>
      </c>
      <c r="CE77" s="2">
        <f t="shared" si="49"/>
        <v>0.11879147221386405</v>
      </c>
      <c r="CF77" s="2">
        <v>-4.9157447817863811E-2</v>
      </c>
      <c r="CG77" s="2">
        <f t="shared" si="50"/>
        <v>2.1371473423151877E-2</v>
      </c>
      <c r="CH77" s="2">
        <f t="shared" si="51"/>
        <v>-4.9480920882567728E-3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237.49410472810268</v>
      </c>
      <c r="AH78" s="2">
        <v>3.0412685646297177E-4</v>
      </c>
      <c r="AI78" s="2">
        <f t="shared" si="44"/>
        <v>237.49411012977362</v>
      </c>
      <c r="AJ78" s="2">
        <v>-1.8633703803061508E-5</v>
      </c>
      <c r="AK78" s="2">
        <f t="shared" si="39"/>
        <v>237.49410742893815</v>
      </c>
      <c r="AL78" s="2">
        <v>1.4274657587520778E-4</v>
      </c>
      <c r="AM78" s="2">
        <f t="shared" si="40"/>
        <v>4.3413067391780026E-8</v>
      </c>
      <c r="AN78" s="2">
        <f t="shared" si="41"/>
        <v>-2.6598974137598673E-9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-8.0295466901144807E-2</v>
      </c>
      <c r="BR78" s="2">
        <f t="shared" si="54"/>
        <v>0.20616701789183017</v>
      </c>
      <c r="BS78" s="2">
        <v>7.6902425649618578E-2</v>
      </c>
      <c r="BT78" s="2">
        <f t="shared" si="45"/>
        <v>0.16247924505284711</v>
      </c>
      <c r="BU78" s="2">
        <v>3.49854985314213E-3</v>
      </c>
      <c r="BV78" s="2">
        <f t="shared" si="46"/>
        <v>-2.8091769393497892E-4</v>
      </c>
      <c r="BW78" s="2">
        <f t="shared" si="47"/>
        <v>2.6904696996274662E-4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-4.9157447817863811E-2</v>
      </c>
      <c r="CC78" s="2">
        <f t="shared" si="56"/>
        <v>0.20616701789183017</v>
      </c>
      <c r="CD78" s="2">
        <v>0.10065803470087063</v>
      </c>
      <c r="CE78" s="2">
        <f t="shared" si="49"/>
        <v>0.16247924505284711</v>
      </c>
      <c r="CF78" s="2">
        <v>3.1385664335690074E-2</v>
      </c>
      <c r="CG78" s="2">
        <f t="shared" si="50"/>
        <v>-1.5428391568106741E-3</v>
      </c>
      <c r="CH78" s="2">
        <f t="shared" si="51"/>
        <v>3.1592192898117692E-3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237.49410742893815</v>
      </c>
      <c r="AH79" s="2">
        <v>1.4274657587520778E-4</v>
      </c>
      <c r="AI79" s="2">
        <f t="shared" si="44"/>
        <v>237.49411012977362</v>
      </c>
      <c r="AJ79" s="2">
        <v>-1.8633703803061508E-5</v>
      </c>
      <c r="AK79" s="5">
        <f t="shared" si="39"/>
        <v>237.49410877935588</v>
      </c>
      <c r="AL79" s="2">
        <v>6.2056435126578435E-5</v>
      </c>
      <c r="AM79" s="2">
        <f t="shared" si="40"/>
        <v>8.858343625341038E-9</v>
      </c>
      <c r="AN79" s="2">
        <f t="shared" si="41"/>
        <v>-1.1563412312225643E-9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-8.0295466901144807E-2</v>
      </c>
      <c r="BR79" s="2">
        <f t="shared" si="54"/>
        <v>0.16247924505284711</v>
      </c>
      <c r="BS79" s="2">
        <v>3.49854985314213E-3</v>
      </c>
      <c r="BT79" s="2">
        <f t="shared" si="45"/>
        <v>0.14063535863335558</v>
      </c>
      <c r="BU79" s="2">
        <v>-3.6718529348558182E-2</v>
      </c>
      <c r="BV79" s="2">
        <f t="shared" si="46"/>
        <v>2.9483314579658677E-3</v>
      </c>
      <c r="BW79" s="2">
        <f t="shared" si="47"/>
        <v>-1.2846160545999322E-4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-4.9157447817863811E-2</v>
      </c>
      <c r="CC79" s="2">
        <f t="shared" si="56"/>
        <v>0.16247924505284711</v>
      </c>
      <c r="CD79" s="2">
        <v>3.1385664335690074E-2</v>
      </c>
      <c r="CE79" s="2">
        <f t="shared" si="49"/>
        <v>0.14063535863335558</v>
      </c>
      <c r="CF79" s="2">
        <v>-6.9485665421051071E-3</v>
      </c>
      <c r="CG79" s="2">
        <f t="shared" si="50"/>
        <v>3.4157379720248617E-4</v>
      </c>
      <c r="CH79" s="2">
        <f t="shared" si="51"/>
        <v>-2.1808537710471757E-4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0.14063535863335558</v>
      </c>
      <c r="BQ80" s="2">
        <v>-3.6718529348558182E-2</v>
      </c>
      <c r="BR80" s="2">
        <f t="shared" si="54"/>
        <v>0.16247924505284711</v>
      </c>
      <c r="BS80" s="2">
        <v>3.49854985314213E-3</v>
      </c>
      <c r="BT80" s="2">
        <f t="shared" si="45"/>
        <v>0.15155730184310134</v>
      </c>
      <c r="BU80" s="2">
        <v>-1.6253662884133862E-2</v>
      </c>
      <c r="BV80" s="2">
        <f t="shared" si="46"/>
        <v>5.9681059763264002E-4</v>
      </c>
      <c r="BW80" s="2">
        <f t="shared" si="47"/>
        <v>-5.6864249896308212E-5</v>
      </c>
      <c r="BX80" s="2">
        <f t="shared" si="48"/>
        <v>2.1843886419491532E-2</v>
      </c>
      <c r="BY80"/>
      <c r="BZ80" s="2">
        <v>8</v>
      </c>
      <c r="CA80" s="2">
        <f t="shared" si="55"/>
        <v>0.14063535863335558</v>
      </c>
      <c r="CB80" s="2">
        <v>-6.9485665421051071E-3</v>
      </c>
      <c r="CC80" s="2">
        <f t="shared" si="56"/>
        <v>0.16247924505284711</v>
      </c>
      <c r="CD80" s="2">
        <v>3.1385664335690074E-2</v>
      </c>
      <c r="CE80" s="2">
        <f t="shared" si="49"/>
        <v>0.15155730184310134</v>
      </c>
      <c r="CF80" s="2">
        <v>1.2614232278475773E-2</v>
      </c>
      <c r="CG80" s="2">
        <f t="shared" si="50"/>
        <v>-8.7650832364559035E-5</v>
      </c>
      <c r="CH80" s="2">
        <f t="shared" si="51"/>
        <v>3.9590606014466763E-4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0.15155730184310134</v>
      </c>
      <c r="BQ81" s="2">
        <v>-1.6253662884133862E-2</v>
      </c>
      <c r="BR81" s="2">
        <f t="shared" si="54"/>
        <v>0.16247924505284711</v>
      </c>
      <c r="BS81" s="2">
        <v>3.49854985314213E-3</v>
      </c>
      <c r="BT81" s="2">
        <f t="shared" si="45"/>
        <v>0.15701827344797423</v>
      </c>
      <c r="BU81" s="2">
        <v>-6.2945728776307996E-3</v>
      </c>
      <c r="BV81" s="2">
        <f t="shared" si="46"/>
        <v>1.023098655526234E-4</v>
      </c>
      <c r="BW81" s="2">
        <f t="shared" si="47"/>
        <v>-2.2021877016627667E-5</v>
      </c>
      <c r="BX81" s="2">
        <f t="shared" si="48"/>
        <v>1.0921943209745766E-2</v>
      </c>
      <c r="BY81"/>
      <c r="BZ81" s="2">
        <v>9</v>
      </c>
      <c r="CA81" s="2">
        <f t="shared" si="55"/>
        <v>0.14063535863335558</v>
      </c>
      <c r="CB81" s="2">
        <v>-6.9485665421051071E-3</v>
      </c>
      <c r="CC81" s="2">
        <f t="shared" si="56"/>
        <v>0.15155730184310134</v>
      </c>
      <c r="CD81" s="2">
        <v>1.2614232278475773E-2</v>
      </c>
      <c r="CE81" s="2">
        <f t="shared" si="49"/>
        <v>0.14609633023822846</v>
      </c>
      <c r="CF81" s="2">
        <v>2.9408700968002396E-3</v>
      </c>
      <c r="CG81" s="2">
        <f t="shared" si="50"/>
        <v>-2.0434831559303554E-5</v>
      </c>
      <c r="CH81" s="2">
        <f t="shared" si="51"/>
        <v>3.7096818501861752E-5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0.15701827344797423</v>
      </c>
      <c r="BQ82" s="2">
        <v>-6.2945728776307996E-3</v>
      </c>
      <c r="BR82" s="2">
        <f t="shared" si="54"/>
        <v>0.16247924505284711</v>
      </c>
      <c r="BS82" s="2">
        <v>3.49854985314213E-3</v>
      </c>
      <c r="BT82" s="2">
        <f t="shared" si="45"/>
        <v>0.15974875925041065</v>
      </c>
      <c r="BU82" s="2">
        <v>-1.377942775736038E-3</v>
      </c>
      <c r="BV82" s="2">
        <f t="shared" si="46"/>
        <v>8.6735612230753638E-6</v>
      </c>
      <c r="BW82" s="2">
        <f t="shared" si="47"/>
        <v>-4.8208014956895743E-6</v>
      </c>
      <c r="BX82" s="2">
        <f t="shared" si="48"/>
        <v>5.4609716048728829E-3</v>
      </c>
      <c r="BY82"/>
      <c r="BZ82" s="2">
        <v>10</v>
      </c>
      <c r="CA82" s="2">
        <f t="shared" si="55"/>
        <v>0.14063535863335558</v>
      </c>
      <c r="CB82" s="2">
        <v>-6.9485665421051071E-3</v>
      </c>
      <c r="CC82" s="2">
        <f t="shared" si="56"/>
        <v>0.14609633023822846</v>
      </c>
      <c r="CD82" s="2">
        <v>2.9408700968002396E-3</v>
      </c>
      <c r="CE82" s="2">
        <f t="shared" si="49"/>
        <v>0.14336584443579203</v>
      </c>
      <c r="CF82" s="2">
        <v>-1.9755556864656798E-3</v>
      </c>
      <c r="CG82" s="2">
        <f t="shared" si="50"/>
        <v>1.3727280145040909E-5</v>
      </c>
      <c r="CH82" s="2">
        <f t="shared" si="51"/>
        <v>-5.8098526428905874E-6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0.15974875925041065</v>
      </c>
      <c r="BQ83" s="2">
        <v>-1.377942775736038E-3</v>
      </c>
      <c r="BR83" s="2">
        <f t="shared" si="54"/>
        <v>0.16247924505284711</v>
      </c>
      <c r="BS83" s="2">
        <v>3.49854985314213E-3</v>
      </c>
      <c r="BT83" s="2">
        <f t="shared" si="45"/>
        <v>0.16111400215162888</v>
      </c>
      <c r="BU83" s="2">
        <v>1.0652406868948347E-3</v>
      </c>
      <c r="BV83" s="2">
        <f t="shared" si="46"/>
        <v>-1.4678407089268322E-6</v>
      </c>
      <c r="BW83" s="2">
        <f t="shared" si="47"/>
        <v>3.7267976486969455E-6</v>
      </c>
      <c r="BX83" s="2">
        <f t="shared" si="48"/>
        <v>2.7304858024364553E-3</v>
      </c>
      <c r="BY83"/>
      <c r="BZ83" s="2">
        <v>11</v>
      </c>
      <c r="CA83" s="2">
        <f t="shared" si="55"/>
        <v>0.14336584443579203</v>
      </c>
      <c r="CB83" s="2">
        <v>-1.9755556864656798E-3</v>
      </c>
      <c r="CC83" s="2">
        <f t="shared" si="56"/>
        <v>0.14609633023822846</v>
      </c>
      <c r="CD83" s="2">
        <v>2.9408700968002396E-3</v>
      </c>
      <c r="CE83" s="2">
        <f t="shared" si="49"/>
        <v>0.14473108733701023</v>
      </c>
      <c r="CF83" s="2">
        <v>4.8956277146754851E-4</v>
      </c>
      <c r="CG83" s="2">
        <f t="shared" si="50"/>
        <v>-9.6715851705461351E-7</v>
      </c>
      <c r="CH83" s="2">
        <f t="shared" si="51"/>
        <v>1.4397405151155629E-6</v>
      </c>
      <c r="CI83" s="2">
        <f t="shared" si="52"/>
        <v>2.7304858024364276E-3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0.15974875925041065</v>
      </c>
      <c r="BQ84" s="2">
        <v>-1.377942775736038E-3</v>
      </c>
      <c r="BR84" s="2">
        <f t="shared" si="54"/>
        <v>0.16111400215162888</v>
      </c>
      <c r="BS84" s="2">
        <v>1.0652406868948347E-3</v>
      </c>
      <c r="BT84" s="2">
        <f t="shared" si="45"/>
        <v>0.16043138070101975</v>
      </c>
      <c r="BU84" s="2">
        <v>-1.5510694680385961E-4</v>
      </c>
      <c r="BV84" s="2">
        <f t="shared" si="46"/>
        <v>2.1372849681485231E-7</v>
      </c>
      <c r="BW84" s="2">
        <f t="shared" si="47"/>
        <v>-1.6522623055550399E-7</v>
      </c>
      <c r="BX84" s="2">
        <f t="shared" si="48"/>
        <v>1.3652429012182277E-3</v>
      </c>
      <c r="BY84"/>
      <c r="BZ84" s="2">
        <v>12</v>
      </c>
      <c r="CA84" s="2">
        <f t="shared" si="55"/>
        <v>0.14336584443579203</v>
      </c>
      <c r="CB84" s="2">
        <v>-1.9755556864656798E-3</v>
      </c>
      <c r="CC84" s="2">
        <f t="shared" si="56"/>
        <v>0.14473108733701023</v>
      </c>
      <c r="CD84" s="2">
        <v>4.8956277146754851E-4</v>
      </c>
      <c r="CE84" s="2">
        <f t="shared" si="49"/>
        <v>0.14404846588640113</v>
      </c>
      <c r="CF84" s="2">
        <v>-7.4124959001416885E-4</v>
      </c>
      <c r="CG84" s="2">
        <f t="shared" si="50"/>
        <v>1.4643798426428451E-6</v>
      </c>
      <c r="CH84" s="2">
        <f t="shared" si="51"/>
        <v>-3.6288820363652057E-7</v>
      </c>
      <c r="CI84" s="2">
        <f t="shared" si="52"/>
        <v>1.3652429012181999E-3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0.16043138070101975</v>
      </c>
      <c r="BQ85" s="2">
        <v>-1.5510694680385961E-4</v>
      </c>
      <c r="BR85" s="2">
        <f t="shared" si="54"/>
        <v>0.16111400215162888</v>
      </c>
      <c r="BS85" s="2">
        <v>1.0652406868948347E-3</v>
      </c>
      <c r="BT85" s="2">
        <f t="shared" si="45"/>
        <v>0.16077269142632433</v>
      </c>
      <c r="BU85" s="2">
        <v>4.5537665630429602E-4</v>
      </c>
      <c r="BV85" s="2">
        <f t="shared" si="46"/>
        <v>-7.0632082805109912E-8</v>
      </c>
      <c r="BW85" s="2">
        <f t="shared" si="47"/>
        <v>4.8508574215746138E-7</v>
      </c>
      <c r="BX85" s="2">
        <f t="shared" si="48"/>
        <v>6.8262145060912771E-4</v>
      </c>
      <c r="BY85"/>
      <c r="BZ85" s="2">
        <v>13</v>
      </c>
      <c r="CA85" s="2">
        <f t="shared" si="55"/>
        <v>0.14404846588640113</v>
      </c>
      <c r="CB85" s="2">
        <v>-7.4124959001416885E-4</v>
      </c>
      <c r="CC85" s="2">
        <f t="shared" si="56"/>
        <v>0.14473108733701023</v>
      </c>
      <c r="CD85" s="2">
        <v>4.8956277146754851E-4</v>
      </c>
      <c r="CE85" s="2">
        <f t="shared" si="49"/>
        <v>0.14438977661170568</v>
      </c>
      <c r="CF85" s="2">
        <v>-1.2540928053866168E-4</v>
      </c>
      <c r="CG85" s="2">
        <f t="shared" si="50"/>
        <v>9.2959577783254854E-8</v>
      </c>
      <c r="CH85" s="2">
        <f t="shared" si="51"/>
        <v>-6.1395714948258504E-8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0.16043138070101975</v>
      </c>
      <c r="BQ86" s="2">
        <v>-1.5510694680385961E-4</v>
      </c>
      <c r="BR86" s="2">
        <f t="shared" si="54"/>
        <v>0.16077269142632433</v>
      </c>
      <c r="BS86" s="2">
        <v>4.5537665630429602E-4</v>
      </c>
      <c r="BT86" s="2">
        <f t="shared" si="45"/>
        <v>0.16060203606367204</v>
      </c>
      <c r="BU86" s="2">
        <v>1.5021245533507893E-4</v>
      </c>
      <c r="BV86" s="2">
        <f t="shared" si="46"/>
        <v>-2.3298995318935226E-8</v>
      </c>
      <c r="BW86" s="2">
        <f t="shared" si="47"/>
        <v>6.8403245645746654E-8</v>
      </c>
      <c r="BX86" s="2">
        <f t="shared" si="48"/>
        <v>3.4131072530457773E-4</v>
      </c>
      <c r="BY86"/>
      <c r="BZ86" s="2">
        <v>14</v>
      </c>
      <c r="CA86" s="2">
        <f t="shared" si="55"/>
        <v>0.14438977661170568</v>
      </c>
      <c r="CB86" s="2">
        <v>-1.2540928053866168E-4</v>
      </c>
      <c r="CC86" s="2">
        <f t="shared" si="56"/>
        <v>0.14473108733701023</v>
      </c>
      <c r="CD86" s="2">
        <v>4.8956277146754851E-4</v>
      </c>
      <c r="CE86" s="2">
        <f t="shared" si="49"/>
        <v>0.14456043197435797</v>
      </c>
      <c r="CF86" s="2">
        <v>1.8218495666322276E-4</v>
      </c>
      <c r="CG86" s="2">
        <f t="shared" si="50"/>
        <v>-2.2847684340102025E-8</v>
      </c>
      <c r="CH86" s="2">
        <f t="shared" si="51"/>
        <v>8.9190972303742559E-8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0.16043138070101975</v>
      </c>
      <c r="BQ87" s="2">
        <v>-1.5510694680385961E-4</v>
      </c>
      <c r="BR87" s="2">
        <f t="shared" si="54"/>
        <v>0.16060203606367204</v>
      </c>
      <c r="BS87" s="2">
        <v>1.5021245533507893E-4</v>
      </c>
      <c r="BT87" s="2">
        <f t="shared" si="45"/>
        <v>0.16051670838234589</v>
      </c>
      <c r="BU87" s="2">
        <v>-2.4278262706137199E-6</v>
      </c>
      <c r="BV87" s="2">
        <f t="shared" si="46"/>
        <v>3.7657272020509513E-10</v>
      </c>
      <c r="BW87" s="2">
        <f t="shared" si="47"/>
        <v>-3.6468974523589465E-10</v>
      </c>
      <c r="BX87" s="2">
        <f t="shared" si="48"/>
        <v>1.7065536265228887E-4</v>
      </c>
      <c r="BY87"/>
      <c r="BZ87" s="2">
        <v>15</v>
      </c>
      <c r="CA87" s="2">
        <f t="shared" si="55"/>
        <v>0.14438977661170568</v>
      </c>
      <c r="CB87" s="2">
        <v>-1.2540928053866168E-4</v>
      </c>
      <c r="CC87" s="2">
        <f t="shared" si="56"/>
        <v>0.14456043197435797</v>
      </c>
      <c r="CD87" s="2">
        <v>1.8218495666322276E-4</v>
      </c>
      <c r="CE87" s="2">
        <f t="shared" si="49"/>
        <v>0.14447510429303184</v>
      </c>
      <c r="CF87" s="2">
        <v>2.8414930872910915E-5</v>
      </c>
      <c r="CG87" s="2">
        <f t="shared" si="50"/>
        <v>-3.563496037327564E-9</v>
      </c>
      <c r="CH87" s="2">
        <f t="shared" si="51"/>
        <v>5.1767729496697459E-9</v>
      </c>
      <c r="CI87" s="2">
        <f t="shared" si="52"/>
        <v>1.7065536265228887E-4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0.16051670838234589</v>
      </c>
      <c r="BQ88" s="2">
        <v>-2.4278262706137199E-6</v>
      </c>
      <c r="BR88" s="2">
        <f t="shared" si="54"/>
        <v>0.16060203606367204</v>
      </c>
      <c r="BS88" s="2">
        <v>1.5021245533507893E-4</v>
      </c>
      <c r="BT88" s="2">
        <f t="shared" si="45"/>
        <v>0.16055937222300898</v>
      </c>
      <c r="BU88" s="2">
        <v>7.3897166980606277E-5</v>
      </c>
      <c r="BV88" s="2">
        <f t="shared" si="46"/>
        <v>-1.7940948331944466E-10</v>
      </c>
      <c r="BW88" s="2">
        <f t="shared" si="47"/>
        <v>1.1100274894463191E-8</v>
      </c>
      <c r="BX88" s="2">
        <f t="shared" si="48"/>
        <v>8.5327681326158311E-5</v>
      </c>
      <c r="BY88"/>
      <c r="BZ88" s="2">
        <v>16</v>
      </c>
      <c r="CA88" s="2">
        <f t="shared" si="55"/>
        <v>0.14438977661170568</v>
      </c>
      <c r="CB88" s="2">
        <v>-1.2540928053866168E-4</v>
      </c>
      <c r="CC88" s="2">
        <f t="shared" si="56"/>
        <v>0.14447510429303184</v>
      </c>
      <c r="CD88" s="2">
        <v>2.8414930872910915E-5</v>
      </c>
      <c r="CE88" s="2">
        <f t="shared" si="49"/>
        <v>0.14443244045236875</v>
      </c>
      <c r="CF88" s="2">
        <v>-4.8490396619131626E-5</v>
      </c>
      <c r="CG88" s="2">
        <f t="shared" si="50"/>
        <v>6.0811457530396498E-9</v>
      </c>
      <c r="CH88" s="2">
        <f t="shared" si="51"/>
        <v>-1.3778512679326583E-9</v>
      </c>
      <c r="CI88" s="2">
        <f t="shared" si="52"/>
        <v>8.5327681326158311E-5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0.16051670838234589</v>
      </c>
      <c r="BQ89" s="2">
        <v>-2.4278262706137199E-6</v>
      </c>
      <c r="BR89" s="2">
        <f t="shared" si="54"/>
        <v>0.16055937222300898</v>
      </c>
      <c r="BS89" s="2">
        <v>7.3897166980606277E-5</v>
      </c>
      <c r="BT89" s="2">
        <f t="shared" si="45"/>
        <v>0.16053804030267743</v>
      </c>
      <c r="BU89" s="2">
        <v>3.573588376912934E-5</v>
      </c>
      <c r="BV89" s="2">
        <f t="shared" si="46"/>
        <v>-8.6760517418290644E-11</v>
      </c>
      <c r="BW89" s="2">
        <f t="shared" si="47"/>
        <v>2.6407805700868886E-9</v>
      </c>
      <c r="BX89" s="2">
        <f t="shared" si="48"/>
        <v>4.2663840663093033E-5</v>
      </c>
      <c r="BY89"/>
      <c r="BZ89" s="2">
        <v>17</v>
      </c>
      <c r="CA89" s="2">
        <f t="shared" si="55"/>
        <v>0.14443244045236875</v>
      </c>
      <c r="CB89" s="2">
        <v>-4.8490396619131626E-5</v>
      </c>
      <c r="CC89" s="2">
        <f t="shared" si="56"/>
        <v>0.14447510429303184</v>
      </c>
      <c r="CD89" s="2">
        <v>2.8414930872910915E-5</v>
      </c>
      <c r="CE89" s="2">
        <f t="shared" si="49"/>
        <v>0.1444537723727003</v>
      </c>
      <c r="CF89" s="2">
        <v>-1.0036038946489856E-5</v>
      </c>
      <c r="CG89" s="2">
        <f t="shared" si="50"/>
        <v>4.8665150900034507E-10</v>
      </c>
      <c r="CH89" s="2">
        <f t="shared" si="51"/>
        <v>-2.8517335290235094E-10</v>
      </c>
      <c r="CI89" s="2">
        <f t="shared" si="52"/>
        <v>4.2663840663093033E-5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0.16051670838234589</v>
      </c>
      <c r="BQ90" s="2">
        <v>-2.4278262706137199E-6</v>
      </c>
      <c r="BR90" s="2">
        <f t="shared" si="54"/>
        <v>0.16053804030267743</v>
      </c>
      <c r="BS90" s="2">
        <v>3.573588376912934E-5</v>
      </c>
      <c r="BT90" s="2">
        <f t="shared" si="45"/>
        <v>0.16052737434251166</v>
      </c>
      <c r="BU90" s="2">
        <v>1.6654332140549066E-5</v>
      </c>
      <c r="BV90" s="2">
        <f t="shared" si="46"/>
        <v>-4.0433825090351453E-11</v>
      </c>
      <c r="BW90" s="2">
        <f t="shared" si="47"/>
        <v>5.9515727762713648E-10</v>
      </c>
      <c r="BX90" s="2">
        <f t="shared" si="48"/>
        <v>2.1331920331546517E-5</v>
      </c>
      <c r="BY90"/>
      <c r="BZ90" s="2">
        <v>18</v>
      </c>
      <c r="CA90" s="2">
        <f t="shared" si="55"/>
        <v>0.1444537723727003</v>
      </c>
      <c r="CB90" s="2">
        <v>-1.0036038946489856E-5</v>
      </c>
      <c r="CC90" s="2">
        <f t="shared" si="56"/>
        <v>0.14447510429303184</v>
      </c>
      <c r="CD90" s="2">
        <v>2.8414930872910915E-5</v>
      </c>
      <c r="CE90" s="2">
        <f t="shared" si="49"/>
        <v>0.14446443833286607</v>
      </c>
      <c r="CF90" s="2">
        <v>9.1898693665576348E-6</v>
      </c>
      <c r="CG90" s="2">
        <f t="shared" si="50"/>
        <v>-9.2229886875926482E-11</v>
      </c>
      <c r="CH90" s="2">
        <f t="shared" si="51"/>
        <v>2.6112950278181683E-10</v>
      </c>
      <c r="CI90" s="2">
        <f t="shared" si="52"/>
        <v>2.1331920331546517E-5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0.16051670838234589</v>
      </c>
      <c r="BQ91" s="2">
        <v>-2.4278262706137199E-6</v>
      </c>
      <c r="BR91" s="2">
        <f t="shared" si="54"/>
        <v>0.16052737434251166</v>
      </c>
      <c r="BS91" s="2">
        <v>1.6654332140549066E-5</v>
      </c>
      <c r="BT91" s="2">
        <f t="shared" si="45"/>
        <v>0.16052204136242876</v>
      </c>
      <c r="BU91" s="2">
        <v>7.1133287874794449E-6</v>
      </c>
      <c r="BV91" s="2">
        <f t="shared" si="46"/>
        <v>-1.7269926501755434E-11</v>
      </c>
      <c r="BW91" s="2">
        <f t="shared" si="47"/>
        <v>1.1846774025161184E-10</v>
      </c>
      <c r="BX91" s="2">
        <f t="shared" si="48"/>
        <v>1.0665960165773258E-5</v>
      </c>
      <c r="BY91"/>
      <c r="BZ91" s="2">
        <v>19</v>
      </c>
      <c r="CA91" s="2">
        <f t="shared" si="55"/>
        <v>0.1444537723727003</v>
      </c>
      <c r="CB91" s="2">
        <v>-1.0036038946489856E-5</v>
      </c>
      <c r="CC91" s="2">
        <f t="shared" si="56"/>
        <v>0.14446443833286607</v>
      </c>
      <c r="CD91" s="2">
        <v>9.1898693665576348E-6</v>
      </c>
      <c r="CE91" s="2">
        <f t="shared" si="49"/>
        <v>0.14445910535278317</v>
      </c>
      <c r="CF91" s="2">
        <v>-4.2297892938886195E-7</v>
      </c>
      <c r="CG91" s="2">
        <f t="shared" si="50"/>
        <v>4.2450330088912015E-12</v>
      </c>
      <c r="CH91" s="2">
        <f t="shared" si="51"/>
        <v>-3.8871211058900473E-12</v>
      </c>
      <c r="CI91" s="2">
        <f t="shared" si="52"/>
        <v>1.0665960165773258E-5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0.16051670838234589</v>
      </c>
      <c r="BQ92" s="2">
        <v>-2.4278262706137199E-6</v>
      </c>
      <c r="BR92" s="2">
        <f t="shared" si="54"/>
        <v>0.16052204136242876</v>
      </c>
      <c r="BS92" s="2">
        <v>7.1133287874794449E-6</v>
      </c>
      <c r="BT92" s="2">
        <f t="shared" si="45"/>
        <v>0.16051937487238732</v>
      </c>
      <c r="BU92" s="2">
        <v>2.3427702221939795E-6</v>
      </c>
      <c r="BV92" s="2">
        <f t="shared" si="46"/>
        <v>-5.6878390914540853E-12</v>
      </c>
      <c r="BW92" s="2">
        <f t="shared" si="47"/>
        <v>1.6664894863982051E-11</v>
      </c>
      <c r="BX92" s="2">
        <f t="shared" si="48"/>
        <v>5.3329800828727514E-6</v>
      </c>
      <c r="BY92"/>
      <c r="BZ92" s="2">
        <v>20</v>
      </c>
      <c r="CA92" s="2">
        <f t="shared" si="55"/>
        <v>0.14445910535278317</v>
      </c>
      <c r="CB92" s="2">
        <v>-4.2297892938886195E-7</v>
      </c>
      <c r="CC92" s="2">
        <f t="shared" si="56"/>
        <v>0.14446443833286607</v>
      </c>
      <c r="CD92" s="2">
        <v>9.1898693665576348E-6</v>
      </c>
      <c r="CE92" s="2">
        <f t="shared" si="49"/>
        <v>0.1444617718428246</v>
      </c>
      <c r="CF92" s="2">
        <v>4.3834716824814324E-6</v>
      </c>
      <c r="CG92" s="2">
        <f t="shared" si="50"/>
        <v>-1.8541161592623896E-12</v>
      </c>
      <c r="CH92" s="2">
        <f t="shared" si="51"/>
        <v>4.0283532134008971E-11</v>
      </c>
      <c r="CI92" s="2">
        <f t="shared" si="52"/>
        <v>5.332980082900507E-6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0.16051670838234589</v>
      </c>
      <c r="BQ93" s="2">
        <v>-2.4278262706137199E-6</v>
      </c>
      <c r="BR93" s="2">
        <f t="shared" si="54"/>
        <v>0.16051937487238732</v>
      </c>
      <c r="BS93" s="2">
        <v>2.3427702221939795E-6</v>
      </c>
      <c r="BT93" s="2">
        <f t="shared" si="45"/>
        <v>0.1605180416273666</v>
      </c>
      <c r="BU93" s="2">
        <v>-4.2523283193263151E-8</v>
      </c>
      <c r="BV93" s="2">
        <f t="shared" si="46"/>
        <v>1.0323914404935115E-13</v>
      </c>
      <c r="BW93" s="2">
        <f t="shared" si="47"/>
        <v>-9.9622281615098623E-14</v>
      </c>
      <c r="BX93" s="2">
        <f t="shared" si="48"/>
        <v>2.6664900414363757E-6</v>
      </c>
      <c r="BY93"/>
      <c r="BZ93" s="2">
        <v>21</v>
      </c>
      <c r="CA93" s="2">
        <f t="shared" si="55"/>
        <v>0.14445910535278317</v>
      </c>
      <c r="CB93" s="2">
        <v>-4.2297892938886195E-7</v>
      </c>
      <c r="CC93" s="2">
        <f t="shared" si="56"/>
        <v>0.1444617718428246</v>
      </c>
      <c r="CD93" s="2">
        <v>4.3834716824814324E-6</v>
      </c>
      <c r="CE93" s="2">
        <f t="shared" si="49"/>
        <v>0.14446043859780389</v>
      </c>
      <c r="CF93" s="2">
        <v>1.9802529927295809E-6</v>
      </c>
      <c r="CG93" s="2">
        <f t="shared" si="50"/>
        <v>-8.3760529078384797E-13</v>
      </c>
      <c r="CH93" s="2">
        <f t="shared" si="51"/>
        <v>8.6803829177792269E-12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0.1605180416273666</v>
      </c>
      <c r="BQ94" s="2">
        <v>-4.2523283193263151E-8</v>
      </c>
      <c r="BR94" s="2">
        <f t="shared" si="54"/>
        <v>0.16051937487238732</v>
      </c>
      <c r="BS94" s="2">
        <v>2.3427702221939795E-6</v>
      </c>
      <c r="BT94" s="2">
        <f t="shared" si="45"/>
        <v>0.16051870824987696</v>
      </c>
      <c r="BU94" s="2">
        <v>1.150124654694662E-6</v>
      </c>
      <c r="BV94" s="2">
        <f t="shared" si="46"/>
        <v>-4.8907076399135105E-14</v>
      </c>
      <c r="BW94" s="2">
        <f t="shared" si="47"/>
        <v>2.6944777928297872E-12</v>
      </c>
      <c r="BX94" s="2">
        <f t="shared" si="48"/>
        <v>1.3332450207181878E-6</v>
      </c>
      <c r="BY94"/>
      <c r="BZ94" s="2">
        <v>22</v>
      </c>
      <c r="CA94" s="2">
        <f t="shared" si="55"/>
        <v>0.14445910535278317</v>
      </c>
      <c r="CB94" s="2">
        <v>-4.2297892938886195E-7</v>
      </c>
      <c r="CC94" s="2">
        <f t="shared" si="56"/>
        <v>0.14446043859780389</v>
      </c>
      <c r="CD94" s="2">
        <v>1.9802529927295809E-6</v>
      </c>
      <c r="CE94" s="2">
        <f t="shared" si="49"/>
        <v>0.14445977197529353</v>
      </c>
      <c r="CF94" s="2">
        <v>7.7863868572225492E-7</v>
      </c>
      <c r="CG94" s="2">
        <f t="shared" si="50"/>
        <v>-3.2934775766754995E-13</v>
      </c>
      <c r="CH94" s="2">
        <f t="shared" si="51"/>
        <v>1.541901587656523E-12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0.1605180416273666</v>
      </c>
      <c r="BQ95" s="2">
        <v>-4.2523283193263151E-8</v>
      </c>
      <c r="BR95" s="2">
        <f t="shared" si="54"/>
        <v>0.16051870824987696</v>
      </c>
      <c r="BS95" s="2">
        <v>1.150124654694662E-6</v>
      </c>
      <c r="BT95" s="2">
        <f t="shared" si="45"/>
        <v>0.16051837493862178</v>
      </c>
      <c r="BU95" s="2">
        <v>5.5380098209351081E-7</v>
      </c>
      <c r="BV95" s="2">
        <f t="shared" si="46"/>
        <v>-2.3549435994269615E-14</v>
      </c>
      <c r="BW95" s="2">
        <f t="shared" si="47"/>
        <v>6.3694016329986376E-13</v>
      </c>
      <c r="BX95" s="2">
        <f t="shared" si="48"/>
        <v>6.6662251035909392E-7</v>
      </c>
      <c r="BY95"/>
      <c r="BZ95" s="2">
        <v>23</v>
      </c>
      <c r="CA95" s="2">
        <f t="shared" si="55"/>
        <v>0.14445910535278317</v>
      </c>
      <c r="CB95" s="2">
        <v>-4.2297892938886195E-7</v>
      </c>
      <c r="CC95" s="2">
        <f t="shared" si="56"/>
        <v>0.14445977197529353</v>
      </c>
      <c r="CD95" s="2">
        <v>7.7863868572225492E-7</v>
      </c>
      <c r="CE95" s="2">
        <f t="shared" si="49"/>
        <v>0.14445943866403835</v>
      </c>
      <c r="CF95" s="2">
        <v>1.7783029165885367E-7</v>
      </c>
      <c r="CG95" s="2">
        <f t="shared" si="50"/>
        <v>-7.5218466378770988E-14</v>
      </c>
      <c r="CH95" s="2">
        <f t="shared" si="51"/>
        <v>1.3846554457885508E-13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0.1605180416273666</v>
      </c>
      <c r="BQ96" s="2">
        <v>-4.2523283193263151E-8</v>
      </c>
      <c r="BR96" s="2">
        <f t="shared" si="54"/>
        <v>0.16051837493862178</v>
      </c>
      <c r="BS96" s="2">
        <v>5.5380098209351081E-7</v>
      </c>
      <c r="BT96" s="2">
        <f t="shared" si="45"/>
        <v>0.16051820828299418</v>
      </c>
      <c r="BU96" s="2">
        <v>2.5563892348118289E-7</v>
      </c>
      <c r="BV96" s="2">
        <f t="shared" si="46"/>
        <v>-1.0870606338411269E-14</v>
      </c>
      <c r="BW96" s="2">
        <f t="shared" si="47"/>
        <v>1.4157308688520693E-13</v>
      </c>
      <c r="BX96" s="2">
        <f t="shared" si="48"/>
        <v>3.3331125517954696E-7</v>
      </c>
      <c r="BY96"/>
      <c r="BZ96" s="2">
        <v>24</v>
      </c>
      <c r="CA96" s="2">
        <f t="shared" si="55"/>
        <v>0.14445910535278317</v>
      </c>
      <c r="CB96" s="2">
        <v>-4.2297892938886195E-7</v>
      </c>
      <c r="CC96" s="2">
        <f t="shared" si="56"/>
        <v>0.14445943866403835</v>
      </c>
      <c r="CD96" s="2">
        <v>1.7783029165885367E-7</v>
      </c>
      <c r="CE96" s="2">
        <f t="shared" si="49"/>
        <v>0.14445927200841074</v>
      </c>
      <c r="CF96" s="2">
        <v>-1.2257421550670999E-7</v>
      </c>
      <c r="CG96" s="2">
        <f t="shared" si="50"/>
        <v>5.1846310445707834E-14</v>
      </c>
      <c r="CH96" s="2">
        <f t="shared" si="51"/>
        <v>-2.1797408493413424E-14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0.1605180416273666</v>
      </c>
      <c r="BQ97" s="2">
        <v>-4.2523283193263151E-8</v>
      </c>
      <c r="BR97" s="2">
        <f t="shared" si="54"/>
        <v>0.16051820828299418</v>
      </c>
      <c r="BS97" s="2">
        <v>2.5563892348118289E-7</v>
      </c>
      <c r="BT97" s="2">
        <f t="shared" si="45"/>
        <v>0.16051812495518039</v>
      </c>
      <c r="BU97" s="2">
        <v>1.065578386638677E-7</v>
      </c>
      <c r="BV97" s="2">
        <f t="shared" si="46"/>
        <v>-4.531189149965692E-15</v>
      </c>
      <c r="BW97" s="2">
        <f t="shared" si="47"/>
        <v>2.7240331164512707E-14</v>
      </c>
      <c r="BX97" s="2">
        <f t="shared" si="48"/>
        <v>1.6665562757589569E-7</v>
      </c>
      <c r="BY97"/>
      <c r="BZ97" s="2">
        <v>25</v>
      </c>
      <c r="CA97" s="2">
        <f t="shared" si="55"/>
        <v>0.14445927200841074</v>
      </c>
      <c r="CB97" s="2">
        <v>-1.2257421550670999E-7</v>
      </c>
      <c r="CC97" s="2">
        <f t="shared" si="56"/>
        <v>0.14445943866403835</v>
      </c>
      <c r="CD97" s="2">
        <v>1.7783029165885367E-7</v>
      </c>
      <c r="CE97" s="2">
        <f t="shared" si="49"/>
        <v>0.14445935533622456</v>
      </c>
      <c r="CF97" s="2">
        <v>2.7628063982432227E-8</v>
      </c>
      <c r="CG97" s="2">
        <f t="shared" si="50"/>
        <v>-3.3864882686158203E-15</v>
      </c>
      <c r="CH97" s="2">
        <f t="shared" si="51"/>
        <v>4.9131066759653935E-15</v>
      </c>
      <c r="CI97" s="2">
        <f t="shared" si="52"/>
        <v>1.6665562760365127E-7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0.1605180416273666</v>
      </c>
      <c r="BQ98" s="2">
        <v>-4.2523283193263151E-8</v>
      </c>
      <c r="BR98" s="2">
        <f t="shared" si="54"/>
        <v>0.16051812495518039</v>
      </c>
      <c r="BS98" s="2">
        <v>1.065578386638677E-7</v>
      </c>
      <c r="BT98" s="2">
        <f t="shared" si="45"/>
        <v>0.16051808329127348</v>
      </c>
      <c r="BU98" s="2">
        <v>3.2017282346197273E-8</v>
      </c>
      <c r="BV98" s="2">
        <f t="shared" si="46"/>
        <v>-1.3614799642860115E-15</v>
      </c>
      <c r="BW98" s="2">
        <f t="shared" si="47"/>
        <v>3.4116924067015883E-15</v>
      </c>
      <c r="BX98" s="2">
        <f t="shared" si="48"/>
        <v>8.3327813787947846E-8</v>
      </c>
      <c r="BY98"/>
      <c r="BZ98" s="2">
        <v>26</v>
      </c>
      <c r="CA98" s="2">
        <f t="shared" si="55"/>
        <v>0.14445927200841074</v>
      </c>
      <c r="CB98" s="2">
        <v>-1.2257421550670999E-7</v>
      </c>
      <c r="CC98" s="2">
        <f t="shared" si="56"/>
        <v>0.14445935533622456</v>
      </c>
      <c r="CD98" s="2">
        <v>2.7628063982432227E-8</v>
      </c>
      <c r="CE98" s="2">
        <f t="shared" si="49"/>
        <v>0.14445931367231765</v>
      </c>
      <c r="CF98" s="2">
        <v>-4.7473069329784234E-8</v>
      </c>
      <c r="CG98" s="2">
        <f t="shared" si="50"/>
        <v>5.8189742307939569E-15</v>
      </c>
      <c r="CH98" s="2">
        <f t="shared" si="51"/>
        <v>-1.3115889968857198E-15</v>
      </c>
      <c r="CI98" s="2">
        <f t="shared" si="52"/>
        <v>8.3327813815703422E-8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0.1605180416273666</v>
      </c>
      <c r="BQ99" s="2">
        <v>-4.2523283193263151E-8</v>
      </c>
      <c r="BR99" s="2">
        <f t="shared" si="54"/>
        <v>0.16051808329127348</v>
      </c>
      <c r="BS99" s="2">
        <v>3.2017282346197273E-8</v>
      </c>
      <c r="BT99" s="2">
        <f t="shared" si="45"/>
        <v>0.16051806245932004</v>
      </c>
      <c r="BU99" s="2">
        <v>-5.2529992577987628E-9</v>
      </c>
      <c r="BV99" s="2">
        <f t="shared" si="46"/>
        <v>2.2337477505337793E-16</v>
      </c>
      <c r="BW99" s="2">
        <f t="shared" si="47"/>
        <v>-1.6818676040130771E-16</v>
      </c>
      <c r="BX99" s="2">
        <f t="shared" si="48"/>
        <v>4.1663906880096135E-8</v>
      </c>
      <c r="BY99"/>
      <c r="BZ99" s="2">
        <v>27</v>
      </c>
      <c r="CA99" s="2">
        <f t="shared" si="55"/>
        <v>0.14445931367231765</v>
      </c>
      <c r="CB99" s="2">
        <v>-4.7473069329784234E-8</v>
      </c>
      <c r="CC99" s="2">
        <f t="shared" si="56"/>
        <v>0.14445935533622456</v>
      </c>
      <c r="CD99" s="2">
        <v>2.7628063982432227E-8</v>
      </c>
      <c r="CE99" s="2">
        <f t="shared" si="49"/>
        <v>0.14445933450427112</v>
      </c>
      <c r="CF99" s="2">
        <v>-9.9225010014025727E-9</v>
      </c>
      <c r="CG99" s="2">
        <f t="shared" si="50"/>
        <v>4.7105157796443786E-16</v>
      </c>
      <c r="CH99" s="2">
        <f t="shared" si="51"/>
        <v>-2.7413949253249811E-16</v>
      </c>
      <c r="CI99" s="2">
        <f t="shared" si="52"/>
        <v>4.1663906907851711E-8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0.16051806245932004</v>
      </c>
      <c r="BQ100" s="2">
        <v>-5.2529992577987628E-9</v>
      </c>
      <c r="BR100" s="2">
        <f t="shared" si="54"/>
        <v>0.16051808329127348</v>
      </c>
      <c r="BS100" s="2">
        <v>3.2017282346197273E-8</v>
      </c>
      <c r="BT100" s="2">
        <f t="shared" si="45"/>
        <v>0.16051807287529676</v>
      </c>
      <c r="BU100" s="2">
        <v>1.3382141839102246E-8</v>
      </c>
      <c r="BV100" s="2">
        <f t="shared" si="46"/>
        <v>-7.0296381148561869E-17</v>
      </c>
      <c r="BW100" s="2">
        <f t="shared" si="47"/>
        <v>4.2845981365939627E-16</v>
      </c>
      <c r="BX100" s="2">
        <f t="shared" si="48"/>
        <v>2.0831953440048068E-8</v>
      </c>
      <c r="BY100"/>
      <c r="BZ100" s="2">
        <v>28</v>
      </c>
      <c r="CA100" s="2">
        <f t="shared" si="55"/>
        <v>0.14445933450427112</v>
      </c>
      <c r="CB100" s="2">
        <v>-9.9225010014025727E-9</v>
      </c>
      <c r="CC100" s="2">
        <f t="shared" si="56"/>
        <v>0.14445935533622456</v>
      </c>
      <c r="CD100" s="2">
        <v>2.7628063982432227E-8</v>
      </c>
      <c r="CE100" s="2">
        <f t="shared" si="49"/>
        <v>0.14445934492024784</v>
      </c>
      <c r="CF100" s="2">
        <v>8.8527818617456511E-9</v>
      </c>
      <c r="CG100" s="2">
        <f t="shared" si="50"/>
        <v>-8.7841736888369759E-17</v>
      </c>
      <c r="CH100" s="2">
        <f t="shared" si="51"/>
        <v>2.4458522369882434E-16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0.16051806245932004</v>
      </c>
      <c r="BQ101" s="2">
        <v>-5.2529992577987628E-9</v>
      </c>
      <c r="BR101" s="2">
        <f t="shared" si="54"/>
        <v>0.16051807287529676</v>
      </c>
      <c r="BS101" s="2">
        <v>1.3382141839102246E-8</v>
      </c>
      <c r="BT101" s="2">
        <f t="shared" si="45"/>
        <v>0.16051806766730842</v>
      </c>
      <c r="BU101" s="2">
        <v>4.0645713531017869E-9</v>
      </c>
      <c r="BV101" s="2">
        <f t="shared" si="46"/>
        <v>-2.13511903011138E-17</v>
      </c>
      <c r="BW101" s="2">
        <f t="shared" si="47"/>
        <v>5.439267036235985E-17</v>
      </c>
      <c r="BX101" s="2">
        <f t="shared" si="48"/>
        <v>1.0415976720024034E-8</v>
      </c>
      <c r="BY101"/>
      <c r="BZ101" s="2">
        <v>29</v>
      </c>
      <c r="CA101" s="2">
        <f t="shared" si="55"/>
        <v>0.14445933450427112</v>
      </c>
      <c r="CB101" s="2">
        <v>-9.9225010014025727E-9</v>
      </c>
      <c r="CC101" s="2">
        <f t="shared" si="56"/>
        <v>0.14445934492024784</v>
      </c>
      <c r="CD101" s="2">
        <v>8.8527818617456511E-9</v>
      </c>
      <c r="CE101" s="2">
        <f t="shared" si="49"/>
        <v>0.14445933971225949</v>
      </c>
      <c r="CF101" s="2">
        <v>-5.348594206422419E-10</v>
      </c>
      <c r="CG101" s="2">
        <f t="shared" si="50"/>
        <v>5.3071431369322453E-18</v>
      </c>
      <c r="CH101" s="2">
        <f t="shared" si="51"/>
        <v>-4.7349937776454265E-18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0.16051806245932004</v>
      </c>
      <c r="BQ102" s="2">
        <v>-5.2529992577987628E-9</v>
      </c>
      <c r="BR102" s="2">
        <f t="shared" si="54"/>
        <v>0.16051806766730842</v>
      </c>
      <c r="BS102" s="2">
        <v>4.0645713531017869E-9</v>
      </c>
      <c r="BT102" s="5">
        <f t="shared" si="45"/>
        <v>0.16051806506331423</v>
      </c>
      <c r="BU102" s="2">
        <v>-5.942139558179349E-10</v>
      </c>
      <c r="BV102" s="2">
        <f t="shared" si="46"/>
        <v>3.1214054688852788E-18</v>
      </c>
      <c r="BW102" s="2">
        <f t="shared" si="47"/>
        <v>-2.4152250224308691E-18</v>
      </c>
      <c r="BX102" s="2">
        <f t="shared" si="48"/>
        <v>5.2079883738898047E-9</v>
      </c>
      <c r="BY102"/>
      <c r="BZ102" s="2">
        <v>30</v>
      </c>
      <c r="CA102" s="2">
        <f t="shared" si="55"/>
        <v>0.14445933971225949</v>
      </c>
      <c r="CB102" s="2">
        <v>-5.348594206422419E-10</v>
      </c>
      <c r="CC102" s="2">
        <f t="shared" si="56"/>
        <v>0.14445934492024784</v>
      </c>
      <c r="CD102" s="2">
        <v>8.8527818617456511E-9</v>
      </c>
      <c r="CE102" s="5">
        <f t="shared" si="49"/>
        <v>0.14445934231625368</v>
      </c>
      <c r="CF102" s="2">
        <v>4.158961265654515E-9</v>
      </c>
      <c r="CG102" s="2">
        <f t="shared" si="50"/>
        <v>-2.2244596130214991E-18</v>
      </c>
      <c r="CH102" s="2">
        <f t="shared" si="51"/>
        <v>3.6818376856289029E-17</v>
      </c>
      <c r="CI102" s="2">
        <f t="shared" si="52"/>
        <v>5.2079883461342291E-9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1.4573390445804524E-9</v>
      </c>
      <c r="BR106" s="30"/>
      <c r="BS106" s="30">
        <f>$BH$77</f>
        <v>1.4573390445804524E-9</v>
      </c>
      <c r="BT106" s="30"/>
      <c r="BU106" s="30">
        <f>$BH$77</f>
        <v>1.4573390445804524E-9</v>
      </c>
      <c r="BV106" s="30"/>
      <c r="BW106" s="30"/>
      <c r="BX106" s="30"/>
      <c r="BY106"/>
      <c r="BZ106" s="30">
        <v>0</v>
      </c>
      <c r="CA106" s="30"/>
      <c r="CB106" s="30">
        <f>$BL$77</f>
        <v>8.6423869449792079E-10</v>
      </c>
      <c r="CC106" s="30"/>
      <c r="CD106" s="30">
        <f>$BL$77</f>
        <v>8.6423869449792079E-10</v>
      </c>
      <c r="CE106" s="30"/>
      <c r="CF106" s="30">
        <f>$BL$77</f>
        <v>8.6423869449792079E-10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/>
        <v>-0.37243580075700961</v>
      </c>
      <c r="BR107" s="3">
        <f>0.9*PI()</f>
        <v>2.8274333882308138</v>
      </c>
      <c r="BS107" s="2">
        <f t="dataTable" ref="BS107:BS136" dt2D="0" dtr="0" r1="BH61" ca="1"/>
        <v>0.36614115011514065</v>
      </c>
      <c r="BT107" s="2">
        <f t="shared" ref="BT107:BT136" si="57">(BP107+BR107)/2</f>
        <v>1.4294246573833558</v>
      </c>
      <c r="BU107" s="2">
        <f t="dataTable" ref="BU107:BU136" dt2D="0" dtr="0" r1="BH61" ca="1"/>
        <v>1.0109046148669258</v>
      </c>
      <c r="BV107" s="2">
        <f t="shared" ref="BV107:BV136" si="58">BQ107*BU107</f>
        <v>-0.37649706972691993</v>
      </c>
      <c r="BW107" s="2">
        <f t="shared" ref="BW107:BW136" si="59">BS107*BU107</f>
        <v>0.37013377834407951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/>
        <v>-3.1899178801243284</v>
      </c>
      <c r="CC107" s="3">
        <f>0.9*PI()</f>
        <v>2.8274333882308138</v>
      </c>
      <c r="CD107" s="2">
        <f t="dataTable" ref="CD107:CD136" dt2D="0" dtr="0" r1="BL61" ca="1"/>
        <v>0.37385631959717869</v>
      </c>
      <c r="CE107" s="2">
        <f t="shared" ref="CE107:CE136" si="61">(CA107+CC107)/2</f>
        <v>1.4152874904422017</v>
      </c>
      <c r="CF107" s="2">
        <f t="dataTable" ref="CF107:CF136" dt2D="0" dtr="0" r1="BL61" ca="1"/>
        <v>1.0222406911815489</v>
      </c>
      <c r="CG107" s="2">
        <f t="shared" ref="CG107:CG136" si="62">CB107*CF107</f>
        <v>-3.2608638585906746</v>
      </c>
      <c r="CH107" s="2">
        <f t="shared" ref="CH107:CH136" si="63">CD107*CF107</f>
        <v>0.38217114254760998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-0.37243580075700961</v>
      </c>
      <c r="BR108" s="2">
        <f t="shared" ref="BR108:BR136" si="66">IF(BW107&gt;0,BT107,BR107)</f>
        <v>1.4294246573833558</v>
      </c>
      <c r="BS108" s="2">
        <v>1.0109046148669258</v>
      </c>
      <c r="BT108" s="2">
        <f t="shared" si="57"/>
        <v>0.73042029195962688</v>
      </c>
      <c r="BU108" s="2">
        <v>0.66482870952938722</v>
      </c>
      <c r="BV108" s="2">
        <f t="shared" si="58"/>
        <v>-0.24760601279982666</v>
      </c>
      <c r="BW108" s="2">
        <f t="shared" si="59"/>
        <v>0.67207841055928053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-3.1899178801243284</v>
      </c>
      <c r="CC108" s="2">
        <f t="shared" ref="CC108:CC136" si="68">IF(CH107&gt;0,CE107,CC107)</f>
        <v>1.4152874904422017</v>
      </c>
      <c r="CD108" s="2">
        <v>1.0222406911815489</v>
      </c>
      <c r="CE108" s="2">
        <f t="shared" si="61"/>
        <v>0.70921454154789576</v>
      </c>
      <c r="CF108" s="2">
        <v>0.66163245398531245</v>
      </c>
      <c r="CG108" s="2">
        <f t="shared" si="62"/>
        <v>-2.110553195038285</v>
      </c>
      <c r="CH108" s="2">
        <f t="shared" si="63"/>
        <v>0.67634761707009017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-0.37243580075700961</v>
      </c>
      <c r="BR109" s="2">
        <f t="shared" si="66"/>
        <v>0.73042029195962688</v>
      </c>
      <c r="BS109" s="2">
        <v>0.66482870952938722</v>
      </c>
      <c r="BT109" s="2">
        <f t="shared" si="57"/>
        <v>0.38091810924776243</v>
      </c>
      <c r="BU109" s="2">
        <v>0.33891024152679083</v>
      </c>
      <c r="BV109" s="2">
        <f t="shared" si="58"/>
        <v>-0.12622230718778188</v>
      </c>
      <c r="BW109" s="2">
        <f t="shared" si="59"/>
        <v>0.22531725852054929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-3.1899178801243284</v>
      </c>
      <c r="CC109" s="2">
        <f t="shared" si="68"/>
        <v>0.70921454154789576</v>
      </c>
      <c r="CD109" s="2">
        <v>0.66163245398531245</v>
      </c>
      <c r="CE109" s="2">
        <f t="shared" si="61"/>
        <v>0.35617806710074279</v>
      </c>
      <c r="CF109" s="2">
        <v>0.31613691126691745</v>
      </c>
      <c r="CG109" s="2">
        <f t="shared" si="62"/>
        <v>-1.0084507858176182</v>
      </c>
      <c r="CH109" s="2">
        <f t="shared" si="63"/>
        <v>0.20916644039686758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-0.37243580075700961</v>
      </c>
      <c r="BR110" s="2">
        <f t="shared" si="66"/>
        <v>0.38091810924776243</v>
      </c>
      <c r="BS110" s="2">
        <v>0.33891024152679083</v>
      </c>
      <c r="BT110" s="2">
        <f t="shared" si="57"/>
        <v>0.20616701789183017</v>
      </c>
      <c r="BU110" s="2">
        <v>0.11384841258470409</v>
      </c>
      <c r="BV110" s="2">
        <f t="shared" si="58"/>
        <v>-4.2401224705898674E-2</v>
      </c>
      <c r="BW110" s="2">
        <f t="shared" si="59"/>
        <v>3.8584393006523797E-2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-3.1899178801243284</v>
      </c>
      <c r="CC110" s="2">
        <f t="shared" si="68"/>
        <v>0.35617806710074279</v>
      </c>
      <c r="CD110" s="2">
        <v>0.31613691126691745</v>
      </c>
      <c r="CE110" s="2">
        <f t="shared" si="61"/>
        <v>0.1796598298771663</v>
      </c>
      <c r="CF110" s="2">
        <v>6.3432254784564726E-2</v>
      </c>
      <c r="CG110" s="2">
        <f t="shared" si="62"/>
        <v>-0.202343683713885</v>
      </c>
      <c r="CH110" s="2">
        <f t="shared" si="63"/>
        <v>2.0053277102288439E-2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-0.37243580075700961</v>
      </c>
      <c r="BR111" s="2">
        <f t="shared" si="66"/>
        <v>0.20616701789183017</v>
      </c>
      <c r="BS111" s="2">
        <v>0.11384841258470409</v>
      </c>
      <c r="BT111" s="2">
        <f t="shared" si="57"/>
        <v>0.11879147221386405</v>
      </c>
      <c r="BU111" s="2">
        <v>-2.8268137525326763E-2</v>
      </c>
      <c r="BV111" s="2">
        <f t="shared" si="58"/>
        <v>1.0528066435154346E-2</v>
      </c>
      <c r="BW111" s="2">
        <f t="shared" si="59"/>
        <v>-3.2182825839845572E-3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-3.1899178801243284</v>
      </c>
      <c r="CC111" s="2">
        <f t="shared" si="68"/>
        <v>0.1796598298771663</v>
      </c>
      <c r="CD111" s="2">
        <v>6.3432254784564726E-2</v>
      </c>
      <c r="CE111" s="2">
        <f t="shared" si="61"/>
        <v>9.1400711265378048E-2</v>
      </c>
      <c r="CF111" s="2">
        <v>-9.9595757100153379E-2</v>
      </c>
      <c r="CG111" s="2">
        <f t="shared" si="62"/>
        <v>0.31770228635829878</v>
      </c>
      <c r="CH111" s="2">
        <f t="shared" si="63"/>
        <v>-6.3175834398385509E-3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0.11879147221386405</v>
      </c>
      <c r="BQ112" s="2">
        <v>-2.8268137525326763E-2</v>
      </c>
      <c r="BR112" s="2">
        <f t="shared" si="66"/>
        <v>0.20616701789183017</v>
      </c>
      <c r="BS112" s="2">
        <v>0.11384841258470409</v>
      </c>
      <c r="BT112" s="2">
        <f t="shared" si="57"/>
        <v>0.16247924505284711</v>
      </c>
      <c r="BU112" s="2">
        <v>4.7630676043020473E-2</v>
      </c>
      <c r="BV112" s="2">
        <f t="shared" si="58"/>
        <v>-1.3464305008083896E-3</v>
      </c>
      <c r="BW112" s="2">
        <f t="shared" si="59"/>
        <v>5.4226768578341756E-3</v>
      </c>
      <c r="BX112" s="2">
        <f t="shared" si="60"/>
        <v>8.7375545677966127E-2</v>
      </c>
      <c r="BY112"/>
      <c r="BZ112" s="2">
        <v>6</v>
      </c>
      <c r="CA112" s="2">
        <f t="shared" si="67"/>
        <v>9.1400711265378048E-2</v>
      </c>
      <c r="CB112" s="2">
        <v>-9.9595757100153379E-2</v>
      </c>
      <c r="CC112" s="2">
        <f t="shared" si="68"/>
        <v>0.1796598298771663</v>
      </c>
      <c r="CD112" s="2">
        <v>6.3432254784564726E-2</v>
      </c>
      <c r="CE112" s="2">
        <f t="shared" si="61"/>
        <v>0.13553027057127218</v>
      </c>
      <c r="CF112" s="2">
        <v>-1.1677510029881974E-2</v>
      </c>
      <c r="CG112" s="2">
        <f t="shared" si="62"/>
        <v>1.1630304524707299E-3</v>
      </c>
      <c r="CH112" s="2">
        <f t="shared" si="63"/>
        <v>-7.4073079146478346E-4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0.11879147221386405</v>
      </c>
      <c r="BQ113" s="2">
        <v>-2.8268137525326763E-2</v>
      </c>
      <c r="BR113" s="2">
        <f t="shared" si="66"/>
        <v>0.16247924505284711</v>
      </c>
      <c r="BS113" s="2">
        <v>4.7630676043020473E-2</v>
      </c>
      <c r="BT113" s="2">
        <f t="shared" si="57"/>
        <v>0.14063535863335558</v>
      </c>
      <c r="BU113" s="2">
        <v>1.1413191576503699E-2</v>
      </c>
      <c r="BV113" s="2">
        <f t="shared" si="58"/>
        <v>-3.2262966908750752E-4</v>
      </c>
      <c r="BW113" s="2">
        <f t="shared" si="59"/>
        <v>5.4361803059737777E-4</v>
      </c>
      <c r="BX113" s="2">
        <f t="shared" si="60"/>
        <v>4.3687772838983063E-2</v>
      </c>
      <c r="BY113"/>
      <c r="BZ113" s="2">
        <v>7</v>
      </c>
      <c r="CA113" s="2">
        <f t="shared" si="67"/>
        <v>0.13553027057127218</v>
      </c>
      <c r="CB113" s="2">
        <v>-1.1677510029881974E-2</v>
      </c>
      <c r="CC113" s="2">
        <f t="shared" si="68"/>
        <v>0.1796598298771663</v>
      </c>
      <c r="CD113" s="2">
        <v>6.3432254784564726E-2</v>
      </c>
      <c r="CE113" s="2">
        <f t="shared" si="61"/>
        <v>0.15759505022421924</v>
      </c>
      <c r="CF113" s="2">
        <v>2.6868572485977838E-2</v>
      </c>
      <c r="CG113" s="2">
        <f t="shared" si="62"/>
        <v>-3.1375802469361702E-4</v>
      </c>
      <c r="CH113" s="2">
        <f t="shared" si="63"/>
        <v>1.7043341356280919E-3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0.11879147221386405</v>
      </c>
      <c r="BQ114" s="2">
        <v>-2.8268137525326763E-2</v>
      </c>
      <c r="BR114" s="2">
        <f t="shared" si="66"/>
        <v>0.14063535863335558</v>
      </c>
      <c r="BS114" s="2">
        <v>1.1413191576503699E-2</v>
      </c>
      <c r="BT114" s="2">
        <f t="shared" si="57"/>
        <v>0.12971341542360981</v>
      </c>
      <c r="BU114" s="2">
        <v>-7.8872508456077663E-3</v>
      </c>
      <c r="BV114" s="2">
        <f t="shared" si="58"/>
        <v>2.2295789160039014E-4</v>
      </c>
      <c r="BW114" s="2">
        <f t="shared" si="59"/>
        <v>-9.0018704912862231E-5</v>
      </c>
      <c r="BX114" s="2">
        <f t="shared" si="60"/>
        <v>2.1843886419491532E-2</v>
      </c>
      <c r="BY114"/>
      <c r="BZ114" s="2">
        <v>8</v>
      </c>
      <c r="CA114" s="2">
        <f t="shared" si="67"/>
        <v>0.13553027057127218</v>
      </c>
      <c r="CB114" s="2">
        <v>-1.1677510029881974E-2</v>
      </c>
      <c r="CC114" s="2">
        <f t="shared" si="68"/>
        <v>0.15759505022421924</v>
      </c>
      <c r="CD114" s="2">
        <v>2.6868572485977838E-2</v>
      </c>
      <c r="CE114" s="2">
        <f t="shared" si="61"/>
        <v>0.14656266039774571</v>
      </c>
      <c r="CF114" s="2">
        <v>7.8872928436827666E-3</v>
      </c>
      <c r="CG114" s="2">
        <f t="shared" si="62"/>
        <v>-9.2103941290721823E-5</v>
      </c>
      <c r="CH114" s="2">
        <f t="shared" si="63"/>
        <v>2.1192029948862467E-4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0.12971341542360981</v>
      </c>
      <c r="BQ115" s="2">
        <v>-7.8872508456077663E-3</v>
      </c>
      <c r="BR115" s="2">
        <f t="shared" si="66"/>
        <v>0.14063535863335558</v>
      </c>
      <c r="BS115" s="2">
        <v>1.1413191576503699E-2</v>
      </c>
      <c r="BT115" s="2">
        <f t="shared" si="57"/>
        <v>0.1351743870284827</v>
      </c>
      <c r="BU115" s="2">
        <v>1.8817377785090329E-3</v>
      </c>
      <c r="BV115" s="2">
        <f t="shared" si="58"/>
        <v>-1.484173788475745E-5</v>
      </c>
      <c r="BW115" s="2">
        <f t="shared" si="59"/>
        <v>2.1476633762868078E-5</v>
      </c>
      <c r="BX115" s="2">
        <f t="shared" si="60"/>
        <v>1.0921943209745766E-2</v>
      </c>
      <c r="BY115"/>
      <c r="BZ115" s="2">
        <v>9</v>
      </c>
      <c r="CA115" s="2">
        <f t="shared" si="67"/>
        <v>0.13553027057127218</v>
      </c>
      <c r="CB115" s="2">
        <v>-1.1677510029881974E-2</v>
      </c>
      <c r="CC115" s="2">
        <f t="shared" si="68"/>
        <v>0.14656266039774571</v>
      </c>
      <c r="CD115" s="2">
        <v>7.8872928436827666E-3</v>
      </c>
      <c r="CE115" s="2">
        <f t="shared" si="61"/>
        <v>0.14104646548450894</v>
      </c>
      <c r="CF115" s="2">
        <v>-1.8149182062873401E-3</v>
      </c>
      <c r="CG115" s="2">
        <f t="shared" si="62"/>
        <v>2.1193725557335816E-5</v>
      </c>
      <c r="CH115" s="2">
        <f t="shared" si="63"/>
        <v>-1.43147913803197E-5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0.12971341542360981</v>
      </c>
      <c r="BQ116" s="2">
        <v>-7.8872508456077663E-3</v>
      </c>
      <c r="BR116" s="2">
        <f t="shared" si="66"/>
        <v>0.1351743870284827</v>
      </c>
      <c r="BS116" s="2">
        <v>1.8817377785090329E-3</v>
      </c>
      <c r="BT116" s="2">
        <f t="shared" si="57"/>
        <v>0.13244390122604627</v>
      </c>
      <c r="BU116" s="2">
        <v>-2.9712499677043529E-3</v>
      </c>
      <c r="BV116" s="2">
        <f t="shared" si="58"/>
        <v>2.3434993820288206E-5</v>
      </c>
      <c r="BW116" s="2">
        <f t="shared" si="59"/>
        <v>-5.591113313623025E-6</v>
      </c>
      <c r="BX116" s="2">
        <f t="shared" si="60"/>
        <v>5.4609716048728829E-3</v>
      </c>
      <c r="BY116"/>
      <c r="BZ116" s="2">
        <v>10</v>
      </c>
      <c r="CA116" s="2">
        <f t="shared" si="67"/>
        <v>0.14104646548450894</v>
      </c>
      <c r="CB116" s="2">
        <v>-1.8149182062873401E-3</v>
      </c>
      <c r="CC116" s="2">
        <f t="shared" si="68"/>
        <v>0.14656266039774571</v>
      </c>
      <c r="CD116" s="2">
        <v>7.8872928436827666E-3</v>
      </c>
      <c r="CE116" s="2">
        <f t="shared" si="61"/>
        <v>0.14380456294112731</v>
      </c>
      <c r="CF116" s="2">
        <v>3.0552288966426942E-3</v>
      </c>
      <c r="CG116" s="2">
        <f t="shared" si="62"/>
        <v>-5.5449905488920081E-6</v>
      </c>
      <c r="CH116" s="2">
        <f t="shared" si="63"/>
        <v>2.4097485012302716E-5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0.13244390122604627</v>
      </c>
      <c r="BQ117" s="2">
        <v>-2.9712499677043529E-3</v>
      </c>
      <c r="BR117" s="2">
        <f t="shared" si="66"/>
        <v>0.1351743870284827</v>
      </c>
      <c r="BS117" s="2">
        <v>1.8817377785090329E-3</v>
      </c>
      <c r="BT117" s="2">
        <f t="shared" si="57"/>
        <v>0.13380914412726447</v>
      </c>
      <c r="BU117" s="2">
        <v>-5.3711857097624507E-4</v>
      </c>
      <c r="BV117" s="2">
        <f t="shared" si="58"/>
        <v>1.5959135366665764E-6</v>
      </c>
      <c r="BW117" s="2">
        <f t="shared" si="59"/>
        <v>-1.0107163065447857E-6</v>
      </c>
      <c r="BX117" s="2">
        <f t="shared" si="60"/>
        <v>2.7304858024364276E-3</v>
      </c>
      <c r="BY117"/>
      <c r="BZ117" s="2">
        <v>11</v>
      </c>
      <c r="CA117" s="2">
        <f t="shared" si="67"/>
        <v>0.14104646548450894</v>
      </c>
      <c r="CB117" s="2">
        <v>-1.8149182062873401E-3</v>
      </c>
      <c r="CC117" s="2">
        <f t="shared" si="68"/>
        <v>0.14380456294112731</v>
      </c>
      <c r="CD117" s="2">
        <v>3.0552288966426942E-3</v>
      </c>
      <c r="CE117" s="2">
        <f t="shared" si="61"/>
        <v>0.14242551421281813</v>
      </c>
      <c r="CF117" s="2">
        <v>6.2503453515882698E-4</v>
      </c>
      <c r="CG117" s="2">
        <f t="shared" si="62"/>
        <v>-1.1343865574180996E-6</v>
      </c>
      <c r="CH117" s="2">
        <f t="shared" si="63"/>
        <v>1.9096235732168821E-6</v>
      </c>
      <c r="CI117" s="2">
        <f t="shared" si="64"/>
        <v>2.7580974566183691E-3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0.13380914412726447</v>
      </c>
      <c r="BQ118" s="2">
        <v>-5.3711857097624507E-4</v>
      </c>
      <c r="BR118" s="2">
        <f t="shared" si="66"/>
        <v>0.1351743870284827</v>
      </c>
      <c r="BS118" s="2">
        <v>1.8817377785090329E-3</v>
      </c>
      <c r="BT118" s="2">
        <f t="shared" si="57"/>
        <v>0.13449176557787357</v>
      </c>
      <c r="BU118" s="2">
        <v>6.7419021861434697E-4</v>
      </c>
      <c r="BV118" s="2">
        <f t="shared" si="58"/>
        <v>-3.6212008678830033E-7</v>
      </c>
      <c r="BW118" s="2">
        <f t="shared" si="59"/>
        <v>1.2686492042678805E-6</v>
      </c>
      <c r="BX118" s="2">
        <f t="shared" si="60"/>
        <v>1.3652429012182277E-3</v>
      </c>
      <c r="BY118"/>
      <c r="BZ118" s="2">
        <v>12</v>
      </c>
      <c r="CA118" s="2">
        <f t="shared" si="67"/>
        <v>0.14104646548450894</v>
      </c>
      <c r="CB118" s="2">
        <v>-1.8149182062873401E-3</v>
      </c>
      <c r="CC118" s="2">
        <f t="shared" si="68"/>
        <v>0.14242551421281813</v>
      </c>
      <c r="CD118" s="2">
        <v>6.2503453515882698E-4</v>
      </c>
      <c r="CE118" s="2">
        <f t="shared" si="61"/>
        <v>0.14173598984866354</v>
      </c>
      <c r="CF118" s="2">
        <v>-5.9370660872564915E-4</v>
      </c>
      <c r="CG118" s="2">
        <f t="shared" si="62"/>
        <v>1.0775289333692948E-6</v>
      </c>
      <c r="CH118" s="2">
        <f t="shared" si="63"/>
        <v>-3.7108713420555971E-7</v>
      </c>
      <c r="CI118" s="2">
        <f t="shared" si="64"/>
        <v>1.3790487283091846E-3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0.13380914412726447</v>
      </c>
      <c r="BQ119" s="2">
        <v>-5.3711857097624507E-4</v>
      </c>
      <c r="BR119" s="2">
        <f t="shared" si="66"/>
        <v>0.13449176557787357</v>
      </c>
      <c r="BS119" s="2">
        <v>6.7419021861434697E-4</v>
      </c>
      <c r="BT119" s="2">
        <f t="shared" si="57"/>
        <v>0.13415045485256902</v>
      </c>
      <c r="BU119" s="2">
        <v>6.9009524787808779E-5</v>
      </c>
      <c r="BV119" s="2">
        <f t="shared" si="58"/>
        <v>-3.7066297337777616E-8</v>
      </c>
      <c r="BW119" s="2">
        <f t="shared" si="59"/>
        <v>4.6525546603164998E-8</v>
      </c>
      <c r="BX119" s="2">
        <f t="shared" si="60"/>
        <v>6.8262145060909996E-4</v>
      </c>
      <c r="BY119"/>
      <c r="BZ119" s="2">
        <v>13</v>
      </c>
      <c r="CA119" s="2">
        <f t="shared" si="67"/>
        <v>0.14173598984866354</v>
      </c>
      <c r="CB119" s="2">
        <v>-5.9370660872564915E-4</v>
      </c>
      <c r="CC119" s="2">
        <f t="shared" si="68"/>
        <v>0.14242551421281813</v>
      </c>
      <c r="CD119" s="2">
        <v>6.2503453515882698E-4</v>
      </c>
      <c r="CE119" s="2">
        <f t="shared" si="61"/>
        <v>0.14208075203074083</v>
      </c>
      <c r="CF119" s="2">
        <v>1.597081448503207E-5</v>
      </c>
      <c r="CG119" s="2">
        <f t="shared" si="62"/>
        <v>-9.4819781064948648E-9</v>
      </c>
      <c r="CH119" s="2">
        <f t="shared" si="63"/>
        <v>9.98231060775988E-9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0.13380914412726447</v>
      </c>
      <c r="BQ120" s="2">
        <v>-5.3711857097624507E-4</v>
      </c>
      <c r="BR120" s="2">
        <f t="shared" si="66"/>
        <v>0.13415045485256902</v>
      </c>
      <c r="BS120" s="2">
        <v>6.9009524787808779E-5</v>
      </c>
      <c r="BT120" s="2">
        <f t="shared" si="57"/>
        <v>0.13397979948991673</v>
      </c>
      <c r="BU120" s="2">
        <v>-2.3393565025000423E-4</v>
      </c>
      <c r="BV120" s="2">
        <f t="shared" si="58"/>
        <v>1.2565118216268095E-7</v>
      </c>
      <c r="BW120" s="2">
        <f t="shared" si="59"/>
        <v>-1.6143788054679832E-8</v>
      </c>
      <c r="BX120" s="2">
        <f t="shared" si="60"/>
        <v>3.4131072530454998E-4</v>
      </c>
      <c r="BY120"/>
      <c r="BZ120" s="2">
        <v>14</v>
      </c>
      <c r="CA120" s="2">
        <f t="shared" si="67"/>
        <v>0.14173598984866354</v>
      </c>
      <c r="CB120" s="2">
        <v>-5.9370660872564915E-4</v>
      </c>
      <c r="CC120" s="2">
        <f t="shared" si="68"/>
        <v>0.14208075203074083</v>
      </c>
      <c r="CD120" s="2">
        <v>1.597081448503207E-5</v>
      </c>
      <c r="CE120" s="2">
        <f t="shared" si="61"/>
        <v>0.14190837093970218</v>
      </c>
      <c r="CF120" s="2">
        <v>-2.8879094157054433E-4</v>
      </c>
      <c r="CG120" s="2">
        <f t="shared" si="62"/>
        <v>1.7145709055053497E-7</v>
      </c>
      <c r="CH120" s="2">
        <f t="shared" si="63"/>
        <v>-4.6122265527808998E-9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0.13397979948991673</v>
      </c>
      <c r="BQ121" s="2">
        <v>-2.3393565025000423E-4</v>
      </c>
      <c r="BR121" s="2">
        <f t="shared" si="66"/>
        <v>0.13415045485256902</v>
      </c>
      <c r="BS121" s="2">
        <v>6.9009524787808779E-5</v>
      </c>
      <c r="BT121" s="2">
        <f t="shared" si="57"/>
        <v>0.13406512717124286</v>
      </c>
      <c r="BU121" s="2">
        <v>-8.2433400659151501E-5</v>
      </c>
      <c r="BV121" s="2">
        <f t="shared" si="58"/>
        <v>1.9284111185517733E-8</v>
      </c>
      <c r="BW121" s="2">
        <f t="shared" si="59"/>
        <v>-5.6886898061310884E-9</v>
      </c>
      <c r="BX121" s="2">
        <f t="shared" si="60"/>
        <v>1.7065536265228887E-4</v>
      </c>
      <c r="BY121"/>
      <c r="BZ121" s="2">
        <v>15</v>
      </c>
      <c r="CA121" s="2">
        <f t="shared" si="67"/>
        <v>0.14190837093970218</v>
      </c>
      <c r="CB121" s="2">
        <v>-2.8879094157054433E-4</v>
      </c>
      <c r="CC121" s="2">
        <f t="shared" si="68"/>
        <v>0.14208075203074083</v>
      </c>
      <c r="CD121" s="2">
        <v>1.597081448503207E-5</v>
      </c>
      <c r="CE121" s="2">
        <f t="shared" si="61"/>
        <v>0.14199456148522149</v>
      </c>
      <c r="CF121" s="2">
        <v>-1.3639085510229118E-4</v>
      </c>
      <c r="CG121" s="2">
        <f t="shared" si="62"/>
        <v>3.9388443466602354E-8</v>
      </c>
      <c r="CH121" s="2">
        <f t="shared" si="63"/>
        <v>-2.1782730442935824E-9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0.13406512717124286</v>
      </c>
      <c r="BQ122" s="2">
        <v>-8.2433400659151501E-5</v>
      </c>
      <c r="BR122" s="2">
        <f t="shared" si="66"/>
        <v>0.13415045485256902</v>
      </c>
      <c r="BS122" s="2">
        <v>6.9009524787808779E-5</v>
      </c>
      <c r="BT122" s="2">
        <f t="shared" si="57"/>
        <v>0.13410779101190595</v>
      </c>
      <c r="BU122" s="2">
        <v>-6.7045294184879534E-6</v>
      </c>
      <c r="BV122" s="2">
        <f t="shared" si="58"/>
        <v>5.5267715978528548E-10</v>
      </c>
      <c r="BW122" s="2">
        <f t="shared" si="59"/>
        <v>-4.6267638909573758E-10</v>
      </c>
      <c r="BX122" s="2">
        <f t="shared" si="60"/>
        <v>8.5327681326158311E-5</v>
      </c>
      <c r="BY122"/>
      <c r="BZ122" s="2">
        <v>16</v>
      </c>
      <c r="CA122" s="2">
        <f t="shared" si="67"/>
        <v>0.14199456148522149</v>
      </c>
      <c r="CB122" s="2">
        <v>-1.3639085510229118E-4</v>
      </c>
      <c r="CC122" s="2">
        <f t="shared" si="68"/>
        <v>0.14208075203074083</v>
      </c>
      <c r="CD122" s="2">
        <v>1.597081448503207E-5</v>
      </c>
      <c r="CE122" s="2">
        <f t="shared" si="61"/>
        <v>0.14203765675798116</v>
      </c>
      <c r="CF122" s="2">
        <v>-6.0205221995179858E-5</v>
      </c>
      <c r="CG122" s="2">
        <f t="shared" si="62"/>
        <v>8.2114417095458496E-9</v>
      </c>
      <c r="CH122" s="2">
        <f t="shared" si="63"/>
        <v>-9.6152643151518985E-10</v>
      </c>
      <c r="CI122" s="2">
        <f t="shared" si="64"/>
        <v>8.6190545519337913E-5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0.13410779101190595</v>
      </c>
      <c r="BQ123" s="2">
        <v>-6.7045294184879534E-6</v>
      </c>
      <c r="BR123" s="2">
        <f t="shared" si="66"/>
        <v>0.13415045485256902</v>
      </c>
      <c r="BS123" s="2">
        <v>6.9009524787808779E-5</v>
      </c>
      <c r="BT123" s="2">
        <f t="shared" si="57"/>
        <v>0.1341291229322375</v>
      </c>
      <c r="BU123" s="2">
        <v>3.1154348939865101E-5</v>
      </c>
      <c r="BV123" s="2">
        <f t="shared" si="58"/>
        <v>-2.0887524898116455E-10</v>
      </c>
      <c r="BW123" s="2">
        <f t="shared" si="59"/>
        <v>2.1499468154136647E-9</v>
      </c>
      <c r="BX123" s="2">
        <f t="shared" si="60"/>
        <v>4.2663840663065278E-5</v>
      </c>
      <c r="BY123"/>
      <c r="BZ123" s="2">
        <v>17</v>
      </c>
      <c r="CA123" s="2">
        <f t="shared" si="67"/>
        <v>0.14203765675798116</v>
      </c>
      <c r="CB123" s="2">
        <v>-6.0205221995179858E-5</v>
      </c>
      <c r="CC123" s="2">
        <f t="shared" si="68"/>
        <v>0.14208075203074083</v>
      </c>
      <c r="CD123" s="2">
        <v>1.597081448503207E-5</v>
      </c>
      <c r="CE123" s="2">
        <f t="shared" si="61"/>
        <v>0.14205920439436098</v>
      </c>
      <c r="CF123" s="2">
        <v>-2.2116004650733767E-5</v>
      </c>
      <c r="CG123" s="2">
        <f t="shared" si="62"/>
        <v>1.3314989696438567E-9</v>
      </c>
      <c r="CH123" s="2">
        <f t="shared" si="63"/>
        <v>-3.5321060742697549E-10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0.13410779101190595</v>
      </c>
      <c r="BQ124" s="2">
        <v>-6.7045294184879534E-6</v>
      </c>
      <c r="BR124" s="2">
        <f t="shared" si="66"/>
        <v>0.1341291229322375</v>
      </c>
      <c r="BS124" s="2">
        <v>3.1154348939865101E-5</v>
      </c>
      <c r="BT124" s="2">
        <f t="shared" si="57"/>
        <v>0.13411845697207173</v>
      </c>
      <c r="BU124" s="2">
        <v>1.2225372683725283E-5</v>
      </c>
      <c r="BV124" s="2">
        <f t="shared" si="58"/>
        <v>-8.1965370810015185E-11</v>
      </c>
      <c r="BW124" s="2">
        <f t="shared" si="59"/>
        <v>3.8087352650867253E-10</v>
      </c>
      <c r="BX124" s="2">
        <f t="shared" si="60"/>
        <v>2.1331920331546517E-5</v>
      </c>
      <c r="BY124"/>
      <c r="BZ124" s="2">
        <v>18</v>
      </c>
      <c r="CA124" s="2">
        <f t="shared" si="67"/>
        <v>0.14205920439436098</v>
      </c>
      <c r="CB124" s="2">
        <v>-2.2116004650733767E-5</v>
      </c>
      <c r="CC124" s="2">
        <f t="shared" si="68"/>
        <v>0.14208075203074083</v>
      </c>
      <c r="CD124" s="2">
        <v>1.597081448503207E-5</v>
      </c>
      <c r="CE124" s="2">
        <f t="shared" si="61"/>
        <v>0.14206997821255091</v>
      </c>
      <c r="CF124" s="2">
        <v>-3.0722953659918784E-6</v>
      </c>
      <c r="CG124" s="2">
        <f t="shared" si="62"/>
        <v>6.7946898602704178E-11</v>
      </c>
      <c r="CH124" s="2">
        <f t="shared" si="63"/>
        <v>-4.9067059333479997E-11</v>
      </c>
      <c r="CI124" s="2">
        <f t="shared" si="64"/>
        <v>2.1547636379848356E-5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0.13410779101190595</v>
      </c>
      <c r="BQ125" s="2">
        <v>-6.7045294184879534E-6</v>
      </c>
      <c r="BR125" s="2">
        <f t="shared" si="66"/>
        <v>0.13411845697207173</v>
      </c>
      <c r="BS125" s="2">
        <v>1.2225372683725283E-5</v>
      </c>
      <c r="BT125" s="2">
        <f t="shared" si="57"/>
        <v>0.13411312399198883</v>
      </c>
      <c r="BU125" s="2">
        <v>2.7605373769841457E-6</v>
      </c>
      <c r="BV125" s="2">
        <f t="shared" si="58"/>
        <v>-1.8508104054825773E-11</v>
      </c>
      <c r="BW125" s="2">
        <f t="shared" si="59"/>
        <v>3.374859824098462E-11</v>
      </c>
      <c r="BX125" s="2">
        <f t="shared" si="60"/>
        <v>1.0665960165773258E-5</v>
      </c>
      <c r="BY125"/>
      <c r="BZ125" s="2">
        <v>19</v>
      </c>
      <c r="CA125" s="2">
        <f t="shared" si="67"/>
        <v>0.14206997821255091</v>
      </c>
      <c r="CB125" s="2">
        <v>-3.0722953659918784E-6</v>
      </c>
      <c r="CC125" s="2">
        <f t="shared" si="68"/>
        <v>0.14208075203074083</v>
      </c>
      <c r="CD125" s="2">
        <v>1.597081448503207E-5</v>
      </c>
      <c r="CE125" s="2">
        <f t="shared" si="61"/>
        <v>0.14207536512164587</v>
      </c>
      <c r="CF125" s="2">
        <v>6.4493344813162934E-6</v>
      </c>
      <c r="CG125" s="2">
        <f t="shared" si="62"/>
        <v>-1.9814260440679684E-11</v>
      </c>
      <c r="CH125" s="2">
        <f t="shared" si="63"/>
        <v>1.0300112455302305E-10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0.13410779101190595</v>
      </c>
      <c r="BQ126" s="2">
        <v>-6.7045294184879534E-6</v>
      </c>
      <c r="BR126" s="2">
        <f t="shared" si="66"/>
        <v>0.13411312399198883</v>
      </c>
      <c r="BS126" s="2">
        <v>2.7605373769841457E-6</v>
      </c>
      <c r="BT126" s="2">
        <f t="shared" si="57"/>
        <v>0.13411045750194739</v>
      </c>
      <c r="BU126" s="2">
        <v>-1.9719670829310143E-6</v>
      </c>
      <c r="BV126" s="2">
        <f t="shared" si="58"/>
        <v>1.322111131980086E-11</v>
      </c>
      <c r="BW126" s="2">
        <f t="shared" si="59"/>
        <v>-5.4436888386134594E-12</v>
      </c>
      <c r="BX126" s="2">
        <f t="shared" si="60"/>
        <v>5.3329800828727514E-6</v>
      </c>
      <c r="BY126"/>
      <c r="BZ126" s="2">
        <v>20</v>
      </c>
      <c r="CA126" s="2">
        <f t="shared" si="67"/>
        <v>0.14206997821255091</v>
      </c>
      <c r="CB126" s="2">
        <v>-3.0722953659918784E-6</v>
      </c>
      <c r="CC126" s="2">
        <f t="shared" si="68"/>
        <v>0.14207536512164587</v>
      </c>
      <c r="CD126" s="2">
        <v>6.4493344813162934E-6</v>
      </c>
      <c r="CE126" s="2">
        <f t="shared" si="61"/>
        <v>0.14207267166709839</v>
      </c>
      <c r="CF126" s="2">
        <v>1.6885382890484413E-6</v>
      </c>
      <c r="CG126" s="2">
        <f t="shared" si="62"/>
        <v>-5.1876883607433809E-12</v>
      </c>
      <c r="CH126" s="2">
        <f t="shared" si="63"/>
        <v>1.0889948210582931E-11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0.13411045750194739</v>
      </c>
      <c r="BQ127" s="2">
        <v>-1.9719670829310143E-6</v>
      </c>
      <c r="BR127" s="2">
        <f t="shared" si="66"/>
        <v>0.13411312399198883</v>
      </c>
      <c r="BS127" s="2">
        <v>2.7605373769841457E-6</v>
      </c>
      <c r="BT127" s="2">
        <f t="shared" si="57"/>
        <v>0.13411179074696811</v>
      </c>
      <c r="BU127" s="2">
        <v>3.9429238126234556E-7</v>
      </c>
      <c r="BV127" s="2">
        <f t="shared" si="58"/>
        <v>-7.775315968998309E-13</v>
      </c>
      <c r="BW127" s="2">
        <f t="shared" si="59"/>
        <v>1.0884588559347882E-12</v>
      </c>
      <c r="BX127" s="2">
        <f t="shared" si="60"/>
        <v>2.6664900414363757E-6</v>
      </c>
      <c r="BY127"/>
      <c r="BZ127" s="2">
        <v>21</v>
      </c>
      <c r="CA127" s="2">
        <f t="shared" si="67"/>
        <v>0.14206997821255091</v>
      </c>
      <c r="CB127" s="2">
        <v>-3.0722953659918784E-6</v>
      </c>
      <c r="CC127" s="2">
        <f t="shared" si="68"/>
        <v>0.14207267166709839</v>
      </c>
      <c r="CD127" s="2">
        <v>1.6885382890484413E-6</v>
      </c>
      <c r="CE127" s="2">
        <f t="shared" si="61"/>
        <v>0.14207132493982466</v>
      </c>
      <c r="CF127" s="2">
        <v>-6.9187385549202007E-7</v>
      </c>
      <c r="CG127" s="2">
        <f t="shared" si="62"/>
        <v>2.1256408400790679E-12</v>
      </c>
      <c r="CH127" s="2">
        <f t="shared" si="63"/>
        <v>-1.1682554961898441E-12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0.13411045750194739</v>
      </c>
      <c r="BQ128" s="2">
        <v>-1.9719670829310143E-6</v>
      </c>
      <c r="BR128" s="2">
        <f t="shared" si="66"/>
        <v>0.13411179074696811</v>
      </c>
      <c r="BS128" s="2">
        <v>3.9429238126234556E-7</v>
      </c>
      <c r="BT128" s="2">
        <f t="shared" si="57"/>
        <v>0.13411112412445775</v>
      </c>
      <c r="BU128" s="2">
        <v>-7.8883554225500641E-7</v>
      </c>
      <c r="BV128" s="2">
        <f t="shared" si="58"/>
        <v>1.5555577231729099E-12</v>
      </c>
      <c r="BW128" s="2">
        <f t="shared" si="59"/>
        <v>-3.1103184438010008E-13</v>
      </c>
      <c r="BX128" s="2">
        <f t="shared" si="60"/>
        <v>1.3332450207181878E-6</v>
      </c>
      <c r="BY128"/>
      <c r="BZ128" s="2">
        <v>22</v>
      </c>
      <c r="CA128" s="2">
        <f t="shared" si="67"/>
        <v>0.14207132493982466</v>
      </c>
      <c r="CB128" s="2">
        <v>-6.9187385549202007E-7</v>
      </c>
      <c r="CC128" s="2">
        <f t="shared" si="68"/>
        <v>0.14207267166709839</v>
      </c>
      <c r="CD128" s="2">
        <v>1.6885382890484413E-6</v>
      </c>
      <c r="CE128" s="2">
        <f t="shared" si="61"/>
        <v>0.14207199830346151</v>
      </c>
      <c r="CF128" s="2">
        <v>4.9833338747889977E-7</v>
      </c>
      <c r="CG128" s="2">
        <f t="shared" si="62"/>
        <v>-3.4478384211542514E-13</v>
      </c>
      <c r="CH128" s="2">
        <f t="shared" si="63"/>
        <v>8.4145500546933535E-13</v>
      </c>
      <c r="CI128" s="2">
        <f t="shared" si="64"/>
        <v>1.3467272737266445E-6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0.13411112412445775</v>
      </c>
      <c r="BQ129" s="2">
        <v>-7.8883554225500641E-7</v>
      </c>
      <c r="BR129" s="2">
        <f t="shared" si="66"/>
        <v>0.13411179074696811</v>
      </c>
      <c r="BS129" s="2">
        <v>3.9429238126234556E-7</v>
      </c>
      <c r="BT129" s="2">
        <f t="shared" si="57"/>
        <v>0.13411145743571293</v>
      </c>
      <c r="BU129" s="2">
        <v>-1.97271128318105E-7</v>
      </c>
      <c r="BV129" s="2">
        <f t="shared" si="58"/>
        <v>1.5561447747806932E-13</v>
      </c>
      <c r="BW129" s="2">
        <f t="shared" si="59"/>
        <v>-7.7782502938855349E-14</v>
      </c>
      <c r="BX129" s="2">
        <f t="shared" si="60"/>
        <v>6.6662251035909392E-7</v>
      </c>
      <c r="BY129"/>
      <c r="BZ129" s="2">
        <v>23</v>
      </c>
      <c r="CA129" s="2">
        <f t="shared" si="67"/>
        <v>0.14207132493982466</v>
      </c>
      <c r="CB129" s="2">
        <v>-6.9187385549202007E-7</v>
      </c>
      <c r="CC129" s="2">
        <f t="shared" si="68"/>
        <v>0.14207199830346151</v>
      </c>
      <c r="CD129" s="2">
        <v>4.9833338747889977E-7</v>
      </c>
      <c r="CE129" s="2">
        <f t="shared" si="61"/>
        <v>0.14207166162164309</v>
      </c>
      <c r="CF129" s="2">
        <v>-9.6769941330954179E-8</v>
      </c>
      <c r="CG129" s="2">
        <f t="shared" si="62"/>
        <v>6.6952592404383853E-14</v>
      </c>
      <c r="CH129" s="2">
        <f t="shared" si="63"/>
        <v>-4.8223692669588784E-14</v>
      </c>
      <c r="CI129" s="2">
        <f t="shared" si="64"/>
        <v>6.7336363684944445E-7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0.13411145743571293</v>
      </c>
      <c r="BQ130" s="2">
        <v>-1.97271128318105E-7</v>
      </c>
      <c r="BR130" s="2">
        <f t="shared" si="66"/>
        <v>0.13411179074696811</v>
      </c>
      <c r="BS130" s="2">
        <v>3.9429238126234556E-7</v>
      </c>
      <c r="BT130" s="2">
        <f t="shared" si="57"/>
        <v>0.13411162409134053</v>
      </c>
      <c r="BU130" s="2">
        <v>9.8510739524049207E-8</v>
      </c>
      <c r="BV130" s="2">
        <f t="shared" si="58"/>
        <v>-1.9433324737360131E-14</v>
      </c>
      <c r="BW130" s="2">
        <f t="shared" si="59"/>
        <v>3.8842034066852025E-14</v>
      </c>
      <c r="BX130" s="2">
        <f t="shared" si="60"/>
        <v>3.3331125517954696E-7</v>
      </c>
      <c r="BY130"/>
      <c r="BZ130" s="2">
        <v>24</v>
      </c>
      <c r="CA130" s="2">
        <f t="shared" si="67"/>
        <v>0.14207166162164309</v>
      </c>
      <c r="CB130" s="2">
        <v>-9.6769941330954179E-8</v>
      </c>
      <c r="CC130" s="2">
        <f t="shared" si="68"/>
        <v>0.14207199830346151</v>
      </c>
      <c r="CD130" s="2">
        <v>4.9833338747889977E-7</v>
      </c>
      <c r="CE130" s="2">
        <f t="shared" si="61"/>
        <v>0.1420718299625523</v>
      </c>
      <c r="CF130" s="2">
        <v>2.0078179626889514E-7</v>
      </c>
      <c r="CG130" s="2">
        <f t="shared" si="62"/>
        <v>-1.9429642645264577E-14</v>
      </c>
      <c r="CH130" s="2">
        <f t="shared" si="63"/>
        <v>1.0005627267877684E-13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0.13411145743571293</v>
      </c>
      <c r="BQ131" s="2">
        <v>-1.97271128318105E-7</v>
      </c>
      <c r="BR131" s="2">
        <f t="shared" si="66"/>
        <v>0.13411162409134053</v>
      </c>
      <c r="BS131" s="2">
        <v>9.8510739524049207E-8</v>
      </c>
      <c r="BT131" s="2">
        <f t="shared" si="57"/>
        <v>0.13411154076352672</v>
      </c>
      <c r="BU131" s="2">
        <v>-4.9380166212975585E-8</v>
      </c>
      <c r="BV131" s="2">
        <f t="shared" si="58"/>
        <v>9.7412811053692597E-15</v>
      </c>
      <c r="BW131" s="2">
        <f t="shared" si="59"/>
        <v>-4.864476691460693E-15</v>
      </c>
      <c r="BX131" s="2">
        <f t="shared" si="60"/>
        <v>1.6665562760365127E-7</v>
      </c>
      <c r="BY131"/>
      <c r="BZ131" s="2">
        <v>25</v>
      </c>
      <c r="CA131" s="2">
        <f t="shared" si="67"/>
        <v>0.14207166162164309</v>
      </c>
      <c r="CB131" s="2">
        <v>-9.6769941330954179E-8</v>
      </c>
      <c r="CC131" s="2">
        <f t="shared" si="68"/>
        <v>0.1420718299625523</v>
      </c>
      <c r="CD131" s="2">
        <v>2.0078179626889514E-7</v>
      </c>
      <c r="CE131" s="2">
        <f t="shared" si="61"/>
        <v>0.14207174579209769</v>
      </c>
      <c r="CF131" s="2">
        <v>5.2005945768568429E-8</v>
      </c>
      <c r="CG131" s="2">
        <f t="shared" si="62"/>
        <v>-5.0326123208851516E-15</v>
      </c>
      <c r="CH131" s="2">
        <f t="shared" si="63"/>
        <v>1.0441847208075916E-14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0.13411154076352672</v>
      </c>
      <c r="BQ132" s="2">
        <v>-4.9380166212975585E-8</v>
      </c>
      <c r="BR132" s="2">
        <f t="shared" si="66"/>
        <v>0.13411162409134053</v>
      </c>
      <c r="BS132" s="2">
        <v>9.8510739524049207E-8</v>
      </c>
      <c r="BT132" s="2">
        <f t="shared" si="57"/>
        <v>0.13411158242743362</v>
      </c>
      <c r="BU132" s="2">
        <v>2.4565293740147487E-8</v>
      </c>
      <c r="BV132" s="2">
        <f t="shared" si="58"/>
        <v>-1.2130382879590516E-15</v>
      </c>
      <c r="BW132" s="2">
        <f t="shared" si="59"/>
        <v>2.4199452529674256E-15</v>
      </c>
      <c r="BX132" s="2">
        <f t="shared" si="60"/>
        <v>8.3327813815703422E-8</v>
      </c>
      <c r="BY132"/>
      <c r="BZ132" s="2">
        <v>26</v>
      </c>
      <c r="CA132" s="2">
        <f t="shared" si="67"/>
        <v>0.14207166162164309</v>
      </c>
      <c r="CB132" s="2">
        <v>-9.6769941330954179E-8</v>
      </c>
      <c r="CC132" s="2">
        <f t="shared" si="68"/>
        <v>0.14207174579209769</v>
      </c>
      <c r="CD132" s="2">
        <v>5.2005945768568429E-8</v>
      </c>
      <c r="CE132" s="2">
        <f t="shared" si="61"/>
        <v>0.14207170370687039</v>
      </c>
      <c r="CF132" s="2">
        <v>-2.2381993234482644E-8</v>
      </c>
      <c r="CG132" s="2">
        <f t="shared" si="62"/>
        <v>2.1659041721706987E-15</v>
      </c>
      <c r="CH132" s="2">
        <f t="shared" si="63"/>
        <v>-1.16399672634497E-15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0.13411154076352672</v>
      </c>
      <c r="BQ133" s="2">
        <v>-4.9380166212975585E-8</v>
      </c>
      <c r="BR133" s="2">
        <f t="shared" si="66"/>
        <v>0.13411158242743362</v>
      </c>
      <c r="BS133" s="2">
        <v>2.4565293740147487E-8</v>
      </c>
      <c r="BT133" s="2">
        <f t="shared" si="57"/>
        <v>0.13411156159548016</v>
      </c>
      <c r="BU133" s="2">
        <v>-1.2407434489547509E-8</v>
      </c>
      <c r="BV133" s="2">
        <f t="shared" si="58"/>
        <v>6.1268117737046185E-16</v>
      </c>
      <c r="BW133" s="2">
        <f t="shared" si="59"/>
        <v>-3.0479227279737143E-16</v>
      </c>
      <c r="BX133" s="2">
        <f t="shared" si="60"/>
        <v>4.1663906907851711E-8</v>
      </c>
      <c r="BY133"/>
      <c r="BZ133" s="2">
        <v>27</v>
      </c>
      <c r="CA133" s="2">
        <f t="shared" si="67"/>
        <v>0.14207170370687039</v>
      </c>
      <c r="CB133" s="2">
        <v>-2.2381993234482644E-8</v>
      </c>
      <c r="CC133" s="2">
        <f t="shared" si="68"/>
        <v>0.14207174579209769</v>
      </c>
      <c r="CD133" s="2">
        <v>5.2005945768568429E-8</v>
      </c>
      <c r="CE133" s="2">
        <f t="shared" si="61"/>
        <v>0.14207172474948404</v>
      </c>
      <c r="CF133" s="2">
        <v>1.4811977408490939E-8</v>
      </c>
      <c r="CG133" s="2">
        <f t="shared" si="62"/>
        <v>-3.3152157814615397E-16</v>
      </c>
      <c r="CH133" s="2">
        <f t="shared" si="63"/>
        <v>7.7031089383124057E-16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0.13411156159548016</v>
      </c>
      <c r="BQ134" s="2">
        <v>-1.2407434489547509E-8</v>
      </c>
      <c r="BR134" s="2">
        <f t="shared" si="66"/>
        <v>0.13411158242743362</v>
      </c>
      <c r="BS134" s="2">
        <v>2.4565293740147487E-8</v>
      </c>
      <c r="BT134" s="2">
        <f t="shared" si="57"/>
        <v>0.1341115720114569</v>
      </c>
      <c r="BU134" s="2">
        <v>6.0789300815322633E-9</v>
      </c>
      <c r="BV134" s="2">
        <f t="shared" si="58"/>
        <v>-7.5423926753151247E-17</v>
      </c>
      <c r="BW134" s="2">
        <f t="shared" si="59"/>
        <v>1.4933070307865876E-16</v>
      </c>
      <c r="BX134" s="2">
        <f t="shared" si="60"/>
        <v>2.0831953467803643E-8</v>
      </c>
      <c r="BY134"/>
      <c r="BZ134" s="2">
        <v>28</v>
      </c>
      <c r="CA134" s="2">
        <f t="shared" si="67"/>
        <v>0.14207170370687039</v>
      </c>
      <c r="CB134" s="2">
        <v>-2.2381993234482644E-8</v>
      </c>
      <c r="CC134" s="2">
        <f t="shared" si="68"/>
        <v>0.14207172474948404</v>
      </c>
      <c r="CD134" s="2">
        <v>1.4811977408490939E-8</v>
      </c>
      <c r="CE134" s="2">
        <f t="shared" si="61"/>
        <v>0.14207171422817721</v>
      </c>
      <c r="CF134" s="2">
        <v>-3.7850075990109033E-9</v>
      </c>
      <c r="CG134" s="2">
        <f t="shared" si="62"/>
        <v>8.4716014473527435E-17</v>
      </c>
      <c r="CH134" s="2">
        <f t="shared" si="63"/>
        <v>-5.6063447047516029E-17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0.13411156159548016</v>
      </c>
      <c r="BQ135" s="2">
        <v>-1.2407434489547509E-8</v>
      </c>
      <c r="BR135" s="2">
        <f t="shared" si="66"/>
        <v>0.1341115720114569</v>
      </c>
      <c r="BS135" s="2">
        <v>6.0789300815322633E-9</v>
      </c>
      <c r="BT135" s="2">
        <f t="shared" si="57"/>
        <v>0.13411156680346853</v>
      </c>
      <c r="BU135" s="2">
        <v>-3.1642521242103427E-9</v>
      </c>
      <c r="BV135" s="2">
        <f t="shared" si="58"/>
        <v>3.9260250939551371E-17</v>
      </c>
      <c r="BW135" s="2">
        <f t="shared" si="59"/>
        <v>-1.9235267423414617E-17</v>
      </c>
      <c r="BX135" s="2">
        <f t="shared" si="60"/>
        <v>1.0415976747779609E-8</v>
      </c>
      <c r="BY135"/>
      <c r="BZ135" s="2">
        <v>29</v>
      </c>
      <c r="CA135" s="2">
        <f t="shared" si="67"/>
        <v>0.14207171422817721</v>
      </c>
      <c r="CB135" s="2">
        <v>-3.7850075990109033E-9</v>
      </c>
      <c r="CC135" s="2">
        <f t="shared" si="68"/>
        <v>0.14207172474948404</v>
      </c>
      <c r="CD135" s="2">
        <v>1.4811977408490939E-8</v>
      </c>
      <c r="CE135" s="2">
        <f t="shared" si="61"/>
        <v>0.14207171948883063</v>
      </c>
      <c r="CF135" s="2">
        <v>5.5134849047400181E-9</v>
      </c>
      <c r="CG135" s="2">
        <f t="shared" si="62"/>
        <v>-2.0868582261472874E-17</v>
      </c>
      <c r="CH135" s="2">
        <f t="shared" si="63"/>
        <v>8.1665613851064969E-17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0.13411156680346853</v>
      </c>
      <c r="BQ136" s="2">
        <v>-3.1642521242103427E-9</v>
      </c>
      <c r="BR136" s="2">
        <f t="shared" si="66"/>
        <v>0.1341115720114569</v>
      </c>
      <c r="BS136" s="2">
        <v>6.0789300815322633E-9</v>
      </c>
      <c r="BT136" s="5">
        <f t="shared" si="57"/>
        <v>0.13411156940746272</v>
      </c>
      <c r="BU136" s="2">
        <v>1.4573390445804524E-9</v>
      </c>
      <c r="BV136" s="2">
        <f t="shared" si="58"/>
        <v>-4.6113881675083675E-18</v>
      </c>
      <c r="BW136" s="2">
        <f t="shared" si="59"/>
        <v>8.8590621570915999E-18</v>
      </c>
      <c r="BX136" s="2">
        <f t="shared" si="60"/>
        <v>5.2079883738898047E-9</v>
      </c>
      <c r="BY136"/>
      <c r="BZ136" s="2">
        <v>30</v>
      </c>
      <c r="CA136" s="2">
        <f t="shared" si="67"/>
        <v>0.14207171422817721</v>
      </c>
      <c r="CB136" s="2">
        <v>-3.7850075990109033E-9</v>
      </c>
      <c r="CC136" s="2">
        <f t="shared" si="68"/>
        <v>0.14207171948883063</v>
      </c>
      <c r="CD136" s="2">
        <v>5.5134849047400181E-9</v>
      </c>
      <c r="CE136" s="5">
        <f t="shared" si="61"/>
        <v>0.14207171685850392</v>
      </c>
      <c r="CF136" s="2">
        <v>8.6423869449792079E-10</v>
      </c>
      <c r="CG136" s="2">
        <f t="shared" si="62"/>
        <v>-3.2711500260338926E-18</v>
      </c>
      <c r="CH136" s="2">
        <f t="shared" si="63"/>
        <v>4.7649669962065062E-18</v>
      </c>
      <c r="CI136" s="2">
        <f t="shared" si="64"/>
        <v>5.2606534128862847E-9</v>
      </c>
    </row>
  </sheetData>
  <mergeCells count="86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3:P13"/>
    <mergeCell ref="N3:P3"/>
    <mergeCell ref="N17:P17"/>
    <mergeCell ref="F15:H15"/>
    <mergeCell ref="F22:H22"/>
    <mergeCell ref="B52:D52"/>
    <mergeCell ref="J30:L30"/>
    <mergeCell ref="B29:D29"/>
    <mergeCell ref="B35:D35"/>
    <mergeCell ref="J38:L38"/>
    <mergeCell ref="B40:D40"/>
    <mergeCell ref="B46:D46"/>
    <mergeCell ref="F29:H29"/>
    <mergeCell ref="B1:D1"/>
    <mergeCell ref="B3:D3"/>
    <mergeCell ref="F3:H3"/>
    <mergeCell ref="J3:L3"/>
    <mergeCell ref="B24:D24"/>
    <mergeCell ref="J7:L7"/>
    <mergeCell ref="J11:L11"/>
    <mergeCell ref="B12:D12"/>
    <mergeCell ref="B17:D17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6" t="s">
        <v>0</v>
      </c>
      <c r="C1" s="56"/>
      <c r="D1" s="56"/>
    </row>
    <row r="2" spans="2:41" x14ac:dyDescent="0.2">
      <c r="U2" s="16" t="s">
        <v>96</v>
      </c>
      <c r="AF2" s="48" t="s">
        <v>226</v>
      </c>
    </row>
    <row r="3" spans="2:41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1186.1523216699043</v>
      </c>
      <c r="L4" s="6" t="s">
        <v>104</v>
      </c>
      <c r="N4" s="6" t="s">
        <v>228</v>
      </c>
      <c r="O4" s="6">
        <f xml:space="preserve"> $C$5 * $C$74</f>
        <v>33205.768715423583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1.8387428305065199</v>
      </c>
      <c r="X4" s="3">
        <v>1</v>
      </c>
      <c r="Y4" s="2">
        <f t="shared" ref="Y4:Y34" si="1" xml:space="preserve"> $O$22 * TAN($O$19/180*PI()) + $O$23 / (2 * SQRT($O$22^2 + X4^2)) - X4</f>
        <v>-1.2635379039749872E-2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0.55969167681323673</v>
      </c>
      <c r="AB4" s="2">
        <f>W4*AA4</f>
        <v>1.0291290580345112</v>
      </c>
      <c r="AC4" s="2">
        <f>Y4*AA4</f>
        <v>-7.0719164819284305E-3</v>
      </c>
      <c r="AD4" s="2">
        <f>X4-V4</f>
        <v>1</v>
      </c>
      <c r="AF4" s="2">
        <v>0</v>
      </c>
      <c r="AH4" s="2">
        <f>K30</f>
        <v>3.1377567211166024E-11</v>
      </c>
      <c r="AJ4" s="2">
        <f>K30</f>
        <v>3.1377567211166024E-11</v>
      </c>
      <c r="AL4" s="2">
        <f>K30</f>
        <v>3.1377567211166024E-11</v>
      </c>
    </row>
    <row r="5" spans="2:41" x14ac:dyDescent="0.2">
      <c r="B5" s="10" t="s">
        <v>40</v>
      </c>
      <c r="C5" s="10">
        <f>AK44</f>
        <v>3388.1523280551846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148.26904020873803</v>
      </c>
      <c r="L5" s="6" t="s">
        <v>104</v>
      </c>
      <c r="N5" s="6" t="s">
        <v>25</v>
      </c>
      <c r="O5" s="6">
        <f xml:space="preserve"> 0.5 * $C$71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0.55969167681323673</v>
      </c>
      <c r="X5" s="2">
        <f>IF(AC4&gt;0, Z4, X4)</f>
        <v>1</v>
      </c>
      <c r="Y5" s="2">
        <f t="shared" si="1"/>
        <v>-1.2635379039749872E-2</v>
      </c>
      <c r="Z5" s="2">
        <f t="shared" ref="Z5:Z34" si="3" xml:space="preserve"> (V5 + X5)/2</f>
        <v>0.75</v>
      </c>
      <c r="AA5" s="2">
        <f t="shared" si="2"/>
        <v>0.26169328106361989</v>
      </c>
      <c r="AB5" s="2">
        <f t="shared" ref="AB5:AB34" si="4">W5*AA5</f>
        <v>0.14646755128925507</v>
      </c>
      <c r="AC5" s="2">
        <f t="shared" ref="AC5:AC34" si="5">Y5*AA5</f>
        <v>-3.3065937983946347E-3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-815.62123672201335</v>
      </c>
      <c r="AI5" s="3">
        <v>3500</v>
      </c>
      <c r="AJ5" s="2">
        <f t="dataTable" ref="AJ5:AJ44" dt2D="0" dtr="0" r1="C5" ca="1"/>
        <v>9.0430574924180291</v>
      </c>
      <c r="AK5" s="2">
        <f>(AG5+AI5)/2</f>
        <v>2000</v>
      </c>
      <c r="AL5" s="2">
        <f t="dataTable" ref="AL5:AL44" dt2D="0" dtr="0" r1="C5" ca="1"/>
        <v>-264.65445682048585</v>
      </c>
      <c r="AM5" s="2">
        <f>AH5*AL5</f>
        <v>215857.79537591734</v>
      </c>
      <c r="AN5" s="2">
        <f>AJ5*AL5</f>
        <v>-2393.2854686523183</v>
      </c>
      <c r="AO5" s="2">
        <f>AI5-AG5</f>
        <v>3000</v>
      </c>
    </row>
    <row r="6" spans="2:41" x14ac:dyDescent="0.2">
      <c r="B6" s="6" t="s">
        <v>271</v>
      </c>
      <c r="C6" s="17">
        <v>380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217.58363239205559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0.29537146257893021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0.26169328106361989</v>
      </c>
      <c r="X6" s="2">
        <f t="shared" ref="X6:X34" si="8">IF(AC5&gt;0, Z5, X5)</f>
        <v>1</v>
      </c>
      <c r="Y6" s="2">
        <f t="shared" si="1"/>
        <v>-1.2635379039749872E-2</v>
      </c>
      <c r="Z6" s="2">
        <f t="shared" si="3"/>
        <v>0.875</v>
      </c>
      <c r="AA6" s="2">
        <f t="shared" si="2"/>
        <v>0.1228130586545404</v>
      </c>
      <c r="AB6" s="2">
        <f t="shared" si="4"/>
        <v>3.2139352276765475E-2</v>
      </c>
      <c r="AC6" s="2">
        <f t="shared" si="5"/>
        <v>-1.5517895471311514E-3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-264.65445682048585</v>
      </c>
      <c r="AI6" s="2">
        <f>IF(AN5&gt;0,AK5,AI5)</f>
        <v>3500</v>
      </c>
      <c r="AJ6" s="2">
        <v>9.0430574924180291</v>
      </c>
      <c r="AK6" s="2">
        <f t="shared" ref="AK6:AK44" si="9">(AG6+AI6)/2</f>
        <v>2750</v>
      </c>
      <c r="AL6" s="2">
        <v>-87.566331853529391</v>
      </c>
      <c r="AM6" s="2">
        <f t="shared" ref="AM6:AM44" si="10">AH6*AL6</f>
        <v>23174.81999245823</v>
      </c>
      <c r="AN6" s="2">
        <f t="shared" ref="AN6:AN44" si="11">AJ6*AL6</f>
        <v>-791.86737335162252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$C$68 / $C$21</f>
        <v>4151.1181502432037</v>
      </c>
      <c r="H7" s="6" t="s">
        <v>22</v>
      </c>
      <c r="J7" s="6" t="s">
        <v>230</v>
      </c>
      <c r="K7" s="6">
        <f>K6/$C$28</f>
        <v>217.58363239205559</v>
      </c>
      <c r="L7" s="6" t="s">
        <v>104</v>
      </c>
      <c r="N7" s="6" t="s">
        <v>121</v>
      </c>
      <c r="O7" s="6">
        <f xml:space="preserve"> O6 / $C$12</f>
        <v>1.476857312894651E-2</v>
      </c>
      <c r="U7" s="2">
        <v>3</v>
      </c>
      <c r="V7" s="2">
        <f t="shared" si="7"/>
        <v>0.875</v>
      </c>
      <c r="W7" s="2">
        <f t="shared" si="0"/>
        <v>0.1228130586545404</v>
      </c>
      <c r="X7" s="2">
        <f t="shared" si="8"/>
        <v>1</v>
      </c>
      <c r="Y7" s="2">
        <f t="shared" si="1"/>
        <v>-1.2635379039749872E-2</v>
      </c>
      <c r="Z7" s="2">
        <f t="shared" si="3"/>
        <v>0.9375</v>
      </c>
      <c r="AA7" s="2">
        <f t="shared" si="2"/>
        <v>5.4744340144880166E-2</v>
      </c>
      <c r="AB7" s="2">
        <f t="shared" si="4"/>
        <v>6.7233198572172782E-3</v>
      </c>
      <c r="AC7" s="2">
        <f t="shared" si="5"/>
        <v>-6.9171548801155638E-4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-87.566331853529391</v>
      </c>
      <c r="AI7" s="2">
        <f t="shared" ref="AI7:AI44" si="14">IF(AN6&gt;0,AK6,AI6)</f>
        <v>3500</v>
      </c>
      <c r="AJ7" s="2">
        <v>9.0430574924180291</v>
      </c>
      <c r="AK7" s="2">
        <f t="shared" si="9"/>
        <v>3125</v>
      </c>
      <c r="AL7" s="2">
        <v>-28.787010737607034</v>
      </c>
      <c r="AM7" s="2">
        <f t="shared" si="10"/>
        <v>2520.7729353204113</v>
      </c>
      <c r="AN7" s="2">
        <f t="shared" si="11"/>
        <v>-260.32259313503556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98.84602680582536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5.4744340144880166E-2</v>
      </c>
      <c r="X8" s="2">
        <f t="shared" si="8"/>
        <v>1</v>
      </c>
      <c r="Y8" s="2">
        <f t="shared" si="1"/>
        <v>-1.2635379039749872E-2</v>
      </c>
      <c r="Z8" s="2">
        <f t="shared" si="3"/>
        <v>0.96875</v>
      </c>
      <c r="AA8" s="2">
        <f t="shared" si="2"/>
        <v>2.0976574297754125E-2</v>
      </c>
      <c r="AB8" s="2">
        <f t="shared" si="4"/>
        <v>1.1483487184306025E-3</v>
      </c>
      <c r="AC8" s="2">
        <f t="shared" si="5"/>
        <v>-2.6504696720759836E-4</v>
      </c>
      <c r="AD8" s="2">
        <f t="shared" si="6"/>
        <v>6.25E-2</v>
      </c>
      <c r="AF8" s="2">
        <v>4</v>
      </c>
      <c r="AG8" s="2">
        <f t="shared" si="13"/>
        <v>3125</v>
      </c>
      <c r="AH8" s="2">
        <v>-28.787010737607034</v>
      </c>
      <c r="AI8" s="2">
        <f t="shared" si="14"/>
        <v>3500</v>
      </c>
      <c r="AJ8" s="2">
        <v>9.0430574924180291</v>
      </c>
      <c r="AK8" s="2">
        <f t="shared" si="9"/>
        <v>3312.5</v>
      </c>
      <c r="AL8" s="2">
        <v>-7.202995895393542</v>
      </c>
      <c r="AM8" s="2">
        <f t="shared" si="10"/>
        <v>207.35272018363329</v>
      </c>
      <c r="AN8" s="2">
        <f t="shared" si="11"/>
        <v>-65.137105999694882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4.28463393717246</v>
      </c>
      <c r="H9" s="6" t="s">
        <v>275</v>
      </c>
      <c r="J9" s="58" t="s">
        <v>23</v>
      </c>
      <c r="K9" s="58"/>
      <c r="L9" s="58"/>
      <c r="N9" s="6" t="s">
        <v>122</v>
      </c>
      <c r="O9" s="6">
        <f xml:space="preserve"> $O$8 + O7</f>
        <v>3.8507773128946508E-2</v>
      </c>
      <c r="U9" s="2">
        <v>5</v>
      </c>
      <c r="V9" s="2">
        <f t="shared" si="7"/>
        <v>0.96875</v>
      </c>
      <c r="W9" s="2">
        <f t="shared" si="0"/>
        <v>2.0976574297754125E-2</v>
      </c>
      <c r="X9" s="2">
        <f t="shared" si="8"/>
        <v>1</v>
      </c>
      <c r="Y9" s="2">
        <f t="shared" si="1"/>
        <v>-1.2635379039749872E-2</v>
      </c>
      <c r="Z9" s="2">
        <f t="shared" si="3"/>
        <v>0.984375</v>
      </c>
      <c r="AA9" s="2">
        <f t="shared" si="2"/>
        <v>4.1520361954120455E-3</v>
      </c>
      <c r="AB9" s="2">
        <f t="shared" si="4"/>
        <v>8.709549574002514E-5</v>
      </c>
      <c r="AC9" s="2">
        <f t="shared" si="5"/>
        <v>-5.2462551115792163E-5</v>
      </c>
      <c r="AD9" s="2">
        <f t="shared" si="6"/>
        <v>3.125E-2</v>
      </c>
      <c r="AF9" s="2">
        <v>5</v>
      </c>
      <c r="AG9" s="2">
        <f t="shared" si="13"/>
        <v>3312.5</v>
      </c>
      <c r="AH9" s="2">
        <v>-7.202995895393542</v>
      </c>
      <c r="AI9" s="2">
        <f t="shared" si="14"/>
        <v>3500</v>
      </c>
      <c r="AJ9" s="2">
        <v>9.0430574924180291</v>
      </c>
      <c r="AK9" s="2">
        <f t="shared" si="9"/>
        <v>3406.25</v>
      </c>
      <c r="AL9" s="2">
        <v>1.5935752285495255</v>
      </c>
      <c r="AM9" s="2">
        <f t="shared" si="10"/>
        <v>-11.478515830243058</v>
      </c>
      <c r="AN9" s="2">
        <f t="shared" si="11"/>
        <v>14.410792410266559</v>
      </c>
      <c r="AO9" s="2">
        <f t="shared" si="12"/>
        <v>187.5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790.76821444660288</v>
      </c>
      <c r="H10" s="43" t="s">
        <v>104</v>
      </c>
      <c r="J10" s="6" t="s">
        <v>99</v>
      </c>
      <c r="K10" s="6">
        <f xml:space="preserve"> $C$18 * (G10*G6 + G20*G13 + G29*G25 + G33*G32)/3600</f>
        <v>192.76163301885489</v>
      </c>
      <c r="L10" s="6" t="s">
        <v>105</v>
      </c>
      <c r="N10" s="6" t="s">
        <v>41</v>
      </c>
      <c r="O10" s="6">
        <f xml:space="preserve"> O5 * $C$12 * O9</f>
        <v>970.92007632654565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4.1520361954120455E-3</v>
      </c>
      <c r="X10" s="2">
        <f t="shared" si="8"/>
        <v>1</v>
      </c>
      <c r="Y10" s="2">
        <f t="shared" si="1"/>
        <v>-1.2635379039749872E-2</v>
      </c>
      <c r="Z10" s="2">
        <f t="shared" si="3"/>
        <v>0.9921875</v>
      </c>
      <c r="AA10" s="2">
        <f t="shared" si="2"/>
        <v>-4.2462035904745621E-3</v>
      </c>
      <c r="AB10" s="2">
        <f t="shared" si="4"/>
        <v>-1.7630391000738967E-5</v>
      </c>
      <c r="AC10" s="2">
        <f t="shared" si="5"/>
        <v>5.3652391845592934E-5</v>
      </c>
      <c r="AD10" s="2">
        <f t="shared" si="6"/>
        <v>1.5625E-2</v>
      </c>
      <c r="AF10" s="2">
        <v>6</v>
      </c>
      <c r="AG10" s="2">
        <f t="shared" si="13"/>
        <v>3312.5</v>
      </c>
      <c r="AH10" s="2">
        <v>-7.202995895393542</v>
      </c>
      <c r="AI10" s="2">
        <f t="shared" si="14"/>
        <v>3406.25</v>
      </c>
      <c r="AJ10" s="2">
        <v>1.5935752285495255</v>
      </c>
      <c r="AK10" s="2">
        <f t="shared" si="9"/>
        <v>3359.375</v>
      </c>
      <c r="AL10" s="2">
        <v>-2.6371129047111026</v>
      </c>
      <c r="AM10" s="2">
        <f t="shared" si="10"/>
        <v>18.995113428323414</v>
      </c>
      <c r="AN10" s="2">
        <f t="shared" si="11"/>
        <v>-4.2024377998358986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57.333333333333336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4.1520361954120455E-3</v>
      </c>
      <c r="X11" s="2">
        <f t="shared" si="8"/>
        <v>0.9921875</v>
      </c>
      <c r="Y11" s="2">
        <f t="shared" si="1"/>
        <v>-4.2462035904745621E-3</v>
      </c>
      <c r="Z11" s="2">
        <f t="shared" si="3"/>
        <v>0.98828125</v>
      </c>
      <c r="AA11" s="2">
        <f t="shared" si="2"/>
        <v>-4.823000047282644E-5</v>
      </c>
      <c r="AB11" s="2">
        <f t="shared" si="4"/>
        <v>-2.0025270766791545E-7</v>
      </c>
      <c r="AC11" s="2">
        <f t="shared" si="5"/>
        <v>2.0479440117630546E-7</v>
      </c>
      <c r="AD11" s="2">
        <f t="shared" si="6"/>
        <v>7.8125E-3</v>
      </c>
      <c r="AF11" s="2">
        <v>7</v>
      </c>
      <c r="AG11" s="2">
        <f t="shared" si="13"/>
        <v>3359.375</v>
      </c>
      <c r="AH11" s="2">
        <v>-2.6371129047111026</v>
      </c>
      <c r="AI11" s="2">
        <f t="shared" si="14"/>
        <v>3406.25</v>
      </c>
      <c r="AJ11" s="2">
        <v>1.5935752285495255</v>
      </c>
      <c r="AK11" s="2">
        <f t="shared" si="9"/>
        <v>3382.8125</v>
      </c>
      <c r="AL11" s="2">
        <v>-0.47977122118027182</v>
      </c>
      <c r="AM11" s="2">
        <f t="shared" si="10"/>
        <v>1.2652108786834995</v>
      </c>
      <c r="AN11" s="2">
        <f t="shared" si="11"/>
        <v>-0.76455153344383664</v>
      </c>
      <c r="AO11" s="2">
        <f t="shared" si="12"/>
        <v>46.875</v>
      </c>
    </row>
    <row r="12" spans="2:41" x14ac:dyDescent="0.2">
      <c r="B12" s="6" t="s">
        <v>232</v>
      </c>
      <c r="C12" s="17">
        <v>20</v>
      </c>
      <c r="D12" s="6" t="s">
        <v>11</v>
      </c>
      <c r="F12" s="54" t="s">
        <v>89</v>
      </c>
      <c r="G12" s="57"/>
      <c r="H12" s="57"/>
      <c r="N12" s="6" t="s">
        <v>235</v>
      </c>
      <c r="O12" s="6">
        <f xml:space="preserve"> O4 / (O5 * $C$12)</f>
        <v>1.316977822833429</v>
      </c>
      <c r="U12" s="2">
        <v>8</v>
      </c>
      <c r="V12" s="2">
        <f t="shared" si="7"/>
        <v>0.984375</v>
      </c>
      <c r="W12" s="2">
        <f t="shared" si="0"/>
        <v>4.1520361954120455E-3</v>
      </c>
      <c r="X12" s="2">
        <f t="shared" si="8"/>
        <v>0.98828125</v>
      </c>
      <c r="Y12" s="2">
        <f t="shared" si="1"/>
        <v>-4.823000047282644E-5</v>
      </c>
      <c r="Z12" s="2">
        <f t="shared" si="3"/>
        <v>0.986328125</v>
      </c>
      <c r="AA12" s="2">
        <f t="shared" si="2"/>
        <v>2.0516148415244961E-3</v>
      </c>
      <c r="AB12" s="2">
        <f t="shared" si="4"/>
        <v>8.5183790810542553E-6</v>
      </c>
      <c r="AC12" s="2">
        <f t="shared" si="5"/>
        <v>-9.8949384776784189E-8</v>
      </c>
      <c r="AD12" s="2">
        <f t="shared" si="6"/>
        <v>3.90625E-3</v>
      </c>
      <c r="AF12" s="2">
        <v>8</v>
      </c>
      <c r="AG12" s="2">
        <f t="shared" si="13"/>
        <v>3382.8125</v>
      </c>
      <c r="AH12" s="2">
        <v>-0.47977122118027182</v>
      </c>
      <c r="AI12" s="2">
        <f t="shared" si="14"/>
        <v>3406.25</v>
      </c>
      <c r="AJ12" s="2">
        <v>1.5935752285495255</v>
      </c>
      <c r="AK12" s="2">
        <f t="shared" si="9"/>
        <v>3394.53125</v>
      </c>
      <c r="AL12" s="2">
        <v>0.56741335639799217</v>
      </c>
      <c r="AM12" s="2">
        <f t="shared" si="10"/>
        <v>-0.2722285989130615</v>
      </c>
      <c r="AN12" s="2">
        <f t="shared" si="11"/>
        <v>0.90421586910398377</v>
      </c>
      <c r="AO12" s="2">
        <f t="shared" si="12"/>
        <v>23.4375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0.10367249087866912</v>
      </c>
      <c r="U13" s="2">
        <v>9</v>
      </c>
      <c r="V13" s="2">
        <f t="shared" si="7"/>
        <v>0.986328125</v>
      </c>
      <c r="W13" s="2">
        <f t="shared" si="0"/>
        <v>2.0516148415244961E-3</v>
      </c>
      <c r="X13" s="2">
        <f t="shared" si="8"/>
        <v>0.98828125</v>
      </c>
      <c r="Y13" s="2">
        <f t="shared" si="1"/>
        <v>-4.823000047282644E-5</v>
      </c>
      <c r="Z13" s="2">
        <f t="shared" si="3"/>
        <v>0.9873046875</v>
      </c>
      <c r="AA13" s="2">
        <f t="shared" si="2"/>
        <v>1.0016205675874579E-3</v>
      </c>
      <c r="AB13" s="2">
        <f t="shared" si="4"/>
        <v>2.0549396220386183E-6</v>
      </c>
      <c r="AC13" s="2">
        <f t="shared" si="5"/>
        <v>-4.8308160448335779E-8</v>
      </c>
      <c r="AD13" s="2">
        <f t="shared" si="6"/>
        <v>1.953125E-3</v>
      </c>
      <c r="AF13" s="2">
        <v>9</v>
      </c>
      <c r="AG13" s="2">
        <f t="shared" si="13"/>
        <v>3382.8125</v>
      </c>
      <c r="AH13" s="2">
        <v>-0.47977122118027182</v>
      </c>
      <c r="AI13" s="2">
        <f t="shared" si="14"/>
        <v>3394.53125</v>
      </c>
      <c r="AJ13" s="2">
        <v>0.56741335639799217</v>
      </c>
      <c r="AK13" s="2">
        <f t="shared" si="9"/>
        <v>3388.671875</v>
      </c>
      <c r="AL13" s="2">
        <v>4.6446920007838344E-2</v>
      </c>
      <c r="AM13" s="2">
        <f t="shared" si="10"/>
        <v>-2.2283895532223003E-2</v>
      </c>
      <c r="AN13" s="2">
        <f t="shared" si="11"/>
        <v>2.6354602775996612E-2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54.517104515294889</v>
      </c>
      <c r="H14" s="6" t="s">
        <v>10</v>
      </c>
      <c r="J14" s="10" t="s">
        <v>82</v>
      </c>
      <c r="K14" s="18">
        <f>C5</f>
        <v>3388.1523280551846</v>
      </c>
      <c r="L14" s="6" t="s">
        <v>7</v>
      </c>
      <c r="N14" s="6" t="s">
        <v>42</v>
      </c>
      <c r="O14" s="6">
        <f xml:space="preserve"> O5 * O13 * $C$12</f>
        <v>2613.958029196333</v>
      </c>
      <c r="P14" s="6" t="s">
        <v>22</v>
      </c>
      <c r="U14" s="2">
        <v>10</v>
      </c>
      <c r="V14" s="2">
        <f t="shared" si="7"/>
        <v>0.9873046875</v>
      </c>
      <c r="W14" s="2">
        <f t="shared" si="0"/>
        <v>1.0016205675874579E-3</v>
      </c>
      <c r="X14" s="2">
        <f t="shared" si="8"/>
        <v>0.98828125</v>
      </c>
      <c r="Y14" s="2">
        <f t="shared" si="1"/>
        <v>-4.823000047282644E-5</v>
      </c>
      <c r="Z14" s="2">
        <f t="shared" si="3"/>
        <v>0.98779296875</v>
      </c>
      <c r="AA14" s="2">
        <f t="shared" si="2"/>
        <v>4.7667734661394068E-4</v>
      </c>
      <c r="AB14" s="2">
        <f t="shared" si="4"/>
        <v>4.774498344715387E-7</v>
      </c>
      <c r="AC14" s="2">
        <f t="shared" si="5"/>
        <v>-2.299014865257601E-8</v>
      </c>
      <c r="AD14" s="2">
        <f t="shared" si="6"/>
        <v>9.765625E-4</v>
      </c>
      <c r="AF14" s="2">
        <v>10</v>
      </c>
      <c r="AG14" s="2">
        <f t="shared" si="13"/>
        <v>3382.8125</v>
      </c>
      <c r="AH14" s="2">
        <v>-0.47977122118027182</v>
      </c>
      <c r="AI14" s="2">
        <f t="shared" si="14"/>
        <v>3388.671875</v>
      </c>
      <c r="AJ14" s="2">
        <v>4.6446920007838344E-2</v>
      </c>
      <c r="AK14" s="2">
        <f t="shared" si="9"/>
        <v>3385.7421875</v>
      </c>
      <c r="AL14" s="2">
        <v>-0.21600577130311649</v>
      </c>
      <c r="AM14" s="2">
        <f t="shared" si="10"/>
        <v>0.10363335268008271</v>
      </c>
      <c r="AN14" s="2">
        <f t="shared" si="11"/>
        <v>-1.0032802780947274E-2</v>
      </c>
      <c r="AO14" s="2">
        <f t="shared" si="12"/>
        <v>5.859375</v>
      </c>
    </row>
    <row r="15" spans="2:41" x14ac:dyDescent="0.2">
      <c r="B15" s="58" t="s">
        <v>12</v>
      </c>
      <c r="C15" s="58"/>
      <c r="D15" s="58"/>
      <c r="F15" s="6" t="s">
        <v>240</v>
      </c>
      <c r="G15" s="6">
        <f>G14/$C$73</f>
        <v>0.16385193983659224</v>
      </c>
      <c r="H15" s="6" t="s">
        <v>131</v>
      </c>
      <c r="J15" s="11" t="s">
        <v>55</v>
      </c>
      <c r="K15" s="6">
        <f xml:space="preserve"> 1000 * K10 / ($C$60 * $C$61 * $C$62)</f>
        <v>1133.8919589344405</v>
      </c>
      <c r="L15" s="6" t="s">
        <v>7</v>
      </c>
      <c r="N15" s="6" t="s">
        <v>237</v>
      </c>
      <c r="O15" s="6">
        <f>O4/O14</f>
        <v>12.703252441139144</v>
      </c>
      <c r="U15" s="2">
        <v>11</v>
      </c>
      <c r="V15" s="2">
        <f t="shared" si="7"/>
        <v>0.98779296875</v>
      </c>
      <c r="W15" s="2">
        <f t="shared" si="0"/>
        <v>4.7667734661394068E-4</v>
      </c>
      <c r="X15" s="2">
        <f t="shared" si="8"/>
        <v>0.98828125</v>
      </c>
      <c r="Y15" s="2">
        <f t="shared" si="1"/>
        <v>-4.823000047282644E-5</v>
      </c>
      <c r="Z15" s="2">
        <f t="shared" si="3"/>
        <v>0.988037109375</v>
      </c>
      <c r="AA15" s="2">
        <f t="shared" si="2"/>
        <v>2.1421919211550566E-4</v>
      </c>
      <c r="AB15" s="2">
        <f t="shared" si="4"/>
        <v>1.0211343609140124E-7</v>
      </c>
      <c r="AC15" s="2">
        <f t="shared" si="5"/>
        <v>-1.0331791737019336E-8</v>
      </c>
      <c r="AD15" s="2">
        <f t="shared" si="6"/>
        <v>4.8828125E-4</v>
      </c>
      <c r="AF15" s="2">
        <v>11</v>
      </c>
      <c r="AG15" s="2">
        <f t="shared" si="13"/>
        <v>3385.7421875</v>
      </c>
      <c r="AH15" s="2">
        <v>-0.21600577130311649</v>
      </c>
      <c r="AI15" s="2">
        <f t="shared" si="14"/>
        <v>3388.671875</v>
      </c>
      <c r="AJ15" s="2">
        <v>4.6446920007838344E-2</v>
      </c>
      <c r="AK15" s="2">
        <f t="shared" si="9"/>
        <v>3387.20703125</v>
      </c>
      <c r="AL15" s="2">
        <v>-8.4615186137853016E-2</v>
      </c>
      <c r="AM15" s="2">
        <f t="shared" si="10"/>
        <v>1.8277368545663711E-2</v>
      </c>
      <c r="AN15" s="2">
        <f t="shared" si="11"/>
        <v>-3.9301147819932108E-3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2613.958029196333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258.37606455667895</v>
      </c>
      <c r="L16" s="6" t="s">
        <v>7</v>
      </c>
      <c r="N16" s="6" t="s">
        <v>118</v>
      </c>
      <c r="O16" s="6">
        <f>(O13*$C$12)/(0.3048^2)/($C$5*2.20462/1000)^(2/3)</f>
        <v>5.8407124178989269</v>
      </c>
      <c r="U16" s="2">
        <v>12</v>
      </c>
      <c r="V16" s="2">
        <f t="shared" si="7"/>
        <v>0.988037109375</v>
      </c>
      <c r="W16" s="2">
        <f t="shared" si="0"/>
        <v>2.1421919211550566E-4</v>
      </c>
      <c r="X16" s="2">
        <f t="shared" si="8"/>
        <v>0.98828125</v>
      </c>
      <c r="Y16" s="2">
        <f t="shared" si="1"/>
        <v>-4.823000047282644E-5</v>
      </c>
      <c r="Z16" s="2">
        <f t="shared" si="3"/>
        <v>0.9881591796875</v>
      </c>
      <c r="AA16" s="2">
        <f t="shared" si="2"/>
        <v>8.29934759922768E-5</v>
      </c>
      <c r="AB16" s="2">
        <f t="shared" si="4"/>
        <v>1.7778795377923149E-8</v>
      </c>
      <c r="AC16" s="2">
        <f t="shared" si="5"/>
        <v>-4.00277538634902E-9</v>
      </c>
      <c r="AD16" s="2">
        <f t="shared" si="6"/>
        <v>2.44140625E-4</v>
      </c>
      <c r="AF16" s="2">
        <v>12</v>
      </c>
      <c r="AG16" s="2">
        <f t="shared" si="13"/>
        <v>3387.20703125</v>
      </c>
      <c r="AH16" s="2">
        <v>-8.4615186137853016E-2</v>
      </c>
      <c r="AI16" s="2">
        <f t="shared" si="14"/>
        <v>3388.671875</v>
      </c>
      <c r="AJ16" s="2">
        <v>4.6446920007838344E-2</v>
      </c>
      <c r="AK16" s="2">
        <f t="shared" si="9"/>
        <v>3387.939453125</v>
      </c>
      <c r="AL16" s="2">
        <v>-1.9042354175326182E-2</v>
      </c>
      <c r="AM16" s="2">
        <f t="shared" si="10"/>
        <v>1.6112723430481474E-3</v>
      </c>
      <c r="AN16" s="2">
        <f t="shared" si="11"/>
        <v>-8.8445870114230163E-4</v>
      </c>
      <c r="AO16" s="2">
        <f t="shared" si="12"/>
        <v>1.46484375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145.05575492803706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0.9881591796875</v>
      </c>
      <c r="W17" s="2">
        <f t="shared" si="0"/>
        <v>8.29934759922768E-5</v>
      </c>
      <c r="X17" s="2">
        <f t="shared" si="8"/>
        <v>0.98828125</v>
      </c>
      <c r="Y17" s="2">
        <f t="shared" si="1"/>
        <v>-4.823000047282644E-5</v>
      </c>
      <c r="Z17" s="2">
        <f t="shared" si="3"/>
        <v>0.98822021484375</v>
      </c>
      <c r="AA17" s="2">
        <f t="shared" si="2"/>
        <v>1.7381457853682392E-5</v>
      </c>
      <c r="AB17" s="2">
        <f t="shared" si="4"/>
        <v>1.4425476050903605E-9</v>
      </c>
      <c r="AC17" s="2">
        <f t="shared" si="5"/>
        <v>-8.3830772050151459E-10</v>
      </c>
      <c r="AD17" s="2">
        <f t="shared" si="6"/>
        <v>1.220703125E-4</v>
      </c>
      <c r="AF17" s="2">
        <v>13</v>
      </c>
      <c r="AG17" s="2">
        <f t="shared" si="13"/>
        <v>3387.939453125</v>
      </c>
      <c r="AH17" s="2">
        <v>-1.9042354175326182E-2</v>
      </c>
      <c r="AI17" s="2">
        <f t="shared" si="14"/>
        <v>3388.671875</v>
      </c>
      <c r="AJ17" s="2">
        <v>4.6446920007838344E-2</v>
      </c>
      <c r="AK17" s="2">
        <f t="shared" si="9"/>
        <v>3388.3056640625</v>
      </c>
      <c r="AL17" s="2">
        <v>1.3712131524243887E-2</v>
      </c>
      <c r="AM17" s="2">
        <f t="shared" si="10"/>
        <v>-2.6111126498330734E-4</v>
      </c>
      <c r="AN17" s="2">
        <f t="shared" si="11"/>
        <v>6.3688627604351425E-4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1.8387091419953043</v>
      </c>
      <c r="H18" s="6" t="s">
        <v>275</v>
      </c>
      <c r="J18" s="13" t="s">
        <v>56</v>
      </c>
      <c r="K18" s="6">
        <f xml:space="preserve"> $C$78 * (0.2138 * K4 + 0.2138 * K6)</f>
        <v>240.09499758275763</v>
      </c>
      <c r="L18" s="6" t="s">
        <v>7</v>
      </c>
      <c r="N18" s="54" t="s">
        <v>238</v>
      </c>
      <c r="O18" s="55"/>
      <c r="P18" s="55"/>
      <c r="U18" s="2">
        <v>14</v>
      </c>
      <c r="V18" s="2">
        <f t="shared" si="7"/>
        <v>0.98822021484375</v>
      </c>
      <c r="W18" s="2">
        <f t="shared" si="0"/>
        <v>1.7381457853682392E-5</v>
      </c>
      <c r="X18" s="2">
        <f t="shared" si="8"/>
        <v>0.98828125</v>
      </c>
      <c r="Y18" s="2">
        <f t="shared" si="1"/>
        <v>-4.823000047282644E-5</v>
      </c>
      <c r="Z18" s="2">
        <f t="shared" si="3"/>
        <v>0.988250732421875</v>
      </c>
      <c r="AA18" s="2">
        <f t="shared" si="2"/>
        <v>-1.5424341279657305E-5</v>
      </c>
      <c r="AB18" s="2">
        <f t="shared" si="4"/>
        <v>-2.6809753787317698E-10</v>
      </c>
      <c r="AC18" s="2">
        <f t="shared" si="5"/>
        <v>7.4391598721090825E-10</v>
      </c>
      <c r="AD18" s="2">
        <f t="shared" si="6"/>
        <v>6.103515625E-5</v>
      </c>
      <c r="AF18" s="2">
        <v>14</v>
      </c>
      <c r="AG18" s="2">
        <f t="shared" si="13"/>
        <v>3387.939453125</v>
      </c>
      <c r="AH18" s="2">
        <v>-1.9042354175326182E-2</v>
      </c>
      <c r="AI18" s="2">
        <f t="shared" si="14"/>
        <v>3388.3056640625</v>
      </c>
      <c r="AJ18" s="2">
        <v>1.3712131524243887E-2</v>
      </c>
      <c r="AK18" s="2">
        <f t="shared" si="9"/>
        <v>3388.12255859375</v>
      </c>
      <c r="AL18" s="2">
        <v>-2.6626491999195423E-3</v>
      </c>
      <c r="AM18" s="2">
        <f t="shared" si="10"/>
        <v>5.070310910951681E-5</v>
      </c>
      <c r="AN18" s="2">
        <f t="shared" si="11"/>
        <v>-3.6510596032219519E-5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0.17399500798582096</v>
      </c>
      <c r="J19" s="13" t="s">
        <v>80</v>
      </c>
      <c r="K19" s="6">
        <f xml:space="preserve"> $C$78 * (0.1149 * K4 + 0.1149 * K6)</f>
        <v>129.03140889737537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0.98822021484375</v>
      </c>
      <c r="W19" s="2">
        <f t="shared" si="0"/>
        <v>1.7381457853682392E-5</v>
      </c>
      <c r="X19" s="2">
        <f t="shared" si="8"/>
        <v>0.988250732421875</v>
      </c>
      <c r="Y19" s="2">
        <f t="shared" si="1"/>
        <v>-1.5424341279657305E-5</v>
      </c>
      <c r="Z19" s="2">
        <f t="shared" si="3"/>
        <v>0.9882354736328125</v>
      </c>
      <c r="AA19" s="2">
        <f t="shared" si="2"/>
        <v>9.7854079361692214E-7</v>
      </c>
      <c r="AB19" s="2">
        <f t="shared" si="4"/>
        <v>1.7008465562361451E-11</v>
      </c>
      <c r="AC19" s="2">
        <f t="shared" si="5"/>
        <v>-1.5093347156814112E-11</v>
      </c>
      <c r="AD19" s="2">
        <f t="shared" si="6"/>
        <v>3.0517578125E-5</v>
      </c>
      <c r="AF19" s="2">
        <v>15</v>
      </c>
      <c r="AG19" s="2">
        <f t="shared" si="13"/>
        <v>3388.12255859375</v>
      </c>
      <c r="AH19" s="2">
        <v>-2.6626491999195423E-3</v>
      </c>
      <c r="AI19" s="2">
        <f t="shared" si="14"/>
        <v>3388.3056640625</v>
      </c>
      <c r="AJ19" s="2">
        <v>1.3712131524243887E-2</v>
      </c>
      <c r="AK19" s="2">
        <f t="shared" si="9"/>
        <v>3388.214111328125</v>
      </c>
      <c r="AL19" s="2">
        <v>5.5253566965802747E-3</v>
      </c>
      <c r="AM19" s="2">
        <f t="shared" si="10"/>
        <v>-1.4712086587419554E-5</v>
      </c>
      <c r="AN19" s="2">
        <f t="shared" si="11"/>
        <v>7.5764417741870448E-5</v>
      </c>
      <c r="AO19" s="2">
        <f t="shared" si="12"/>
        <v>0.18310546875</v>
      </c>
    </row>
    <row r="20" spans="2:41" x14ac:dyDescent="0.2">
      <c r="B20" s="58" t="s">
        <v>115</v>
      </c>
      <c r="C20" s="58"/>
      <c r="D20" s="58"/>
      <c r="F20" s="44" t="s">
        <v>225</v>
      </c>
      <c r="G20" s="43">
        <f xml:space="preserve"> $C$28 * G17</f>
        <v>145.05575492803706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228.69685493417455</v>
      </c>
      <c r="L20" s="6" t="s">
        <v>7</v>
      </c>
      <c r="N20" s="6" t="s">
        <v>21</v>
      </c>
      <c r="O20" s="6">
        <f xml:space="preserve"> O14 / $C$28</f>
        <v>2613.958029196333</v>
      </c>
      <c r="P20" s="6" t="s">
        <v>22</v>
      </c>
      <c r="U20" s="2">
        <v>16</v>
      </c>
      <c r="V20" s="2">
        <f t="shared" si="7"/>
        <v>0.9882354736328125</v>
      </c>
      <c r="W20" s="2">
        <f t="shared" si="0"/>
        <v>9.7854079361692214E-7</v>
      </c>
      <c r="X20" s="2">
        <f t="shared" si="8"/>
        <v>0.988250732421875</v>
      </c>
      <c r="Y20" s="2">
        <f t="shared" si="1"/>
        <v>-1.5424341279657305E-5</v>
      </c>
      <c r="Z20" s="2">
        <f t="shared" si="3"/>
        <v>0.98824310302734375</v>
      </c>
      <c r="AA20" s="2">
        <f t="shared" si="2"/>
        <v>-7.2229046161886856E-6</v>
      </c>
      <c r="AB20" s="2">
        <f t="shared" si="4"/>
        <v>-7.0679068153446072E-12</v>
      </c>
      <c r="AC20" s="2">
        <f t="shared" si="5"/>
        <v>1.1140854583050645E-10</v>
      </c>
      <c r="AD20" s="2">
        <f t="shared" si="6"/>
        <v>1.52587890625E-5</v>
      </c>
      <c r="AF20" s="2">
        <v>16</v>
      </c>
      <c r="AG20" s="2">
        <f t="shared" si="13"/>
        <v>3388.12255859375</v>
      </c>
      <c r="AH20" s="2">
        <v>-2.6626491999195423E-3</v>
      </c>
      <c r="AI20" s="2">
        <f t="shared" si="14"/>
        <v>3388.214111328125</v>
      </c>
      <c r="AJ20" s="2">
        <v>5.5253566965802747E-3</v>
      </c>
      <c r="AK20" s="2">
        <f t="shared" si="9"/>
        <v>3388.1683349609375</v>
      </c>
      <c r="AL20" s="2">
        <v>1.4315076314233011E-3</v>
      </c>
      <c r="AM20" s="2">
        <f t="shared" si="10"/>
        <v>-3.8116026494879717E-6</v>
      </c>
      <c r="AN20" s="2">
        <f t="shared" si="11"/>
        <v>7.9095902774905047E-6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88.091960529434814</v>
      </c>
      <c r="L21" s="6" t="s">
        <v>7</v>
      </c>
      <c r="N21" s="6" t="s">
        <v>29</v>
      </c>
      <c r="O21" s="6">
        <f>$C$6*2*PI()/60</f>
        <v>39.793506945470718</v>
      </c>
      <c r="P21" s="6" t="s">
        <v>30</v>
      </c>
      <c r="U21" s="2">
        <v>17</v>
      </c>
      <c r="V21" s="2">
        <f t="shared" si="7"/>
        <v>0.9882354736328125</v>
      </c>
      <c r="W21" s="2">
        <f t="shared" si="0"/>
        <v>9.7854079361692214E-7</v>
      </c>
      <c r="X21" s="2">
        <f t="shared" si="8"/>
        <v>0.98824310302734375</v>
      </c>
      <c r="Y21" s="2">
        <f t="shared" si="1"/>
        <v>-7.2229046161886856E-6</v>
      </c>
      <c r="Z21" s="2">
        <f t="shared" si="3"/>
        <v>0.98823928833007812</v>
      </c>
      <c r="AA21" s="2">
        <f t="shared" si="2"/>
        <v>-3.1221830045780052E-6</v>
      </c>
      <c r="AB21" s="2">
        <f t="shared" si="4"/>
        <v>-3.0551834351170278E-12</v>
      </c>
      <c r="AC21" s="2">
        <f t="shared" si="5"/>
        <v>2.2551230036352334E-11</v>
      </c>
      <c r="AD21" s="2">
        <f t="shared" si="6"/>
        <v>7.62939453125E-6</v>
      </c>
      <c r="AF21" s="2">
        <v>17</v>
      </c>
      <c r="AG21" s="2">
        <f t="shared" si="13"/>
        <v>3388.12255859375</v>
      </c>
      <c r="AH21" s="2">
        <v>-2.6626491999195423E-3</v>
      </c>
      <c r="AI21" s="2">
        <f t="shared" si="14"/>
        <v>3388.1683349609375</v>
      </c>
      <c r="AJ21" s="2">
        <v>1.4315076314233011E-3</v>
      </c>
      <c r="AK21" s="2">
        <f t="shared" si="9"/>
        <v>3388.1454467773438</v>
      </c>
      <c r="AL21" s="2">
        <v>-6.150550680104061E-4</v>
      </c>
      <c r="AM21" s="2">
        <f t="shared" si="10"/>
        <v>1.6376758847443675E-6</v>
      </c>
      <c r="AN21" s="2">
        <f t="shared" si="11"/>
        <v>-8.8045602360247379E-7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8" t="s">
        <v>84</v>
      </c>
      <c r="G22" s="58"/>
      <c r="H22" s="58"/>
      <c r="J22" s="14" t="s">
        <v>241</v>
      </c>
      <c r="K22" s="6">
        <f xml:space="preserve"> $C$79 * (0.04674 * ($C$5*2.20462)^0.397 * ($C$12*3.28084^2)^0.36 * $C$46^0.397 * $C$13^1.712 * 0.453592)</f>
        <v>440.55316560782489</v>
      </c>
      <c r="L22" s="6" t="s">
        <v>7</v>
      </c>
      <c r="N22" s="6" t="s">
        <v>31</v>
      </c>
      <c r="O22" s="6">
        <f xml:space="preserve"> $C$7 * COS(O19/180*PI()) / (O21 * $C$10)</f>
        <v>7.9934310087219157E-2</v>
      </c>
      <c r="U22" s="2">
        <v>18</v>
      </c>
      <c r="V22" s="2">
        <f t="shared" si="7"/>
        <v>0.9882354736328125</v>
      </c>
      <c r="W22" s="2">
        <f t="shared" si="0"/>
        <v>9.7854079361692214E-7</v>
      </c>
      <c r="X22" s="2">
        <f t="shared" si="8"/>
        <v>0.98823928833007812</v>
      </c>
      <c r="Y22" s="2">
        <f t="shared" si="1"/>
        <v>-3.1221830045780052E-6</v>
      </c>
      <c r="Z22" s="2">
        <f t="shared" si="3"/>
        <v>0.98823738098144531</v>
      </c>
      <c r="AA22" s="2">
        <f t="shared" si="2"/>
        <v>-1.0718213787619391E-6</v>
      </c>
      <c r="AB22" s="2">
        <f t="shared" si="4"/>
        <v>-1.0488209425892916E-12</v>
      </c>
      <c r="AC22" s="2">
        <f t="shared" si="5"/>
        <v>3.3464224927138911E-12</v>
      </c>
      <c r="AD22" s="2">
        <f t="shared" si="6"/>
        <v>3.814697265625E-6</v>
      </c>
      <c r="AF22" s="2">
        <v>18</v>
      </c>
      <c r="AG22" s="2">
        <f t="shared" si="13"/>
        <v>3388.1454467773438</v>
      </c>
      <c r="AH22" s="2">
        <v>-6.150550680104061E-4</v>
      </c>
      <c r="AI22" s="2">
        <f t="shared" si="14"/>
        <v>3388.1683349609375</v>
      </c>
      <c r="AJ22" s="2">
        <v>1.4315076314233011E-3</v>
      </c>
      <c r="AK22" s="2">
        <f t="shared" si="9"/>
        <v>3388.1568908691406</v>
      </c>
      <c r="AL22" s="2">
        <v>4.0775865318209981E-4</v>
      </c>
      <c r="AM22" s="2">
        <f t="shared" si="10"/>
        <v>-2.5079402616474799E-7</v>
      </c>
      <c r="AN22" s="2">
        <f t="shared" si="11"/>
        <v>5.8370962380906299E-7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36.407467994348195</v>
      </c>
      <c r="L23" s="6" t="s">
        <v>7</v>
      </c>
      <c r="N23" s="6" t="s">
        <v>32</v>
      </c>
      <c r="O23" s="6">
        <f xml:space="preserve"> O20 / ( $C$71 * PI() * $C$10^2 * O21^2 * $C$10^2)</f>
        <v>0.14789277957269006</v>
      </c>
      <c r="U23" s="2">
        <v>19</v>
      </c>
      <c r="V23" s="2">
        <f t="shared" si="7"/>
        <v>0.9882354736328125</v>
      </c>
      <c r="W23" s="2">
        <f t="shared" si="0"/>
        <v>9.7854079361692214E-7</v>
      </c>
      <c r="X23" s="2">
        <f t="shared" si="8"/>
        <v>0.98823738098144531</v>
      </c>
      <c r="Y23" s="2">
        <f t="shared" si="1"/>
        <v>-1.0718213787619391E-6</v>
      </c>
      <c r="Z23" s="2">
        <f t="shared" si="3"/>
        <v>0.98823642730712891</v>
      </c>
      <c r="AA23" s="2">
        <f t="shared" si="2"/>
        <v>-4.6640360906735623E-8</v>
      </c>
      <c r="AB23" s="2">
        <f t="shared" si="4"/>
        <v>-4.5639495776256749E-14</v>
      </c>
      <c r="AC23" s="2">
        <f t="shared" si="5"/>
        <v>4.9990135933011817E-14</v>
      </c>
      <c r="AD23" s="2">
        <f t="shared" si="6"/>
        <v>1.9073486328125E-6</v>
      </c>
      <c r="AF23" s="2">
        <v>19</v>
      </c>
      <c r="AG23" s="2">
        <f t="shared" si="13"/>
        <v>3388.1454467773438</v>
      </c>
      <c r="AH23" s="2">
        <v>-6.150550680104061E-4</v>
      </c>
      <c r="AI23" s="2">
        <f t="shared" si="14"/>
        <v>3388.1568908691406</v>
      </c>
      <c r="AJ23" s="2">
        <v>4.0775865318209981E-4</v>
      </c>
      <c r="AK23" s="2">
        <f t="shared" si="9"/>
        <v>3388.1511688232422</v>
      </c>
      <c r="AL23" s="2">
        <v>-1.0316855605196906E-4</v>
      </c>
      <c r="AM23" s="2">
        <f t="shared" si="10"/>
        <v>6.3454343259079222E-8</v>
      </c>
      <c r="AN23" s="2">
        <f t="shared" si="11"/>
        <v>-4.2067871466492879E-8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11.067367372780106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0.9882354736328125</v>
      </c>
      <c r="W24" s="2">
        <f t="shared" si="0"/>
        <v>9.7854079361692214E-7</v>
      </c>
      <c r="X24" s="2">
        <f t="shared" si="8"/>
        <v>0.98823642730712891</v>
      </c>
      <c r="Y24" s="2">
        <f t="shared" si="1"/>
        <v>-4.6640360906735623E-8</v>
      </c>
      <c r="Z24" s="2">
        <f t="shared" si="3"/>
        <v>0.9882359504699707</v>
      </c>
      <c r="AA24" s="2">
        <f t="shared" si="2"/>
        <v>4.6595019931316983E-7</v>
      </c>
      <c r="AB24" s="2">
        <f t="shared" si="4"/>
        <v>4.5595127782187225E-13</v>
      </c>
      <c r="AC24" s="2">
        <f t="shared" si="5"/>
        <v>-2.1732085460531638E-14</v>
      </c>
      <c r="AD24" s="2">
        <f t="shared" si="6"/>
        <v>9.5367431640625E-7</v>
      </c>
      <c r="AF24" s="2">
        <v>20</v>
      </c>
      <c r="AG24" s="2">
        <f t="shared" si="13"/>
        <v>3388.1511688232422</v>
      </c>
      <c r="AH24" s="2">
        <v>-1.0316855605196906E-4</v>
      </c>
      <c r="AI24" s="2">
        <f t="shared" si="14"/>
        <v>3388.1568908691406</v>
      </c>
      <c r="AJ24" s="2">
        <v>4.0775865318209981E-4</v>
      </c>
      <c r="AK24" s="2">
        <f t="shared" si="9"/>
        <v>3388.1540298461914</v>
      </c>
      <c r="AL24" s="2">
        <v>1.5181840262812329E-4</v>
      </c>
      <c r="AM24" s="2">
        <f t="shared" si="10"/>
        <v>-1.5662885381259945E-8</v>
      </c>
      <c r="AN24" s="2">
        <f t="shared" si="11"/>
        <v>6.1905267383901312E-8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53.872666251647466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938.23155934791282</v>
      </c>
      <c r="P25" s="6" t="s">
        <v>20</v>
      </c>
      <c r="U25" s="2">
        <v>21</v>
      </c>
      <c r="V25" s="2">
        <f t="shared" si="7"/>
        <v>0.9882359504699707</v>
      </c>
      <c r="W25" s="2">
        <f t="shared" si="0"/>
        <v>4.6595019931316983E-7</v>
      </c>
      <c r="X25" s="2">
        <f t="shared" si="8"/>
        <v>0.98823642730712891</v>
      </c>
      <c r="Y25" s="2">
        <f t="shared" si="1"/>
        <v>-4.6640360906735623E-8</v>
      </c>
      <c r="Z25" s="2">
        <f t="shared" si="3"/>
        <v>0.9882361888885498</v>
      </c>
      <c r="AA25" s="2">
        <f t="shared" si="2"/>
        <v>2.0965491498436961E-7</v>
      </c>
      <c r="AB25" s="2">
        <f t="shared" si="4"/>
        <v>9.7688749423952697E-14</v>
      </c>
      <c r="AC25" s="2">
        <f t="shared" si="5"/>
        <v>-9.7783809007419726E-15</v>
      </c>
      <c r="AD25" s="2">
        <f t="shared" si="6"/>
        <v>4.76837158203125E-7</v>
      </c>
      <c r="AF25" s="2">
        <v>21</v>
      </c>
      <c r="AG25" s="2">
        <f t="shared" si="13"/>
        <v>3388.1511688232422</v>
      </c>
      <c r="AH25" s="2">
        <v>-1.0316855605196906E-4</v>
      </c>
      <c r="AI25" s="2">
        <f t="shared" si="14"/>
        <v>3388.1540298461914</v>
      </c>
      <c r="AJ25" s="2">
        <v>1.5181840262812329E-4</v>
      </c>
      <c r="AK25" s="2">
        <f t="shared" si="9"/>
        <v>3388.1525993347168</v>
      </c>
      <c r="AL25" s="2">
        <v>2.4325074718944961E-5</v>
      </c>
      <c r="AM25" s="2">
        <f t="shared" si="10"/>
        <v>-2.5095828346098088E-9</v>
      </c>
      <c r="AN25" s="2">
        <f t="shared" si="11"/>
        <v>3.6929939876399692E-9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4151.1181502432037</v>
      </c>
      <c r="H26" s="6" t="s">
        <v>22</v>
      </c>
      <c r="J26" s="15" t="s">
        <v>67</v>
      </c>
      <c r="K26" s="6">
        <f xml:space="preserve"> $C$80 * (0.0268 * $C$5)</f>
        <v>72.641985913503163</v>
      </c>
      <c r="L26" s="6" t="s">
        <v>7</v>
      </c>
      <c r="N26" s="6" t="s">
        <v>34</v>
      </c>
      <c r="O26" s="18">
        <f>Z34</f>
        <v>0.98823638400062919</v>
      </c>
      <c r="U26" s="2">
        <v>22</v>
      </c>
      <c r="V26" s="2">
        <f t="shared" si="7"/>
        <v>0.9882361888885498</v>
      </c>
      <c r="W26" s="2">
        <f t="shared" si="0"/>
        <v>2.0965491498436961E-7</v>
      </c>
      <c r="X26" s="2">
        <f t="shared" si="8"/>
        <v>0.98823642730712891</v>
      </c>
      <c r="Y26" s="2">
        <f t="shared" si="1"/>
        <v>-4.6640360906735623E-8</v>
      </c>
      <c r="Z26" s="2">
        <f t="shared" si="3"/>
        <v>0.98823630809783936</v>
      </c>
      <c r="AA26" s="2">
        <f t="shared" si="2"/>
        <v>8.150727592859397E-8</v>
      </c>
      <c r="AB26" s="2">
        <f t="shared" si="4"/>
        <v>1.7088401005416925E-14</v>
      </c>
      <c r="AC26" s="2">
        <f t="shared" si="5"/>
        <v>-3.8015287658345078E-15</v>
      </c>
      <c r="AD26" s="2">
        <f t="shared" si="6"/>
        <v>2.384185791015625E-7</v>
      </c>
      <c r="AF26" s="2">
        <v>22</v>
      </c>
      <c r="AG26" s="2">
        <f t="shared" si="13"/>
        <v>3388.1511688232422</v>
      </c>
      <c r="AH26" s="2">
        <v>-1.0316855605196906E-4</v>
      </c>
      <c r="AI26" s="2">
        <f t="shared" si="14"/>
        <v>3388.1525993347168</v>
      </c>
      <c r="AJ26" s="2">
        <v>2.4325074718944961E-5</v>
      </c>
      <c r="AK26" s="2">
        <f t="shared" si="9"/>
        <v>3388.1518840789795</v>
      </c>
      <c r="AL26" s="2">
        <v>-3.9898950490169227E-5</v>
      </c>
      <c r="AM26" s="2">
        <f t="shared" si="10"/>
        <v>4.1163171100597624E-9</v>
      </c>
      <c r="AN26" s="2">
        <f t="shared" si="11"/>
        <v>-9.7054495188085213E-10</v>
      </c>
      <c r="AO26" s="2">
        <f t="shared" si="12"/>
        <v>1.430511474609375E-3</v>
      </c>
    </row>
    <row r="27" spans="2:41" x14ac:dyDescent="0.2">
      <c r="B27" s="58" t="s">
        <v>243</v>
      </c>
      <c r="C27" s="58"/>
      <c r="D27" s="58"/>
      <c r="F27" t="s">
        <v>100</v>
      </c>
      <c r="G27" s="6">
        <f>G29/$C$21</f>
        <v>91.547336099256086</v>
      </c>
      <c r="H27" t="s">
        <v>104</v>
      </c>
      <c r="J27" s="15" t="s">
        <v>68</v>
      </c>
      <c r="K27" s="6">
        <f xml:space="preserve"> $C$80 * (11.5 * ($C$5*2.20462/1000)^0.4 * 0.453592)</f>
        <v>9.327642270137714</v>
      </c>
      <c r="L27" s="6" t="s">
        <v>7</v>
      </c>
      <c r="N27" s="6" t="s">
        <v>35</v>
      </c>
      <c r="O27" s="6">
        <f xml:space="preserve"> O21 * $C$10 * O26 - $C$7 * SIN(O19/180*PI())</f>
        <v>4.0660513277921169</v>
      </c>
      <c r="P27" s="6" t="s">
        <v>10</v>
      </c>
      <c r="U27" s="2">
        <v>23</v>
      </c>
      <c r="V27" s="2">
        <f t="shared" si="7"/>
        <v>0.98823630809783936</v>
      </c>
      <c r="W27" s="2">
        <f t="shared" si="0"/>
        <v>8.150727592859397E-8</v>
      </c>
      <c r="X27" s="2">
        <f t="shared" si="8"/>
        <v>0.98823642730712891</v>
      </c>
      <c r="Y27" s="2">
        <f t="shared" si="1"/>
        <v>-4.6640360906735623E-8</v>
      </c>
      <c r="Z27" s="2">
        <f t="shared" si="3"/>
        <v>0.98823636770248413</v>
      </c>
      <c r="AA27" s="2">
        <f t="shared" si="2"/>
        <v>1.7433457233373417E-8</v>
      </c>
      <c r="AB27" s="2">
        <f t="shared" si="4"/>
        <v>1.4209536091099096E-15</v>
      </c>
      <c r="AC27" s="2">
        <f t="shared" si="5"/>
        <v>-8.131027372166769E-16</v>
      </c>
      <c r="AD27" s="2">
        <f t="shared" si="6"/>
        <v>1.1920928955078125E-7</v>
      </c>
      <c r="AF27" s="2">
        <v>23</v>
      </c>
      <c r="AG27" s="2">
        <f t="shared" si="13"/>
        <v>3388.1518840789795</v>
      </c>
      <c r="AH27" s="2">
        <v>-3.9898950490169227E-5</v>
      </c>
      <c r="AI27" s="2">
        <f t="shared" si="14"/>
        <v>3388.1525993347168</v>
      </c>
      <c r="AJ27" s="2">
        <v>2.4325074718944961E-5</v>
      </c>
      <c r="AK27" s="2">
        <f t="shared" si="9"/>
        <v>3388.1522417068481</v>
      </c>
      <c r="AL27" s="2">
        <v>-7.3096816777251661E-6</v>
      </c>
      <c r="AM27" s="2">
        <f t="shared" si="10"/>
        <v>2.9164862735845353E-10</v>
      </c>
      <c r="AN27" s="2">
        <f t="shared" si="11"/>
        <v>-1.7780855298236763E-10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4.6262300909304068</v>
      </c>
      <c r="H28" s="6" t="s">
        <v>275</v>
      </c>
      <c r="J28" s="15" t="s">
        <v>69</v>
      </c>
      <c r="K28" s="6">
        <f xml:space="preserve"> $C$80 * (8 * ($C$5/1000))</f>
        <v>21.684174899553184</v>
      </c>
      <c r="L28" s="6" t="s">
        <v>7</v>
      </c>
      <c r="N28" s="6" t="s">
        <v>36</v>
      </c>
      <c r="O28" s="6">
        <f xml:space="preserve"> 1/$C$31 - O25 * SQRT( (2*$C$71*PI()*$C$10^2) / O20^3 )</f>
        <v>1.3091219191316168</v>
      </c>
      <c r="U28" s="2">
        <v>24</v>
      </c>
      <c r="V28" s="2">
        <f t="shared" si="7"/>
        <v>0.98823636770248413</v>
      </c>
      <c r="W28" s="2">
        <f t="shared" si="0"/>
        <v>1.7433457233373417E-8</v>
      </c>
      <c r="X28" s="2">
        <f t="shared" si="8"/>
        <v>0.98823642730712891</v>
      </c>
      <c r="Y28" s="2">
        <f t="shared" si="1"/>
        <v>-4.6640360906735623E-8</v>
      </c>
      <c r="Z28" s="2">
        <f t="shared" si="3"/>
        <v>0.98823639750480652</v>
      </c>
      <c r="AA28" s="2">
        <f t="shared" si="2"/>
        <v>-1.4603451892192254E-8</v>
      </c>
      <c r="AB28" s="2">
        <f t="shared" si="4"/>
        <v>-2.5458865402215978E-16</v>
      </c>
      <c r="AC28" s="2">
        <f t="shared" si="5"/>
        <v>6.8111026673599796E-16</v>
      </c>
      <c r="AD28" s="2">
        <f t="shared" si="6"/>
        <v>5.9604644775390625E-8</v>
      </c>
      <c r="AF28" s="2">
        <v>24</v>
      </c>
      <c r="AG28" s="2">
        <f t="shared" si="13"/>
        <v>3388.1522417068481</v>
      </c>
      <c r="AH28" s="2">
        <v>-7.3096816777251661E-6</v>
      </c>
      <c r="AI28" s="2">
        <f t="shared" si="14"/>
        <v>3388.1525993347168</v>
      </c>
      <c r="AJ28" s="2">
        <v>2.4325074718944961E-5</v>
      </c>
      <c r="AK28" s="2">
        <f t="shared" si="9"/>
        <v>3388.1524205207825</v>
      </c>
      <c r="AL28" s="2">
        <v>8.0304516814067028E-6</v>
      </c>
      <c r="AM28" s="2">
        <f t="shared" si="10"/>
        <v>-5.8700045519435829E-11</v>
      </c>
      <c r="AN28" s="2">
        <f t="shared" si="11"/>
        <v>1.9534133717709524E-10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732.37868879404868</v>
      </c>
      <c r="H29" s="43" t="s">
        <v>104</v>
      </c>
      <c r="J29" s="15" t="s">
        <v>70</v>
      </c>
      <c r="K29" s="6">
        <f xml:space="preserve"> $C$80 * (13 * ($C$5*2.20462/1000)^1.3 * 0.453592)</f>
        <v>64.414612310496537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0.98823636770248413</v>
      </c>
      <c r="W29" s="2">
        <f t="shared" si="0"/>
        <v>1.7433457233373417E-8</v>
      </c>
      <c r="X29" s="2">
        <f t="shared" si="8"/>
        <v>0.98823639750480652</v>
      </c>
      <c r="Y29" s="2">
        <f t="shared" si="1"/>
        <v>-1.4603451892192254E-8</v>
      </c>
      <c r="Z29" s="2">
        <f t="shared" si="3"/>
        <v>0.98823638260364532</v>
      </c>
      <c r="AA29" s="2">
        <f t="shared" si="2"/>
        <v>1.4150026705905816E-9</v>
      </c>
      <c r="AB29" s="2">
        <f t="shared" si="4"/>
        <v>2.4668388542850078E-17</v>
      </c>
      <c r="AC29" s="2">
        <f t="shared" si="5"/>
        <v>-2.0663923427293122E-17</v>
      </c>
      <c r="AD29" s="2">
        <f t="shared" si="6"/>
        <v>2.9802322387695312E-8</v>
      </c>
      <c r="AF29" s="2">
        <v>25</v>
      </c>
      <c r="AG29" s="2">
        <f t="shared" si="13"/>
        <v>3388.1522417068481</v>
      </c>
      <c r="AH29" s="2">
        <v>-7.3096816777251661E-6</v>
      </c>
      <c r="AI29" s="2">
        <f t="shared" si="14"/>
        <v>3388.1524205207825</v>
      </c>
      <c r="AJ29" s="2">
        <v>8.0304516814067028E-6</v>
      </c>
      <c r="AK29" s="2">
        <f t="shared" si="9"/>
        <v>3388.1523311138153</v>
      </c>
      <c r="AL29" s="2">
        <v>3.6038591133547015E-7</v>
      </c>
      <c r="AM29" s="2">
        <f t="shared" si="10"/>
        <v>-2.6343062929991724E-12</v>
      </c>
      <c r="AN29" s="2">
        <f t="shared" si="11"/>
        <v>2.8940616476392132E-12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3.1377567211166024E-11</v>
      </c>
      <c r="L30" s="10" t="s">
        <v>7</v>
      </c>
      <c r="N30" s="6" t="s">
        <v>38</v>
      </c>
      <c r="O30" s="6">
        <f xml:space="preserve"> 1/$C$77 * LN( EXP($C$77 * O28) + EXP($C$77 * O29) )</f>
        <v>1.3094023832204646</v>
      </c>
      <c r="U30" s="2">
        <v>26</v>
      </c>
      <c r="V30" s="2">
        <f>IF(AB29&gt;0, Z29, V29)</f>
        <v>0.98823638260364532</v>
      </c>
      <c r="W30" s="2">
        <f t="shared" si="0"/>
        <v>1.4150026705905816E-9</v>
      </c>
      <c r="X30" s="2">
        <f t="shared" si="8"/>
        <v>0.98823639750480652</v>
      </c>
      <c r="Y30" s="2">
        <f t="shared" si="1"/>
        <v>-1.4603451892192254E-8</v>
      </c>
      <c r="Z30" s="2">
        <f t="shared" si="3"/>
        <v>0.98823639005422592</v>
      </c>
      <c r="AA30" s="2">
        <f t="shared" si="2"/>
        <v>-6.5942246108008362E-9</v>
      </c>
      <c r="AB30" s="2">
        <f t="shared" si="4"/>
        <v>-9.3308454347573218E-18</v>
      </c>
      <c r="AC30" s="2">
        <f t="shared" si="5"/>
        <v>9.6298441870140202E-17</v>
      </c>
      <c r="AD30" s="2">
        <f t="shared" si="6"/>
        <v>1.4901161193847656E-8</v>
      </c>
      <c r="AF30" s="2">
        <v>26</v>
      </c>
      <c r="AG30" s="2">
        <f t="shared" si="13"/>
        <v>3388.1522417068481</v>
      </c>
      <c r="AH30" s="2">
        <v>-7.3096816777251661E-6</v>
      </c>
      <c r="AI30" s="2">
        <f t="shared" si="14"/>
        <v>3388.1523311138153</v>
      </c>
      <c r="AJ30" s="2">
        <v>3.6038591133547015E-7</v>
      </c>
      <c r="AK30" s="2">
        <f t="shared" si="9"/>
        <v>3388.1522864103317</v>
      </c>
      <c r="AL30" s="2">
        <v>-3.9518936318927445E-6</v>
      </c>
      <c r="AM30" s="2">
        <f t="shared" si="10"/>
        <v>2.8887084473365156E-11</v>
      </c>
      <c r="AN30" s="2">
        <f t="shared" si="11"/>
        <v>-1.4242067880305077E-12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4" t="s">
        <v>289</v>
      </c>
      <c r="G31" s="57"/>
      <c r="H31" s="57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0.98823638260364532</v>
      </c>
      <c r="W31" s="2">
        <f t="shared" si="0"/>
        <v>1.4150026705905816E-9</v>
      </c>
      <c r="X31" s="2">
        <f t="shared" si="8"/>
        <v>0.98823639005422592</v>
      </c>
      <c r="Y31" s="2">
        <f t="shared" si="1"/>
        <v>-6.5942246108008362E-9</v>
      </c>
      <c r="Z31" s="2">
        <f t="shared" si="3"/>
        <v>0.98823638632893562</v>
      </c>
      <c r="AA31" s="2">
        <f t="shared" si="2"/>
        <v>-2.5896109701051273E-9</v>
      </c>
      <c r="AB31" s="2">
        <f t="shared" si="4"/>
        <v>-3.6643064384894219E-18</v>
      </c>
      <c r="AC31" s="2">
        <f t="shared" si="5"/>
        <v>1.7076476391467059E-17</v>
      </c>
      <c r="AD31" s="2">
        <f t="shared" si="6"/>
        <v>7.4505805969238281E-9</v>
      </c>
      <c r="AF31" s="2">
        <v>27</v>
      </c>
      <c r="AG31" s="2">
        <f t="shared" si="13"/>
        <v>3388.1522864103317</v>
      </c>
      <c r="AH31" s="2">
        <v>-3.9518936318927445E-6</v>
      </c>
      <c r="AI31" s="2">
        <f t="shared" si="14"/>
        <v>3388.1523311138153</v>
      </c>
      <c r="AJ31" s="2">
        <v>3.6038591133547015E-7</v>
      </c>
      <c r="AK31" s="2">
        <f t="shared" si="9"/>
        <v>3388.1523087620735</v>
      </c>
      <c r="AL31" s="2">
        <v>-1.3185076568333898E-6</v>
      </c>
      <c r="AM31" s="2">
        <f t="shared" si="10"/>
        <v>5.2106020126416971E-12</v>
      </c>
      <c r="AN31" s="2">
        <f t="shared" si="11"/>
        <v>-4.7517158351069652E-13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0.98823638260364532</v>
      </c>
      <c r="W32" s="2">
        <f t="shared" si="0"/>
        <v>1.4150026705905816E-9</v>
      </c>
      <c r="X32" s="2">
        <f t="shared" si="8"/>
        <v>0.98823638632893562</v>
      </c>
      <c r="Y32" s="2">
        <f t="shared" si="1"/>
        <v>-2.5896109701051273E-9</v>
      </c>
      <c r="Z32" s="2">
        <f t="shared" si="3"/>
        <v>0.98823638446629047</v>
      </c>
      <c r="AA32" s="2">
        <f t="shared" si="2"/>
        <v>-5.8730420526842408E-10</v>
      </c>
      <c r="AB32" s="2">
        <f t="shared" si="4"/>
        <v>-8.310370189038992E-19</v>
      </c>
      <c r="AC32" s="2">
        <f t="shared" si="5"/>
        <v>1.5208894127519845E-18</v>
      </c>
      <c r="AD32" s="2">
        <f t="shared" si="6"/>
        <v>3.7252902984619141E-9</v>
      </c>
      <c r="AF32" s="2">
        <v>28</v>
      </c>
      <c r="AG32" s="2">
        <f t="shared" si="13"/>
        <v>3388.1523087620735</v>
      </c>
      <c r="AH32" s="2">
        <v>-1.3185076568333898E-6</v>
      </c>
      <c r="AI32" s="2">
        <f t="shared" si="14"/>
        <v>3388.1523311138153</v>
      </c>
      <c r="AJ32" s="2">
        <v>3.6038591133547015E-7</v>
      </c>
      <c r="AK32" s="2">
        <f t="shared" si="9"/>
        <v>3388.1523199379444</v>
      </c>
      <c r="AL32" s="2">
        <v>-9.5630775831523351E-7</v>
      </c>
      <c r="AM32" s="2">
        <f t="shared" si="10"/>
        <v>1.2608991016278102E-12</v>
      </c>
      <c r="AN32" s="2">
        <f t="shared" si="11"/>
        <v>-3.4463984299761597E-13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145.05575492803706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0.98823638260364532</v>
      </c>
      <c r="W33" s="2">
        <f t="shared" si="0"/>
        <v>1.4150026705905816E-9</v>
      </c>
      <c r="X33" s="2">
        <f t="shared" si="8"/>
        <v>0.98823638446629047</v>
      </c>
      <c r="Y33" s="2">
        <f t="shared" si="1"/>
        <v>-5.8730420526842408E-10</v>
      </c>
      <c r="Z33" s="2">
        <f t="shared" si="3"/>
        <v>0.9882363835349679</v>
      </c>
      <c r="AA33" s="2">
        <f t="shared" si="2"/>
        <v>4.1384928817222999E-10</v>
      </c>
      <c r="AB33" s="2">
        <f t="shared" si="4"/>
        <v>5.8559784798571663E-19</v>
      </c>
      <c r="AC33" s="2">
        <f t="shared" si="5"/>
        <v>-2.4305542729089455E-19</v>
      </c>
      <c r="AD33" s="2">
        <f t="shared" si="6"/>
        <v>1.862645149230957E-9</v>
      </c>
      <c r="AF33" s="2">
        <v>29</v>
      </c>
      <c r="AG33" s="2">
        <f t="shared" si="13"/>
        <v>3388.1523199379444</v>
      </c>
      <c r="AH33" s="2">
        <v>-9.5630775831523351E-7</v>
      </c>
      <c r="AI33" s="2">
        <f t="shared" si="14"/>
        <v>3388.1523311138153</v>
      </c>
      <c r="AJ33" s="2">
        <v>3.6038591133547015E-7</v>
      </c>
      <c r="AK33" s="2">
        <f t="shared" si="9"/>
        <v>3388.1523255258799</v>
      </c>
      <c r="AL33" s="2">
        <v>-2.9796092348988168E-7</v>
      </c>
      <c r="AM33" s="2">
        <f t="shared" si="10"/>
        <v>2.8494234280814555E-13</v>
      </c>
      <c r="AN33" s="2">
        <f t="shared" si="11"/>
        <v>-1.0738091895425931E-13</v>
      </c>
      <c r="AO33" s="2">
        <f t="shared" si="12"/>
        <v>1.1175870895385742E-5</v>
      </c>
    </row>
    <row r="34" spans="2:41" x14ac:dyDescent="0.2">
      <c r="B34" s="58" t="s">
        <v>107</v>
      </c>
      <c r="C34" s="58"/>
      <c r="D34" s="58"/>
      <c r="J34" s="6" t="s">
        <v>60</v>
      </c>
      <c r="K34" s="6">
        <f>ROUND($C$16/$C$5 * 100, 2)</f>
        <v>17.71</v>
      </c>
      <c r="L34" s="6" t="s">
        <v>61</v>
      </c>
      <c r="U34" s="2">
        <v>30</v>
      </c>
      <c r="V34" s="2">
        <f t="shared" si="7"/>
        <v>0.9882363835349679</v>
      </c>
      <c r="W34" s="2">
        <f t="shared" si="0"/>
        <v>4.1384928817222999E-10</v>
      </c>
      <c r="X34" s="2">
        <f t="shared" si="8"/>
        <v>0.98823638446629047</v>
      </c>
      <c r="Y34" s="2">
        <f t="shared" si="1"/>
        <v>-5.8730420526842408E-10</v>
      </c>
      <c r="Z34" s="2">
        <f t="shared" si="3"/>
        <v>0.98823638400062919</v>
      </c>
      <c r="AA34" s="2">
        <f t="shared" si="2"/>
        <v>-8.6727514059248278E-11</v>
      </c>
      <c r="AB34" s="2">
        <f t="shared" si="4"/>
        <v>-3.5892119958366969E-20</v>
      </c>
      <c r="AC34" s="2">
        <f t="shared" si="5"/>
        <v>5.0935433719472887E-20</v>
      </c>
      <c r="AD34" s="2">
        <f t="shared" si="6"/>
        <v>9.3132257461547852E-10</v>
      </c>
      <c r="AF34" s="2">
        <v>30</v>
      </c>
      <c r="AG34" s="2">
        <f t="shared" si="13"/>
        <v>3388.1523255258799</v>
      </c>
      <c r="AH34" s="2">
        <v>-2.9796092348988168E-7</v>
      </c>
      <c r="AI34" s="2">
        <f t="shared" si="14"/>
        <v>3388.1523311138153</v>
      </c>
      <c r="AJ34" s="2">
        <v>3.6038591133547015E-7</v>
      </c>
      <c r="AK34" s="2">
        <f t="shared" si="9"/>
        <v>3388.1523283198476</v>
      </c>
      <c r="AL34" s="2">
        <v>3.1212493922794238E-8</v>
      </c>
      <c r="AM34" s="2">
        <f t="shared" si="10"/>
        <v>-9.3001035136580908E-15</v>
      </c>
      <c r="AN34" s="2">
        <f t="shared" si="11"/>
        <v>1.1248543067419025E-14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33.47</v>
      </c>
      <c r="L35" s="6" t="s">
        <v>61</v>
      </c>
      <c r="AF35" s="2">
        <v>31</v>
      </c>
      <c r="AG35" s="2">
        <f t="shared" si="13"/>
        <v>3388.1523255258799</v>
      </c>
      <c r="AH35" s="2">
        <v>-2.9796092348988168E-7</v>
      </c>
      <c r="AI35" s="2">
        <f t="shared" si="14"/>
        <v>3388.1523283198476</v>
      </c>
      <c r="AJ35" s="2">
        <v>3.1212493922794238E-8</v>
      </c>
      <c r="AK35" s="2">
        <f t="shared" si="9"/>
        <v>3388.1523269228637</v>
      </c>
      <c r="AL35" s="2">
        <v>-1.3337376003619283E-7</v>
      </c>
      <c r="AM35" s="2">
        <f t="shared" si="10"/>
        <v>3.9740168709701892E-14</v>
      </c>
      <c r="AN35" s="2">
        <f t="shared" si="11"/>
        <v>-4.1629276745898858E-15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18.52</v>
      </c>
      <c r="L36" s="6" t="s">
        <v>61</v>
      </c>
      <c r="AF36" s="2">
        <v>32</v>
      </c>
      <c r="AG36" s="2">
        <f t="shared" si="13"/>
        <v>3388.1523269228637</v>
      </c>
      <c r="AH36" s="2">
        <v>-1.3337376003619283E-7</v>
      </c>
      <c r="AI36" s="2">
        <f t="shared" si="14"/>
        <v>3388.1523283198476</v>
      </c>
      <c r="AJ36" s="2">
        <v>3.1212493922794238E-8</v>
      </c>
      <c r="AK36" s="2">
        <f t="shared" si="9"/>
        <v>3388.1523276213557</v>
      </c>
      <c r="AL36" s="2">
        <v>-5.1081315177725628E-8</v>
      </c>
      <c r="AM36" s="2">
        <f t="shared" si="10"/>
        <v>6.8129070728471128E-15</v>
      </c>
      <c r="AN36" s="2">
        <f t="shared" si="11"/>
        <v>-1.5943752395530982E-15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25.34</v>
      </c>
      <c r="L37" s="6" t="s">
        <v>61</v>
      </c>
      <c r="AF37" s="2">
        <v>33</v>
      </c>
      <c r="AG37" s="2">
        <f t="shared" si="13"/>
        <v>3388.1523276213557</v>
      </c>
      <c r="AH37" s="2">
        <v>-5.1081315177725628E-8</v>
      </c>
      <c r="AI37" s="2">
        <f t="shared" si="14"/>
        <v>3388.1523283198476</v>
      </c>
      <c r="AJ37" s="2">
        <v>3.1212493922794238E-8</v>
      </c>
      <c r="AK37" s="2">
        <f t="shared" si="9"/>
        <v>3388.1523279706016</v>
      </c>
      <c r="AL37" s="2">
        <v>-9.9339558801148087E-9</v>
      </c>
      <c r="AM37" s="2">
        <f t="shared" si="10"/>
        <v>5.0743953127376533E-16</v>
      </c>
      <c r="AN37" s="2">
        <f t="shared" si="11"/>
        <v>-3.1006353753738955E-16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4.96</v>
      </c>
      <c r="L38" s="6" t="s">
        <v>61</v>
      </c>
      <c r="AF38" s="2">
        <v>34</v>
      </c>
      <c r="AG38" s="2">
        <f t="shared" si="13"/>
        <v>3388.1523279706016</v>
      </c>
      <c r="AH38" s="2">
        <v>-9.9339558801148087E-9</v>
      </c>
      <c r="AI38" s="2">
        <f t="shared" si="14"/>
        <v>3388.1523283198476</v>
      </c>
      <c r="AJ38" s="2">
        <v>3.1212493922794238E-8</v>
      </c>
      <c r="AK38" s="2">
        <f t="shared" si="9"/>
        <v>3388.1523281452246</v>
      </c>
      <c r="AL38" s="2">
        <v>1.0638359526637942E-8</v>
      </c>
      <c r="AM38" s="2">
        <f t="shared" si="10"/>
        <v>-1.0568099417442037E-16</v>
      </c>
      <c r="AN38" s="2">
        <f t="shared" si="11"/>
        <v>3.3204973207368694E-16</v>
      </c>
      <c r="AO38" s="2">
        <f t="shared" si="12"/>
        <v>3.4924596548080444E-7</v>
      </c>
    </row>
    <row r="39" spans="2:41" x14ac:dyDescent="0.2">
      <c r="B39" s="58" t="s">
        <v>111</v>
      </c>
      <c r="C39" s="58"/>
      <c r="D39" s="58"/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13"/>
        <v>3388.1523279706016</v>
      </c>
      <c r="AH39" s="2">
        <v>-9.9339558801148087E-9</v>
      </c>
      <c r="AI39" s="2">
        <f t="shared" si="14"/>
        <v>3388.1523281452246</v>
      </c>
      <c r="AJ39" s="2">
        <v>1.0638359526637942E-8</v>
      </c>
      <c r="AK39" s="2">
        <f t="shared" si="9"/>
        <v>3388.1523280579131</v>
      </c>
      <c r="AL39" s="2">
        <v>3.5197444958612323E-10</v>
      </c>
      <c r="AM39" s="2">
        <f t="shared" si="10"/>
        <v>-3.4964986531162421E-18</v>
      </c>
      <c r="AN39" s="2">
        <f t="shared" si="11"/>
        <v>3.7444307388876799E-18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3388.1523279706016</v>
      </c>
      <c r="AH40" s="2">
        <v>-9.9339558801148087E-9</v>
      </c>
      <c r="AI40" s="2">
        <f t="shared" si="14"/>
        <v>3388.1523280579131</v>
      </c>
      <c r="AJ40" s="2">
        <v>3.5197444958612323E-10</v>
      </c>
      <c r="AK40" s="2">
        <f t="shared" si="9"/>
        <v>3388.1523280142574</v>
      </c>
      <c r="AL40" s="2">
        <v>-4.7907633415888995E-9</v>
      </c>
      <c r="AM40" s="2">
        <f t="shared" si="10"/>
        <v>4.7591231667415518E-17</v>
      </c>
      <c r="AN40" s="2">
        <f t="shared" si="11"/>
        <v>-1.6862262902531294E-18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8" t="s">
        <v>116</v>
      </c>
      <c r="K41" s="58"/>
      <c r="L41" s="58"/>
      <c r="AF41" s="2">
        <v>37</v>
      </c>
      <c r="AG41" s="2">
        <f t="shared" si="13"/>
        <v>3388.1523280142574</v>
      </c>
      <c r="AH41" s="2">
        <v>-4.7907633415888995E-9</v>
      </c>
      <c r="AI41" s="2">
        <f t="shared" si="14"/>
        <v>3388.1523280579131</v>
      </c>
      <c r="AJ41" s="2">
        <v>3.5197444958612323E-10</v>
      </c>
      <c r="AK41" s="2">
        <f t="shared" si="9"/>
        <v>3388.1523280360852</v>
      </c>
      <c r="AL41" s="2">
        <v>-2.2196218196768314E-9</v>
      </c>
      <c r="AM41" s="2">
        <f t="shared" si="10"/>
        <v>1.063368284589861E-17</v>
      </c>
      <c r="AN41" s="2">
        <f t="shared" si="11"/>
        <v>-7.8125016827010198E-19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3388.1523280360852</v>
      </c>
      <c r="AH42" s="2">
        <v>-2.2196218196768314E-9</v>
      </c>
      <c r="AI42" s="2">
        <f t="shared" si="14"/>
        <v>3388.1523280579131</v>
      </c>
      <c r="AJ42" s="2">
        <v>3.5197444958612323E-10</v>
      </c>
      <c r="AK42" s="2">
        <f t="shared" si="9"/>
        <v>3388.1523280469992</v>
      </c>
      <c r="AL42" s="2">
        <v>-9.3359631136991084E-10</v>
      </c>
      <c r="AM42" s="2">
        <f t="shared" si="10"/>
        <v>2.0722307434864591E-18</v>
      </c>
      <c r="AN42" s="2">
        <f t="shared" si="11"/>
        <v>-3.2860204783005929E-19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1133.8900000000001</v>
      </c>
      <c r="L43" s="6" t="s">
        <v>7</v>
      </c>
      <c r="AF43" s="2">
        <v>39</v>
      </c>
      <c r="AG43" s="2">
        <f t="shared" si="13"/>
        <v>3388.1523280469992</v>
      </c>
      <c r="AH43" s="2">
        <v>-9.3359631136991084E-10</v>
      </c>
      <c r="AI43" s="2">
        <f t="shared" si="14"/>
        <v>3388.1523280579131</v>
      </c>
      <c r="AJ43" s="2">
        <v>3.5197444958612323E-10</v>
      </c>
      <c r="AK43" s="2">
        <f t="shared" si="9"/>
        <v>3388.1523280524561</v>
      </c>
      <c r="AL43" s="2">
        <v>-2.914930519182235E-10</v>
      </c>
      <c r="AM43" s="2">
        <f t="shared" si="10"/>
        <v>2.7213683806081137E-19</v>
      </c>
      <c r="AN43" s="2">
        <f t="shared" si="11"/>
        <v>-1.0259810650709596E-19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627.5</v>
      </c>
      <c r="L44" s="6" t="s">
        <v>7</v>
      </c>
      <c r="AF44" s="2">
        <v>40</v>
      </c>
      <c r="AG44" s="2">
        <f t="shared" si="13"/>
        <v>3388.1523280524561</v>
      </c>
      <c r="AH44" s="2">
        <v>-2.914930519182235E-10</v>
      </c>
      <c r="AI44" s="2">
        <f t="shared" si="14"/>
        <v>3388.1523280579131</v>
      </c>
      <c r="AJ44" s="2">
        <v>3.5197444958612323E-10</v>
      </c>
      <c r="AK44" s="5">
        <f t="shared" si="9"/>
        <v>3388.1523280551846</v>
      </c>
      <c r="AL44" s="2">
        <v>3.1377567211166024E-11</v>
      </c>
      <c r="AM44" s="2">
        <f t="shared" si="10"/>
        <v>-9.1463428281519653E-21</v>
      </c>
      <c r="AN44" s="2">
        <f t="shared" si="11"/>
        <v>1.1044101948501749E-20</v>
      </c>
      <c r="AO44" s="2">
        <f t="shared" si="12"/>
        <v>5.4569682106375694E-9</v>
      </c>
    </row>
    <row r="45" spans="2:41" x14ac:dyDescent="0.2">
      <c r="B45" s="58" t="s">
        <v>248</v>
      </c>
      <c r="C45" s="58"/>
      <c r="D45" s="58"/>
      <c r="J45" s="20" t="s">
        <v>72</v>
      </c>
      <c r="K45" s="6">
        <f>ROUND(SUM(K20:K25), 2)</f>
        <v>858.69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168.07</v>
      </c>
      <c r="L46" s="6" t="s">
        <v>7</v>
      </c>
    </row>
    <row r="47" spans="2:41" x14ac:dyDescent="0.2">
      <c r="J47" s="10" t="s">
        <v>62</v>
      </c>
      <c r="K47" s="10">
        <f>SUM(K42:K46)</f>
        <v>3388.1500000000005</v>
      </c>
      <c r="L47" s="6" t="s">
        <v>7</v>
      </c>
    </row>
    <row r="48" spans="2:41" x14ac:dyDescent="0.2">
      <c r="B48" s="58" t="s">
        <v>249</v>
      </c>
      <c r="C48" s="58"/>
      <c r="D48" s="58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8" t="s">
        <v>253</v>
      </c>
      <c r="C53" s="58"/>
      <c r="D53" s="58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4" t="s">
        <v>2</v>
      </c>
      <c r="C59" s="57"/>
      <c r="D59" s="57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8" t="s">
        <v>272</v>
      </c>
      <c r="C64" s="60"/>
      <c r="D64" s="60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8" t="s">
        <v>273</v>
      </c>
      <c r="C70" s="60"/>
      <c r="D70" s="60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8" t="s">
        <v>74</v>
      </c>
      <c r="C76" s="58"/>
      <c r="D76" s="58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56" t="s">
        <v>0</v>
      </c>
      <c r="C1" s="56"/>
      <c r="D1" s="56"/>
    </row>
    <row r="2" spans="2:45" x14ac:dyDescent="0.2">
      <c r="Y2" s="16" t="s">
        <v>278</v>
      </c>
      <c r="AJ2" s="48" t="s">
        <v>226</v>
      </c>
    </row>
    <row r="3" spans="2:45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279</v>
      </c>
      <c r="O3" s="58"/>
      <c r="P3" s="58"/>
      <c r="R3" s="58" t="s">
        <v>95</v>
      </c>
      <c r="S3" s="58"/>
      <c r="T3" s="58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1088.5171326515494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31901.582855490404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12740017084734.543</v>
      </c>
      <c r="AB4" s="3">
        <v>1</v>
      </c>
      <c r="AC4" s="2">
        <f xml:space="preserve"> $O$22 * TAN($O$19/180*PI()) + $O$23 / (2 * SQRT($O$22^2 + AB4^2)) - AB4</f>
        <v>-0.96957609288059587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-0.45683606832695856</v>
      </c>
      <c r="AF4" s="2">
        <f>AA4*AE4</f>
        <v>-5820099315408.4092</v>
      </c>
      <c r="AG4" s="2">
        <f>AC4*AE4</f>
        <v>0.44293733021538539</v>
      </c>
      <c r="AH4" s="2">
        <f>AB4-Z4</f>
        <v>0.999999999999999</v>
      </c>
      <c r="AJ4" s="2">
        <v>0</v>
      </c>
      <c r="AL4" s="2">
        <f>K30</f>
        <v>-4.9112713895738125E-10</v>
      </c>
      <c r="AN4" s="2">
        <f>K30</f>
        <v>-4.9112713895738125E-10</v>
      </c>
      <c r="AP4" s="2">
        <f>K30</f>
        <v>-4.9112713895738125E-10</v>
      </c>
    </row>
    <row r="5" spans="2:45" x14ac:dyDescent="0.2">
      <c r="B5" s="10" t="s">
        <v>40</v>
      </c>
      <c r="C5" s="10">
        <f>AO44</f>
        <v>3255.0796563932636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136.06464158144368</v>
      </c>
      <c r="L5" s="6" t="s">
        <v>104</v>
      </c>
      <c r="N5" s="6" t="s">
        <v>25</v>
      </c>
      <c r="O5" s="6">
        <f xml:space="preserve"> 0.5 * $C$66 * $C$8^2</f>
        <v>1299.695288642675</v>
      </c>
      <c r="P5" s="6" t="s">
        <v>26</v>
      </c>
      <c r="R5" s="6" t="s">
        <v>25</v>
      </c>
      <c r="S5" s="6">
        <f xml:space="preserve"> 0.5 * $C$72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12740017084734.543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-0.45683606832695856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-0.18135601921968297</v>
      </c>
      <c r="AF5" s="2">
        <f t="shared" ref="AF5:AF34" si="4">AA5*AE5</f>
        <v>-2310478783278.207</v>
      </c>
      <c r="AG5" s="2">
        <f t="shared" ref="AG5:AG34" si="5">AC5*AE5</f>
        <v>8.2849970787748306E-2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/>
        <v>-850.68796843081941</v>
      </c>
      <c r="AM5" s="3">
        <v>4000</v>
      </c>
      <c r="AN5" s="2">
        <f t="dataTable" ref="AN5:AN44" dt2D="0" dtr="0" r1="C5" ca="1"/>
        <v>703.27001597063463</v>
      </c>
      <c r="AO5" s="2">
        <f>(AK5+AM5)/2</f>
        <v>2250</v>
      </c>
      <c r="AP5" s="2">
        <f t="dataTable" ref="AP5:AP44" dt2D="0" dtr="0" r1="C5" ca="1"/>
        <v>-195.29500652688171</v>
      </c>
      <c r="AQ5" s="2">
        <f>AL5*AP5</f>
        <v>166135.11234703663</v>
      </c>
      <c r="AR5" s="2">
        <f>AN5*AP5</f>
        <v>-137345.12235914529</v>
      </c>
      <c r="AS5" s="2">
        <f>AM5-AK5</f>
        <v>3500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205.31565511770481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0.28758594837380824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12740017084734.543</v>
      </c>
      <c r="AB6" s="2">
        <f t="shared" ref="AB6:AB34" si="8">IF(AG5&gt;0, AD5, AB5)</f>
        <v>0.25000000000000078</v>
      </c>
      <c r="AC6" s="2">
        <f t="shared" si="1"/>
        <v>-0.18135601921968297</v>
      </c>
      <c r="AD6" s="2">
        <f t="shared" si="2"/>
        <v>0.12500000000000089</v>
      </c>
      <c r="AE6" s="2">
        <f t="shared" si="3"/>
        <v>-5.3959210051318374E-3</v>
      </c>
      <c r="AF6" s="2">
        <f t="shared" si="4"/>
        <v>-68744125793.257599</v>
      </c>
      <c r="AG6" s="2">
        <f t="shared" si="5"/>
        <v>9.7858275351458057E-4</v>
      </c>
      <c r="AH6" s="2">
        <f t="shared" si="6"/>
        <v>0.24999999999999978</v>
      </c>
      <c r="AJ6" s="2">
        <v>2</v>
      </c>
      <c r="AK6" s="2">
        <f>IF(AQ5&gt;0,AO5,AK5)</f>
        <v>2250</v>
      </c>
      <c r="AL6" s="2">
        <v>-195.29500652688171</v>
      </c>
      <c r="AM6" s="2">
        <f>IF(AR5&gt;0,AO5,AM5)</f>
        <v>4000</v>
      </c>
      <c r="AN6" s="2">
        <v>703.27001597063463</v>
      </c>
      <c r="AO6" s="2">
        <f t="shared" ref="AO6:AO44" si="9">(AK6+AM6)/2</f>
        <v>3125</v>
      </c>
      <c r="AP6" s="2">
        <v>-16.541033319053895</v>
      </c>
      <c r="AQ6" s="2">
        <f t="shared" ref="AQ6:AQ44" si="10">AL6*AP6</f>
        <v>3230.3812100059981</v>
      </c>
      <c r="AR6" s="2">
        <f t="shared" ref="AR6:AR44" si="11">AN6*AP6</f>
        <v>-11632.812766461831</v>
      </c>
      <c r="AS6" s="2">
        <f t="shared" ref="AS6:AS44" si="12">AM6-AK6</f>
        <v>1750</v>
      </c>
    </row>
    <row r="7" spans="2:45" x14ac:dyDescent="0.2">
      <c r="B7" s="6" t="s">
        <v>271</v>
      </c>
      <c r="C7" s="17">
        <v>380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K6/$C$29</f>
        <v>205.31565511770481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1.4379297418690411E-2</v>
      </c>
      <c r="Y7" s="2">
        <v>3</v>
      </c>
      <c r="Z7" s="2">
        <f t="shared" si="7"/>
        <v>1.0000000000000001E-15</v>
      </c>
      <c r="AA7" s="2">
        <f t="shared" si="0"/>
        <v>12740017084734.543</v>
      </c>
      <c r="AB7" s="2">
        <f t="shared" si="8"/>
        <v>0.12500000000000089</v>
      </c>
      <c r="AC7" s="2">
        <f t="shared" si="1"/>
        <v>-5.3959210051318374E-3</v>
      </c>
      <c r="AD7" s="2">
        <f t="shared" si="2"/>
        <v>6.2500000000000944E-2</v>
      </c>
      <c r="AE7" s="2">
        <f t="shared" si="3"/>
        <v>0.15902427542396935</v>
      </c>
      <c r="AF7" s="2">
        <f t="shared" si="4"/>
        <v>2025971985788.9011</v>
      </c>
      <c r="AG7" s="2">
        <f t="shared" si="5"/>
        <v>-8.5808242808606684E-4</v>
      </c>
      <c r="AH7" s="2">
        <f t="shared" si="6"/>
        <v>0.12499999999999989</v>
      </c>
      <c r="AJ7" s="2">
        <v>3</v>
      </c>
      <c r="AK7" s="2">
        <f t="shared" ref="AK7:AK44" si="13">IF(AQ6&gt;0,AO6,AK6)</f>
        <v>3125</v>
      </c>
      <c r="AL7" s="2">
        <v>-16.541033319053895</v>
      </c>
      <c r="AM7" s="2">
        <f t="shared" ref="AM7:AM44" si="14">IF(AR6&gt;0,AO6,AM6)</f>
        <v>4000</v>
      </c>
      <c r="AN7" s="2">
        <v>703.27001597063463</v>
      </c>
      <c r="AO7" s="2">
        <f t="shared" si="9"/>
        <v>3562.5</v>
      </c>
      <c r="AP7" s="2">
        <v>28.686908837203191</v>
      </c>
      <c r="AQ7" s="2">
        <f t="shared" si="10"/>
        <v>-474.51111489683962</v>
      </c>
      <c r="AR7" s="2">
        <f t="shared" si="11"/>
        <v>20174.642836088027</v>
      </c>
      <c r="AS7" s="2">
        <f t="shared" si="12"/>
        <v>875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G7/$C$68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0.15902427542396935</v>
      </c>
      <c r="AB8" s="2">
        <f t="shared" si="8"/>
        <v>0.12500000000000089</v>
      </c>
      <c r="AC8" s="2">
        <f t="shared" si="1"/>
        <v>-5.3959210051318374E-3</v>
      </c>
      <c r="AD8" s="2">
        <f t="shared" si="2"/>
        <v>9.3750000000000916E-2</v>
      </c>
      <c r="AE8" s="2">
        <f t="shared" si="3"/>
        <v>5.9827477804568707E-2</v>
      </c>
      <c r="AF8" s="2">
        <f t="shared" si="4"/>
        <v>9.514021308315147E-3</v>
      </c>
      <c r="AG8" s="2">
        <f t="shared" si="5"/>
        <v>-3.2282434416973106E-4</v>
      </c>
      <c r="AH8" s="2">
        <f t="shared" si="6"/>
        <v>6.2499999999999944E-2</v>
      </c>
      <c r="AJ8" s="2">
        <v>4</v>
      </c>
      <c r="AK8" s="2">
        <f t="shared" si="13"/>
        <v>3125</v>
      </c>
      <c r="AL8" s="2">
        <v>-16.541033319053895</v>
      </c>
      <c r="AM8" s="2">
        <f t="shared" si="14"/>
        <v>3562.5</v>
      </c>
      <c r="AN8" s="2">
        <v>28.686908837203191</v>
      </c>
      <c r="AO8" s="2">
        <f t="shared" si="9"/>
        <v>3343.75</v>
      </c>
      <c r="AP8" s="2">
        <v>9.7813822832540609</v>
      </c>
      <c r="AQ8" s="2">
        <f t="shared" si="10"/>
        <v>-161.79417025370887</v>
      </c>
      <c r="AR8" s="2">
        <f t="shared" si="11"/>
        <v>280.59762186154364</v>
      </c>
      <c r="AS8" s="2">
        <f t="shared" si="12"/>
        <v>437.5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3988.0793228377565</v>
      </c>
      <c r="H9" s="6" t="s">
        <v>22</v>
      </c>
      <c r="J9" s="58" t="s">
        <v>23</v>
      </c>
      <c r="K9" s="58"/>
      <c r="L9" s="58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3.811849741869041E-2</v>
      </c>
      <c r="Y9" s="2">
        <v>5</v>
      </c>
      <c r="Z9" s="2">
        <f t="shared" si="7"/>
        <v>9.3750000000000916E-2</v>
      </c>
      <c r="AA9" s="2">
        <f t="shared" si="0"/>
        <v>5.9827477804568707E-2</v>
      </c>
      <c r="AB9" s="2">
        <f t="shared" si="8"/>
        <v>0.12500000000000089</v>
      </c>
      <c r="AC9" s="2">
        <f t="shared" si="1"/>
        <v>-5.3959210051318374E-3</v>
      </c>
      <c r="AD9" s="2">
        <f t="shared" si="2"/>
        <v>0.1093750000000009</v>
      </c>
      <c r="AE9" s="2">
        <f t="shared" si="3"/>
        <v>2.4789107056168422E-2</v>
      </c>
      <c r="AF9" s="2">
        <f t="shared" si="4"/>
        <v>1.4830697521979938E-3</v>
      </c>
      <c r="AG9" s="2">
        <f t="shared" si="5"/>
        <v>-1.3376006346284104E-4</v>
      </c>
      <c r="AH9" s="2">
        <f t="shared" si="6"/>
        <v>3.1249999999999972E-2</v>
      </c>
      <c r="AJ9" s="2">
        <v>5</v>
      </c>
      <c r="AK9" s="2">
        <f t="shared" si="13"/>
        <v>3125</v>
      </c>
      <c r="AL9" s="2">
        <v>-16.541033319053895</v>
      </c>
      <c r="AM9" s="2">
        <f t="shared" si="14"/>
        <v>3343.75</v>
      </c>
      <c r="AN9" s="2">
        <v>9.7813822832540609</v>
      </c>
      <c r="AO9" s="2">
        <f t="shared" si="9"/>
        <v>3234.375</v>
      </c>
      <c r="AP9" s="2">
        <v>-2.4587220868047552</v>
      </c>
      <c r="AQ9" s="2">
        <f t="shared" si="10"/>
        <v>40.669803960131176</v>
      </c>
      <c r="AR9" s="2">
        <f t="shared" si="11"/>
        <v>-24.049700659317487</v>
      </c>
      <c r="AS9" s="2">
        <f t="shared" si="12"/>
        <v>218.75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90.709761054295782</v>
      </c>
      <c r="H10" s="6" t="s">
        <v>104</v>
      </c>
      <c r="J10" s="6" t="s">
        <v>99</v>
      </c>
      <c r="K10" s="6">
        <f xml:space="preserve"> $C$19 * (G14*G6 + G24*G17 + G33*G29 + G37*G36)/3600</f>
        <v>181.13042237489756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961.10502934763304</v>
      </c>
      <c r="T10" s="6" t="s">
        <v>22</v>
      </c>
      <c r="Y10" s="2">
        <v>6</v>
      </c>
      <c r="Z10" s="2">
        <f t="shared" si="7"/>
        <v>0.1093750000000009</v>
      </c>
      <c r="AA10" s="2">
        <f t="shared" si="0"/>
        <v>2.4789107056168422E-2</v>
      </c>
      <c r="AB10" s="2">
        <f t="shared" si="8"/>
        <v>0.12500000000000089</v>
      </c>
      <c r="AC10" s="2">
        <f t="shared" si="1"/>
        <v>-5.3959210051318374E-3</v>
      </c>
      <c r="AD10" s="2">
        <f t="shared" si="2"/>
        <v>0.11718750000000089</v>
      </c>
      <c r="AE10" s="2">
        <f t="shared" si="3"/>
        <v>9.2112587568082827E-3</v>
      </c>
      <c r="AF10" s="2">
        <f t="shared" si="4"/>
        <v>2.2833887944458936E-4</v>
      </c>
      <c r="AG10" s="2">
        <f t="shared" si="5"/>
        <v>-4.9703224609566387E-5</v>
      </c>
      <c r="AH10" s="2">
        <f t="shared" si="6"/>
        <v>1.5624999999999986E-2</v>
      </c>
      <c r="AJ10" s="2">
        <v>6</v>
      </c>
      <c r="AK10" s="2">
        <f t="shared" si="13"/>
        <v>3234.375</v>
      </c>
      <c r="AL10" s="2">
        <v>-2.4587220868047552</v>
      </c>
      <c r="AM10" s="2">
        <f t="shared" si="14"/>
        <v>3343.75</v>
      </c>
      <c r="AN10" s="2">
        <v>9.7813822832540609</v>
      </c>
      <c r="AO10" s="2">
        <f t="shared" si="9"/>
        <v>3289.0625</v>
      </c>
      <c r="AP10" s="2">
        <v>3.8922677062714683</v>
      </c>
      <c r="AQ10" s="2">
        <f t="shared" si="10"/>
        <v>-9.570004577166543</v>
      </c>
      <c r="AR10" s="2">
        <f t="shared" si="11"/>
        <v>38.071758383805658</v>
      </c>
      <c r="AS10" s="2">
        <f t="shared" si="12"/>
        <v>109.375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(G9/$C$69*1000) / (G10*1000)</f>
        <v>4.4855697151005653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0.11718750000000089</v>
      </c>
      <c r="AA11" s="2">
        <f t="shared" si="0"/>
        <v>9.2112587568082827E-3</v>
      </c>
      <c r="AB11" s="2">
        <f t="shared" si="8"/>
        <v>0.12500000000000089</v>
      </c>
      <c r="AC11" s="2">
        <f t="shared" si="1"/>
        <v>-5.3959210051318374E-3</v>
      </c>
      <c r="AD11" s="2">
        <f t="shared" si="2"/>
        <v>0.12109375000000089</v>
      </c>
      <c r="AE11" s="2">
        <f t="shared" si="3"/>
        <v>1.7980772667746808E-3</v>
      </c>
      <c r="AF11" s="2">
        <f t="shared" si="4"/>
        <v>1.6562554968996182E-5</v>
      </c>
      <c r="AG11" s="2">
        <f t="shared" si="5"/>
        <v>-9.7022828926395434E-6</v>
      </c>
      <c r="AH11" s="2">
        <f t="shared" si="6"/>
        <v>7.8125E-3</v>
      </c>
      <c r="AJ11" s="2">
        <v>7</v>
      </c>
      <c r="AK11" s="2">
        <f t="shared" si="13"/>
        <v>3234.375</v>
      </c>
      <c r="AL11" s="2">
        <v>-2.4587220868047552</v>
      </c>
      <c r="AM11" s="2">
        <f t="shared" si="14"/>
        <v>3289.0625</v>
      </c>
      <c r="AN11" s="2">
        <v>3.8922677062714683</v>
      </c>
      <c r="AO11" s="2">
        <f t="shared" si="9"/>
        <v>3261.71875</v>
      </c>
      <c r="AP11" s="2">
        <v>0.77442024038009549</v>
      </c>
      <c r="AQ11" s="2">
        <f t="shared" si="10"/>
        <v>-1.9040841494911886</v>
      </c>
      <c r="AR11" s="2">
        <f t="shared" si="11"/>
        <v>3.0142508927144336</v>
      </c>
      <c r="AS11" s="2">
        <f t="shared" si="12"/>
        <v>54.6875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0.77079212893767823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1.2652523570234131</v>
      </c>
      <c r="Y12" s="2">
        <v>8</v>
      </c>
      <c r="Z12" s="2">
        <f t="shared" si="7"/>
        <v>0.12109375000000089</v>
      </c>
      <c r="AA12" s="2">
        <f t="shared" si="0"/>
        <v>1.7980772667746808E-3</v>
      </c>
      <c r="AB12" s="2">
        <f t="shared" si="8"/>
        <v>0.12500000000000089</v>
      </c>
      <c r="AC12" s="2">
        <f t="shared" si="1"/>
        <v>-5.3959210051318374E-3</v>
      </c>
      <c r="AD12" s="2">
        <f t="shared" si="2"/>
        <v>0.12304687500000089</v>
      </c>
      <c r="AE12" s="2">
        <f t="shared" si="3"/>
        <v>-1.8250151094318101E-3</v>
      </c>
      <c r="AF12" s="2">
        <f t="shared" si="4"/>
        <v>-3.2815181797896442E-6</v>
      </c>
      <c r="AG12" s="2">
        <f t="shared" si="5"/>
        <v>9.8476373636660826E-6</v>
      </c>
      <c r="AH12" s="2">
        <f t="shared" si="6"/>
        <v>3.90625E-3</v>
      </c>
      <c r="AJ12" s="2">
        <v>8</v>
      </c>
      <c r="AK12" s="2">
        <f t="shared" si="13"/>
        <v>3234.375</v>
      </c>
      <c r="AL12" s="2">
        <v>-2.4587220868047552</v>
      </c>
      <c r="AM12" s="2">
        <f t="shared" si="14"/>
        <v>3261.71875</v>
      </c>
      <c r="AN12" s="2">
        <v>0.77442024038009549</v>
      </c>
      <c r="AO12" s="2">
        <f t="shared" si="9"/>
        <v>3248.046875</v>
      </c>
      <c r="AP12" s="2">
        <v>-0.82774983623812659</v>
      </c>
      <c r="AQ12" s="2">
        <f t="shared" si="10"/>
        <v>2.035206804707701</v>
      </c>
      <c r="AR12" s="2">
        <f t="shared" si="11"/>
        <v>-0.64102622715411472</v>
      </c>
      <c r="AS12" s="2">
        <f t="shared" si="12"/>
        <v>27.34375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559.34695870774988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9.8264934377140595E-2</v>
      </c>
      <c r="Y13" s="2">
        <v>9</v>
      </c>
      <c r="Z13" s="2">
        <f t="shared" si="7"/>
        <v>0.12109375000000089</v>
      </c>
      <c r="AA13" s="2">
        <f t="shared" si="0"/>
        <v>1.7980772667746808E-3</v>
      </c>
      <c r="AB13" s="2">
        <f t="shared" si="8"/>
        <v>0.12304687500000089</v>
      </c>
      <c r="AC13" s="2">
        <f t="shared" si="1"/>
        <v>-1.8250151094318101E-3</v>
      </c>
      <c r="AD13" s="2">
        <f t="shared" si="2"/>
        <v>0.12207031250000089</v>
      </c>
      <c r="AE13" s="2">
        <f t="shared" si="3"/>
        <v>-2.0148790833382502E-5</v>
      </c>
      <c r="AF13" s="2">
        <f t="shared" si="4"/>
        <v>-3.6229082750503153E-8</v>
      </c>
      <c r="AG13" s="2">
        <f t="shared" si="5"/>
        <v>3.6771847707704221E-8</v>
      </c>
      <c r="AH13" s="2">
        <f t="shared" si="6"/>
        <v>1.953125E-3</v>
      </c>
      <c r="AJ13" s="2">
        <v>9</v>
      </c>
      <c r="AK13" s="2">
        <f t="shared" si="13"/>
        <v>3248.046875</v>
      </c>
      <c r="AL13" s="2">
        <v>-0.82774983623812659</v>
      </c>
      <c r="AM13" s="2">
        <f t="shared" si="14"/>
        <v>3261.71875</v>
      </c>
      <c r="AN13" s="2">
        <v>0.77442024038009549</v>
      </c>
      <c r="AO13" s="2">
        <f t="shared" si="9"/>
        <v>3254.8828125</v>
      </c>
      <c r="AP13" s="2">
        <v>-2.306617147723955E-2</v>
      </c>
      <c r="AQ13" s="2">
        <f t="shared" si="10"/>
        <v>1.9093019662925585E-2</v>
      </c>
      <c r="AR13" s="2">
        <f t="shared" si="11"/>
        <v>-1.7862910060052355E-2</v>
      </c>
      <c r="AS13" s="2">
        <f t="shared" si="12"/>
        <v>13.671875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725.67808843436626</v>
      </c>
      <c r="H14" s="43" t="s">
        <v>104</v>
      </c>
      <c r="J14" s="10" t="s">
        <v>82</v>
      </c>
      <c r="K14" s="18">
        <f>C5</f>
        <v>3255.0796563932636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2477.6139940940407</v>
      </c>
      <c r="T14" s="6" t="s">
        <v>22</v>
      </c>
      <c r="Y14" s="2">
        <v>10</v>
      </c>
      <c r="Z14" s="2">
        <f t="shared" si="7"/>
        <v>0.12109375000000089</v>
      </c>
      <c r="AA14" s="2">
        <f t="shared" si="0"/>
        <v>1.7980772667746808E-3</v>
      </c>
      <c r="AB14" s="2">
        <f t="shared" si="8"/>
        <v>0.12207031250000089</v>
      </c>
      <c r="AC14" s="2">
        <f t="shared" si="1"/>
        <v>-2.0148790833382502E-5</v>
      </c>
      <c r="AD14" s="2">
        <f t="shared" si="2"/>
        <v>0.12158203125000089</v>
      </c>
      <c r="AE14" s="2">
        <f t="shared" si="3"/>
        <v>8.8727415050557368E-4</v>
      </c>
      <c r="AF14" s="2">
        <f t="shared" si="4"/>
        <v>1.5953874794208888E-6</v>
      </c>
      <c r="AG14" s="2">
        <f t="shared" si="5"/>
        <v>-1.7877501270403949E-8</v>
      </c>
      <c r="AH14" s="2">
        <f t="shared" si="6"/>
        <v>9.765625E-4</v>
      </c>
      <c r="AJ14" s="2">
        <v>10</v>
      </c>
      <c r="AK14" s="2">
        <f t="shared" si="13"/>
        <v>3254.8828125</v>
      </c>
      <c r="AL14" s="2">
        <v>-2.306617147723955E-2</v>
      </c>
      <c r="AM14" s="2">
        <f t="shared" si="14"/>
        <v>3261.71875</v>
      </c>
      <c r="AN14" s="2">
        <v>0.77442024038009549</v>
      </c>
      <c r="AO14" s="2">
        <f t="shared" si="9"/>
        <v>3258.30078125</v>
      </c>
      <c r="AP14" s="2">
        <v>0.3765758110043862</v>
      </c>
      <c r="AQ14" s="2">
        <f t="shared" si="10"/>
        <v>-8.6861622308077244E-3</v>
      </c>
      <c r="AR14" s="2">
        <f t="shared" si="11"/>
        <v>0.29162793007934618</v>
      </c>
      <c r="AS14" s="2">
        <f t="shared" si="12"/>
        <v>6.8359375</v>
      </c>
    </row>
    <row r="15" spans="2:45" x14ac:dyDescent="0.2">
      <c r="J15" s="11" t="s">
        <v>55</v>
      </c>
      <c r="K15" s="6">
        <f xml:space="preserve"> 1000 * K10 / ($C$61 * $C$62 * $C$63)</f>
        <v>1065.473072793515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12.875929394786725</v>
      </c>
      <c r="Y15" s="2">
        <v>11</v>
      </c>
      <c r="Z15" s="2">
        <f t="shared" si="7"/>
        <v>0.12158203125000089</v>
      </c>
      <c r="AA15" s="2">
        <f t="shared" si="0"/>
        <v>8.8727415050557368E-4</v>
      </c>
      <c r="AB15" s="2">
        <f t="shared" si="8"/>
        <v>0.12207031250000089</v>
      </c>
      <c r="AC15" s="2">
        <f t="shared" si="1"/>
        <v>-2.0148790833382502E-5</v>
      </c>
      <c r="AD15" s="2">
        <f t="shared" si="2"/>
        <v>0.12182617187500089</v>
      </c>
      <c r="AE15" s="2">
        <f t="shared" si="3"/>
        <v>4.3314269818144069E-4</v>
      </c>
      <c r="AF15" s="2">
        <f t="shared" si="4"/>
        <v>3.8431631957662989E-7</v>
      </c>
      <c r="AG15" s="2">
        <f t="shared" si="5"/>
        <v>-8.7273016266647754E-9</v>
      </c>
      <c r="AH15" s="2">
        <f t="shared" si="6"/>
        <v>4.8828125E-4</v>
      </c>
      <c r="AJ15" s="2">
        <v>11</v>
      </c>
      <c r="AK15" s="2">
        <f t="shared" si="13"/>
        <v>3254.8828125</v>
      </c>
      <c r="AL15" s="2">
        <v>-2.306617147723955E-2</v>
      </c>
      <c r="AM15" s="2">
        <f t="shared" si="14"/>
        <v>3258.30078125</v>
      </c>
      <c r="AN15" s="2">
        <v>0.3765758110043862</v>
      </c>
      <c r="AO15" s="2">
        <f t="shared" si="9"/>
        <v>3256.591796875</v>
      </c>
      <c r="AP15" s="2">
        <v>0.17698207216790252</v>
      </c>
      <c r="AQ15" s="2">
        <f t="shared" si="10"/>
        <v>-4.0822988250220245E-3</v>
      </c>
      <c r="AR15" s="2">
        <f t="shared" si="11"/>
        <v>6.6647167359864701E-2</v>
      </c>
      <c r="AS15" s="2">
        <f t="shared" si="12"/>
        <v>3.41796875</v>
      </c>
    </row>
    <row r="16" spans="2:45" x14ac:dyDescent="0.2">
      <c r="B16" s="58" t="s">
        <v>12</v>
      </c>
      <c r="C16" s="58"/>
      <c r="D16" s="58"/>
      <c r="F16" s="54" t="s">
        <v>89</v>
      </c>
      <c r="G16" s="57"/>
      <c r="H16" s="57"/>
      <c r="J16" s="12" t="s">
        <v>135</v>
      </c>
      <c r="K16" s="6">
        <f xml:space="preserve"> $C$79 * ( $C$22 * (0.0095 * MAX(G9,G30) - 1.9275) +  $C$29 * (0.0095 * MAX(S20) - 1.9275) )</f>
        <v>247.42708918365031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5.6859328914211344</v>
      </c>
      <c r="Y16" s="2">
        <v>12</v>
      </c>
      <c r="Z16" s="2">
        <f t="shared" si="7"/>
        <v>0.12182617187500089</v>
      </c>
      <c r="AA16" s="2">
        <f t="shared" si="0"/>
        <v>4.3314269818144069E-4</v>
      </c>
      <c r="AB16" s="2">
        <f t="shared" si="8"/>
        <v>0.12207031250000089</v>
      </c>
      <c r="AC16" s="2">
        <f t="shared" si="1"/>
        <v>-2.0148790833382502E-5</v>
      </c>
      <c r="AD16" s="2">
        <f t="shared" si="2"/>
        <v>0.12194824218750089</v>
      </c>
      <c r="AE16" s="2">
        <f t="shared" si="3"/>
        <v>2.0639227356190892E-4</v>
      </c>
      <c r="AF16" s="2">
        <f t="shared" si="4"/>
        <v>8.939730625440726E-8</v>
      </c>
      <c r="AG16" s="2">
        <f t="shared" si="5"/>
        <v>-4.1585547496251645E-9</v>
      </c>
      <c r="AH16" s="2">
        <f t="shared" si="6"/>
        <v>2.44140625E-4</v>
      </c>
      <c r="AJ16" s="2">
        <v>12</v>
      </c>
      <c r="AK16" s="2">
        <f t="shared" si="13"/>
        <v>3254.8828125</v>
      </c>
      <c r="AL16" s="2">
        <v>-2.306617147723955E-2</v>
      </c>
      <c r="AM16" s="2">
        <f t="shared" si="14"/>
        <v>3256.591796875</v>
      </c>
      <c r="AN16" s="2">
        <v>0.17698207216790252</v>
      </c>
      <c r="AO16" s="2">
        <f t="shared" si="9"/>
        <v>3255.7373046875</v>
      </c>
      <c r="AP16" s="2">
        <v>7.7014898189190717E-2</v>
      </c>
      <c r="AQ16" s="2">
        <f t="shared" si="10"/>
        <v>-1.7764388479340188E-3</v>
      </c>
      <c r="AR16" s="2">
        <f t="shared" si="11"/>
        <v>1.3630256269323016E-2</v>
      </c>
      <c r="AS16" s="2">
        <f t="shared" si="12"/>
        <v>1.708984375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0.12194824218750089</v>
      </c>
      <c r="AA17" s="2">
        <f t="shared" si="0"/>
        <v>2.0639227356190892E-4</v>
      </c>
      <c r="AB17" s="2">
        <f t="shared" si="8"/>
        <v>0.12207031250000089</v>
      </c>
      <c r="AC17" s="2">
        <f t="shared" si="1"/>
        <v>-2.0148790833382502E-5</v>
      </c>
      <c r="AD17" s="2">
        <f t="shared" si="2"/>
        <v>0.12200927734375089</v>
      </c>
      <c r="AE17" s="2">
        <f t="shared" si="3"/>
        <v>9.3095610610910429E-5</v>
      </c>
      <c r="AF17" s="2">
        <f t="shared" si="4"/>
        <v>1.9214214732619976E-8</v>
      </c>
      <c r="AG17" s="2">
        <f t="shared" si="5"/>
        <v>-1.8757639857052588E-9</v>
      </c>
      <c r="AH17" s="2">
        <f t="shared" si="6"/>
        <v>1.220703125E-4</v>
      </c>
      <c r="AJ17" s="2">
        <v>13</v>
      </c>
      <c r="AK17" s="2">
        <f t="shared" si="13"/>
        <v>3254.8828125</v>
      </c>
      <c r="AL17" s="2">
        <v>-2.306617147723955E-2</v>
      </c>
      <c r="AM17" s="2">
        <f t="shared" si="14"/>
        <v>3255.7373046875</v>
      </c>
      <c r="AN17" s="2">
        <v>7.7014898189190717E-2</v>
      </c>
      <c r="AO17" s="2">
        <f t="shared" si="9"/>
        <v>3255.31005859375</v>
      </c>
      <c r="AP17" s="2">
        <v>2.6989681904069585E-2</v>
      </c>
      <c r="AQ17" s="2">
        <f t="shared" si="10"/>
        <v>-6.2254863091541833E-4</v>
      </c>
      <c r="AR17" s="2">
        <f t="shared" si="11"/>
        <v>2.0786076040005619E-3</v>
      </c>
      <c r="AS17" s="2">
        <f t="shared" si="12"/>
        <v>0.8544921875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54.517104515294889</v>
      </c>
      <c r="H18" s="6" t="s">
        <v>10</v>
      </c>
      <c r="J18" s="13" t="s">
        <v>56</v>
      </c>
      <c r="K18" s="6">
        <f xml:space="preserve"> $C$79 * (0.2138 * K4 + 0.2138 * K6)</f>
        <v>221.29716002005327</v>
      </c>
      <c r="L18" s="6" t="s">
        <v>7</v>
      </c>
      <c r="N18" s="54" t="s">
        <v>238</v>
      </c>
      <c r="O18" s="55"/>
      <c r="P18" s="55"/>
      <c r="R18" s="54" t="s">
        <v>238</v>
      </c>
      <c r="S18" s="55"/>
      <c r="T18" s="55"/>
      <c r="Y18" s="2">
        <v>14</v>
      </c>
      <c r="Z18" s="2">
        <f t="shared" si="7"/>
        <v>0.12200927734375089</v>
      </c>
      <c r="AA18" s="2">
        <f t="shared" si="0"/>
        <v>9.3095610610910429E-5</v>
      </c>
      <c r="AB18" s="2">
        <f t="shared" si="8"/>
        <v>0.12207031250000089</v>
      </c>
      <c r="AC18" s="2">
        <f t="shared" si="1"/>
        <v>-2.0148790833382502E-5</v>
      </c>
      <c r="AD18" s="2">
        <f t="shared" si="2"/>
        <v>0.12203979492187589</v>
      </c>
      <c r="AE18" s="2">
        <f t="shared" si="3"/>
        <v>3.6466882101168774E-5</v>
      </c>
      <c r="AF18" s="2">
        <f t="shared" si="4"/>
        <v>3.3949066562843872E-9</v>
      </c>
      <c r="AG18" s="2">
        <f t="shared" si="5"/>
        <v>-7.3476357980206982E-10</v>
      </c>
      <c r="AH18" s="2">
        <f t="shared" si="6"/>
        <v>6.103515625E-5</v>
      </c>
      <c r="AJ18" s="2">
        <v>14</v>
      </c>
      <c r="AK18" s="2">
        <f t="shared" si="13"/>
        <v>3254.8828125</v>
      </c>
      <c r="AL18" s="2">
        <v>-2.306617147723955E-2</v>
      </c>
      <c r="AM18" s="2">
        <f t="shared" si="14"/>
        <v>3255.31005859375</v>
      </c>
      <c r="AN18" s="2">
        <v>2.6989681904069585E-2</v>
      </c>
      <c r="AO18" s="2">
        <f t="shared" si="9"/>
        <v>3255.096435546875</v>
      </c>
      <c r="AP18" s="2">
        <v>1.9675224652928591E-3</v>
      </c>
      <c r="AQ18" s="2">
        <f t="shared" si="10"/>
        <v>-4.5383210569766189E-5</v>
      </c>
      <c r="AR18" s="2">
        <f t="shared" si="11"/>
        <v>5.3102805477365058E-5</v>
      </c>
      <c r="AS18" s="2">
        <f t="shared" si="12"/>
        <v>0.42724609375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0.16385193983659224</v>
      </c>
      <c r="H19" s="6" t="s">
        <v>131</v>
      </c>
      <c r="J19" s="13" t="s">
        <v>80</v>
      </c>
      <c r="K19" s="6">
        <f xml:space="preserve"> $C$79 * (0.1149 * K4 + 0.1149 * K6)</f>
        <v>118.92910985174986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0.12203979492187589</v>
      </c>
      <c r="AA19" s="2">
        <f t="shared" si="0"/>
        <v>3.6466882101168774E-5</v>
      </c>
      <c r="AB19" s="2">
        <f t="shared" si="8"/>
        <v>0.12207031250000089</v>
      </c>
      <c r="AC19" s="2">
        <f t="shared" si="1"/>
        <v>-2.0148790833382502E-5</v>
      </c>
      <c r="AD19" s="2">
        <f t="shared" si="2"/>
        <v>0.12205505371093839</v>
      </c>
      <c r="AE19" s="2">
        <f t="shared" si="3"/>
        <v>8.1574142990481491E-6</v>
      </c>
      <c r="AF19" s="2">
        <f t="shared" si="4"/>
        <v>2.9747546549377715E-10</v>
      </c>
      <c r="AG19" s="2">
        <f t="shared" si="5"/>
        <v>-1.6436203445276469E-10</v>
      </c>
      <c r="AH19" s="2">
        <f t="shared" si="6"/>
        <v>3.0517578125E-5</v>
      </c>
      <c r="AJ19" s="2">
        <v>15</v>
      </c>
      <c r="AK19" s="2">
        <f t="shared" si="13"/>
        <v>3254.8828125</v>
      </c>
      <c r="AL19" s="2">
        <v>-2.306617147723955E-2</v>
      </c>
      <c r="AM19" s="2">
        <f t="shared" si="14"/>
        <v>3255.096435546875</v>
      </c>
      <c r="AN19" s="2">
        <v>1.9675224652928591E-3</v>
      </c>
      <c r="AO19" s="2">
        <f t="shared" si="9"/>
        <v>3254.9896240234375</v>
      </c>
      <c r="AP19" s="2">
        <v>-1.0548423624186398E-2</v>
      </c>
      <c r="AQ19" s="2">
        <f t="shared" si="10"/>
        <v>2.4331174813004813E-4</v>
      </c>
      <c r="AR19" s="2">
        <f t="shared" si="11"/>
        <v>-2.0754260454012658E-5</v>
      </c>
      <c r="AS19" s="2">
        <f t="shared" si="12"/>
        <v>0.213623046875</v>
      </c>
    </row>
    <row r="20" spans="2:45" x14ac:dyDescent="0.2">
      <c r="F20" s="9" t="s">
        <v>21</v>
      </c>
      <c r="G20" s="6">
        <f>S20</f>
        <v>2477.6139940940407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227.38112140068222</v>
      </c>
      <c r="L20" s="6" t="s">
        <v>7</v>
      </c>
      <c r="N20" s="6" t="s">
        <v>21</v>
      </c>
      <c r="O20" s="6">
        <f xml:space="preserve"> $C$5 * $C$69 / $C$22</f>
        <v>3988.0793228377565</v>
      </c>
      <c r="P20" s="6" t="s">
        <v>22</v>
      </c>
      <c r="R20" s="6" t="s">
        <v>21</v>
      </c>
      <c r="S20" s="6">
        <f xml:space="preserve"> S14 / $C$29</f>
        <v>2477.6139940940407</v>
      </c>
      <c r="T20" s="6" t="s">
        <v>22</v>
      </c>
      <c r="Y20" s="2">
        <v>16</v>
      </c>
      <c r="Z20" s="2">
        <f t="shared" si="7"/>
        <v>0.12205505371093839</v>
      </c>
      <c r="AA20" s="2">
        <f t="shared" si="0"/>
        <v>8.1574142990481491E-6</v>
      </c>
      <c r="AB20" s="2">
        <f t="shared" si="8"/>
        <v>0.12207031250000089</v>
      </c>
      <c r="AC20" s="2">
        <f t="shared" si="1"/>
        <v>-2.0148790833382502E-5</v>
      </c>
      <c r="AD20" s="2">
        <f t="shared" si="2"/>
        <v>0.12206268310546964</v>
      </c>
      <c r="AE20" s="2">
        <f t="shared" si="3"/>
        <v>-5.9960960244048733E-6</v>
      </c>
      <c r="AF20" s="2">
        <f t="shared" si="4"/>
        <v>-4.8912639447946071E-11</v>
      </c>
      <c r="AG20" s="2">
        <f t="shared" si="5"/>
        <v>1.2081408461261017E-10</v>
      </c>
      <c r="AH20" s="2">
        <f t="shared" si="6"/>
        <v>1.52587890625E-5</v>
      </c>
      <c r="AJ20" s="2">
        <v>16</v>
      </c>
      <c r="AK20" s="2">
        <f t="shared" si="13"/>
        <v>3254.9896240234375</v>
      </c>
      <c r="AL20" s="2">
        <v>-1.0548423624186398E-2</v>
      </c>
      <c r="AM20" s="2">
        <f t="shared" si="14"/>
        <v>3255.096435546875</v>
      </c>
      <c r="AN20" s="2">
        <v>1.9675224652928591E-3</v>
      </c>
      <c r="AO20" s="2">
        <f t="shared" si="9"/>
        <v>3255.0430297851562</v>
      </c>
      <c r="AP20" s="2">
        <v>-4.2906770122499438E-3</v>
      </c>
      <c r="AQ20" s="2">
        <f t="shared" si="10"/>
        <v>4.5259878759770817E-5</v>
      </c>
      <c r="AR20" s="2">
        <f t="shared" si="11"/>
        <v>-8.4420034129174077E-6</v>
      </c>
      <c r="AS20" s="2">
        <f t="shared" si="12"/>
        <v>0.1068115234375</v>
      </c>
    </row>
    <row r="21" spans="2:45" x14ac:dyDescent="0.2">
      <c r="B21" s="58" t="s">
        <v>115</v>
      </c>
      <c r="C21" s="58"/>
      <c r="D21" s="58"/>
      <c r="F21" s="9" t="s">
        <v>100</v>
      </c>
      <c r="G21" s="6">
        <f xml:space="preserve"> 1/1000 * (S25 + S20 * (S30 * S27 + $C$8 * SIN(S19/180*PI())))</f>
        <v>136.8771034118032</v>
      </c>
      <c r="H21" s="6" t="s">
        <v>104</v>
      </c>
      <c r="J21" s="14" t="s">
        <v>64</v>
      </c>
      <c r="K21" s="6">
        <f xml:space="preserve"> $C$80 * C42 * $C$5</f>
        <v>84.632071066224867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39.793506945470718</v>
      </c>
      <c r="T21" s="6" t="s">
        <v>30</v>
      </c>
      <c r="Y21" s="2">
        <v>17</v>
      </c>
      <c r="Z21" s="2">
        <f t="shared" si="7"/>
        <v>0.12205505371093839</v>
      </c>
      <c r="AA21" s="2">
        <f t="shared" si="0"/>
        <v>8.1574142990481491E-6</v>
      </c>
      <c r="AB21" s="2">
        <f t="shared" si="8"/>
        <v>0.12206268310546964</v>
      </c>
      <c r="AC21" s="2">
        <f t="shared" si="1"/>
        <v>-5.9960960244048733E-6</v>
      </c>
      <c r="AD21" s="2">
        <f t="shared" si="2"/>
        <v>0.12205886840820401</v>
      </c>
      <c r="AE21" s="2">
        <f t="shared" si="3"/>
        <v>1.0805571884486831E-6</v>
      </c>
      <c r="AF21" s="2">
        <f t="shared" si="4"/>
        <v>8.8145526599905527E-12</v>
      </c>
      <c r="AG21" s="2">
        <f t="shared" si="5"/>
        <v>-6.4791246617992559E-12</v>
      </c>
      <c r="AH21" s="2">
        <f t="shared" si="6"/>
        <v>7.62939453125E-6</v>
      </c>
      <c r="AJ21" s="2">
        <v>17</v>
      </c>
      <c r="AK21" s="2">
        <f t="shared" si="13"/>
        <v>3255.0430297851562</v>
      </c>
      <c r="AL21" s="2">
        <v>-4.2906770122499438E-3</v>
      </c>
      <c r="AM21" s="2">
        <f t="shared" si="14"/>
        <v>3255.096435546875</v>
      </c>
      <c r="AN21" s="2">
        <v>1.9675224652928591E-3</v>
      </c>
      <c r="AO21" s="2">
        <f t="shared" si="9"/>
        <v>3255.0697326660156</v>
      </c>
      <c r="AP21" s="2">
        <v>-1.1636844919848954E-3</v>
      </c>
      <c r="AQ21" s="2">
        <f t="shared" si="10"/>
        <v>4.9929942992713445E-6</v>
      </c>
      <c r="AR21" s="2">
        <f t="shared" si="11"/>
        <v>-2.2895753804931897E-6</v>
      </c>
      <c r="AS21" s="2">
        <f t="shared" si="12"/>
        <v>5.340576171875E-2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1.8469376229579246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433.6007327525017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7.9934310087219157E-2</v>
      </c>
      <c r="Y22" s="2">
        <v>18</v>
      </c>
      <c r="Z22" s="2">
        <f t="shared" si="7"/>
        <v>0.12205886840820401</v>
      </c>
      <c r="AA22" s="2">
        <f t="shared" si="0"/>
        <v>1.0805571884486831E-6</v>
      </c>
      <c r="AB22" s="2">
        <f t="shared" si="8"/>
        <v>0.12206268310546964</v>
      </c>
      <c r="AC22" s="2">
        <f t="shared" si="1"/>
        <v>-5.9960960244048733E-6</v>
      </c>
      <c r="AD22" s="2">
        <f t="shared" si="2"/>
        <v>0.12206077575683683</v>
      </c>
      <c r="AE22" s="2">
        <f t="shared" si="3"/>
        <v>-2.4577949040011093E-6</v>
      </c>
      <c r="AF22" s="2">
        <f t="shared" si="4"/>
        <v>-2.6557879512509398E-12</v>
      </c>
      <c r="AG22" s="2">
        <f t="shared" si="5"/>
        <v>1.4737174252683608E-11</v>
      </c>
      <c r="AH22" s="2">
        <f t="shared" si="6"/>
        <v>3.814697265625E-6</v>
      </c>
      <c r="AJ22" s="2">
        <v>18</v>
      </c>
      <c r="AK22" s="2">
        <f t="shared" si="13"/>
        <v>3255.0697326660156</v>
      </c>
      <c r="AL22" s="2">
        <v>-1.1636844919848954E-3</v>
      </c>
      <c r="AM22" s="2">
        <f t="shared" si="14"/>
        <v>3255.096435546875</v>
      </c>
      <c r="AN22" s="2">
        <v>1.9675224652928591E-3</v>
      </c>
      <c r="AO22" s="2">
        <f t="shared" si="9"/>
        <v>3255.0830841064453</v>
      </c>
      <c r="AP22" s="2">
        <v>4.0022118446358945E-4</v>
      </c>
      <c r="AQ22" s="2">
        <f t="shared" si="10"/>
        <v>-4.6573118572410521E-7</v>
      </c>
      <c r="AR22" s="2">
        <f t="shared" si="11"/>
        <v>7.8744417151822969E-7</v>
      </c>
      <c r="AS22" s="2">
        <f t="shared" si="12"/>
        <v>2.6702880859375E-2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0.16491942941437154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35.13625880353861</v>
      </c>
      <c r="L23" s="6" t="s">
        <v>7</v>
      </c>
      <c r="N23" s="6" t="s">
        <v>32</v>
      </c>
      <c r="O23" s="6">
        <f xml:space="preserve"> O20 / ( $C$66 * PI() * $C$9^2 * O21^2 * $C$9^2)</f>
        <v>2.5480049107275905E-2</v>
      </c>
      <c r="R23" s="6" t="s">
        <v>32</v>
      </c>
      <c r="S23" s="6">
        <f xml:space="preserve"> S20 / ( $C$72 * PI() * $C$11^2 * S21^2 * $C$11^2)</f>
        <v>0.14017869307848801</v>
      </c>
      <c r="Y23" s="2">
        <v>19</v>
      </c>
      <c r="Z23" s="2">
        <f t="shared" si="7"/>
        <v>0.12205886840820401</v>
      </c>
      <c r="AA23" s="2">
        <f t="shared" si="0"/>
        <v>1.0805571884486831E-6</v>
      </c>
      <c r="AB23" s="2">
        <f t="shared" si="8"/>
        <v>0.12206077575683683</v>
      </c>
      <c r="AC23" s="2">
        <f t="shared" si="1"/>
        <v>-2.4577949040011093E-6</v>
      </c>
      <c r="AD23" s="2">
        <f t="shared" si="2"/>
        <v>0.12205982208252042</v>
      </c>
      <c r="AE23" s="2">
        <f t="shared" si="3"/>
        <v>-6.8862522942247928E-7</v>
      </c>
      <c r="AF23" s="2">
        <f t="shared" si="4"/>
        <v>-7.4409894179958357E-13</v>
      </c>
      <c r="AG23" s="2">
        <f t="shared" si="5"/>
        <v>1.6924995796411643E-12</v>
      </c>
      <c r="AH23" s="2">
        <f t="shared" si="6"/>
        <v>1.9073486328125E-6</v>
      </c>
      <c r="AJ23" s="2">
        <v>19</v>
      </c>
      <c r="AK23" s="2">
        <f t="shared" si="13"/>
        <v>3255.0697326660156</v>
      </c>
      <c r="AL23" s="2">
        <v>-1.1636844919848954E-3</v>
      </c>
      <c r="AM23" s="2">
        <f t="shared" si="14"/>
        <v>3255.0830841064453</v>
      </c>
      <c r="AN23" s="2">
        <v>4.0022118446358945E-4</v>
      </c>
      <c r="AO23" s="2">
        <f t="shared" si="9"/>
        <v>3255.0764083862305</v>
      </c>
      <c r="AP23" s="2">
        <v>-3.8127647394503583E-4</v>
      </c>
      <c r="AQ23" s="2">
        <f t="shared" si="10"/>
        <v>4.4368551988852123E-7</v>
      </c>
      <c r="AR23" s="2">
        <f t="shared" si="11"/>
        <v>-1.5259492201038315E-7</v>
      </c>
      <c r="AS23" s="2">
        <f t="shared" si="12"/>
        <v>1.33514404296875E-2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136.8771034118032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10.818767440915215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0.12205886840820401</v>
      </c>
      <c r="AA24" s="2">
        <f t="shared" si="0"/>
        <v>1.0805571884486831E-6</v>
      </c>
      <c r="AB24" s="2">
        <f t="shared" si="8"/>
        <v>0.12205982208252042</v>
      </c>
      <c r="AC24" s="2">
        <f t="shared" si="1"/>
        <v>-6.8862522942247928E-7</v>
      </c>
      <c r="AD24" s="2">
        <f t="shared" si="2"/>
        <v>0.12205934524536222</v>
      </c>
      <c r="AE24" s="2">
        <f t="shared" si="3"/>
        <v>1.9596438657898396E-7</v>
      </c>
      <c r="AF24" s="2">
        <f t="shared" si="4"/>
        <v>2.1175072659785775E-13</v>
      </c>
      <c r="AG24" s="2">
        <f t="shared" si="5"/>
        <v>-1.3494602066658825E-13</v>
      </c>
      <c r="AH24" s="2">
        <f t="shared" si="6"/>
        <v>9.5367431640625E-7</v>
      </c>
      <c r="AJ24" s="2">
        <v>20</v>
      </c>
      <c r="AK24" s="2">
        <f t="shared" si="13"/>
        <v>3255.0764083862305</v>
      </c>
      <c r="AL24" s="2">
        <v>-3.8127647394503583E-4</v>
      </c>
      <c r="AM24" s="2">
        <f t="shared" si="14"/>
        <v>3255.0830841064453</v>
      </c>
      <c r="AN24" s="2">
        <v>4.0022118446358945E-4</v>
      </c>
      <c r="AO24" s="2">
        <f t="shared" si="9"/>
        <v>3255.0797462463379</v>
      </c>
      <c r="AP24" s="2">
        <v>9.0215753516531549E-6</v>
      </c>
      <c r="AQ24" s="2">
        <f t="shared" si="10"/>
        <v>-3.4397144395077616E-9</v>
      </c>
      <c r="AR24" s="2">
        <f t="shared" si="11"/>
        <v>3.6106255729661492E-9</v>
      </c>
      <c r="AS24" s="2">
        <f t="shared" si="12"/>
        <v>6.67572021484375E-3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49.438271228083089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7758.8368753729947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938.23155934791282</v>
      </c>
      <c r="T25" s="6" t="s">
        <v>20</v>
      </c>
      <c r="Y25" s="2">
        <v>21</v>
      </c>
      <c r="Z25" s="2">
        <f t="shared" si="7"/>
        <v>0.12205934524536222</v>
      </c>
      <c r="AA25" s="2">
        <f t="shared" si="0"/>
        <v>1.9596438657898396E-7</v>
      </c>
      <c r="AB25" s="2">
        <f t="shared" si="8"/>
        <v>0.12205982208252042</v>
      </c>
      <c r="AC25" s="2">
        <f t="shared" si="1"/>
        <v>-6.8862522942247928E-7</v>
      </c>
      <c r="AD25" s="2">
        <f t="shared" si="2"/>
        <v>0.12205958366394132</v>
      </c>
      <c r="AE25" s="2">
        <f t="shared" si="3"/>
        <v>-2.4633081965874659E-7</v>
      </c>
      <c r="AF25" s="2">
        <f t="shared" si="4"/>
        <v>-4.8272067969924601E-14</v>
      </c>
      <c r="AG25" s="2">
        <f t="shared" si="5"/>
        <v>1.6962961720133173E-13</v>
      </c>
      <c r="AH25" s="2">
        <f t="shared" si="6"/>
        <v>4.76837158203125E-7</v>
      </c>
      <c r="AJ25" s="2">
        <v>21</v>
      </c>
      <c r="AK25" s="2">
        <f t="shared" si="13"/>
        <v>3255.0764083862305</v>
      </c>
      <c r="AL25" s="2">
        <v>-3.8127647394503583E-4</v>
      </c>
      <c r="AM25" s="2">
        <f t="shared" si="14"/>
        <v>3255.0797462463379</v>
      </c>
      <c r="AN25" s="2">
        <v>9.0215753516531549E-6</v>
      </c>
      <c r="AO25" s="2">
        <f t="shared" si="9"/>
        <v>3255.0780773162842</v>
      </c>
      <c r="AP25" s="2">
        <v>-1.8567557026472059E-4</v>
      </c>
      <c r="AQ25" s="2">
        <f t="shared" si="10"/>
        <v>7.0793726728266412E-8</v>
      </c>
      <c r="AR25" s="2">
        <f t="shared" si="11"/>
        <v>-1.6750861481043467E-9</v>
      </c>
      <c r="AS25" s="2">
        <f t="shared" si="12"/>
        <v>3.337860107421875E-3</v>
      </c>
    </row>
    <row r="26" spans="2:45" x14ac:dyDescent="0.2">
      <c r="B26" s="6" t="s">
        <v>288</v>
      </c>
      <c r="C26" s="17">
        <v>50</v>
      </c>
      <c r="D26" s="6" t="s">
        <v>61</v>
      </c>
      <c r="F26" s="58" t="s">
        <v>84</v>
      </c>
      <c r="G26" s="58"/>
      <c r="H26" s="58"/>
      <c r="J26" s="15" t="s">
        <v>67</v>
      </c>
      <c r="K26" s="6">
        <f xml:space="preserve"> $C$81 * (0.0268 * $C$5)</f>
        <v>69.788907833071576</v>
      </c>
      <c r="L26" s="6" t="s">
        <v>7</v>
      </c>
      <c r="N26" s="6" t="s">
        <v>34</v>
      </c>
      <c r="O26" s="18">
        <f>AD34</f>
        <v>0.12205945095047444</v>
      </c>
      <c r="R26" s="6" t="s">
        <v>34</v>
      </c>
      <c r="S26" s="18">
        <f>AD68</f>
        <v>0.98460514517500997</v>
      </c>
      <c r="Y26" s="2">
        <v>22</v>
      </c>
      <c r="Z26" s="2">
        <f t="shared" si="7"/>
        <v>0.12205934524536222</v>
      </c>
      <c r="AA26" s="2">
        <f t="shared" si="0"/>
        <v>1.9596438657898396E-7</v>
      </c>
      <c r="AB26" s="2">
        <f t="shared" si="8"/>
        <v>0.12205958366394132</v>
      </c>
      <c r="AC26" s="2">
        <f t="shared" si="1"/>
        <v>-2.4633081965874659E-7</v>
      </c>
      <c r="AD26" s="2">
        <f t="shared" si="2"/>
        <v>0.12205946445465177</v>
      </c>
      <c r="AE26" s="2">
        <f t="shared" si="3"/>
        <v>-2.5183316099131048E-8</v>
      </c>
      <c r="AF26" s="2">
        <f t="shared" si="4"/>
        <v>-4.935033091390867E-15</v>
      </c>
      <c r="AG26" s="2">
        <f t="shared" si="5"/>
        <v>6.2034268964242596E-15</v>
      </c>
      <c r="AH26" s="2">
        <f t="shared" si="6"/>
        <v>2.384185791015625E-7</v>
      </c>
      <c r="AJ26" s="2">
        <v>22</v>
      </c>
      <c r="AK26" s="2">
        <f t="shared" si="13"/>
        <v>3255.0780773162842</v>
      </c>
      <c r="AL26" s="2">
        <v>-1.8567557026472059E-4</v>
      </c>
      <c r="AM26" s="2">
        <f t="shared" si="14"/>
        <v>3255.0797462463379</v>
      </c>
      <c r="AN26" s="2">
        <v>9.0215753516531549E-6</v>
      </c>
      <c r="AO26" s="2">
        <f t="shared" si="9"/>
        <v>3255.078911781311</v>
      </c>
      <c r="AP26" s="2">
        <v>-8.6163412561290897E-5</v>
      </c>
      <c r="AQ26" s="2">
        <f t="shared" si="10"/>
        <v>1.5998440763272076E-8</v>
      </c>
      <c r="AR26" s="2">
        <f t="shared" si="11"/>
        <v>-7.773297189772638E-10</v>
      </c>
      <c r="AS26" s="2">
        <f t="shared" si="12"/>
        <v>1.6689300537109375E-3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9.1793379470472569</v>
      </c>
      <c r="L27" s="6" t="s">
        <v>7</v>
      </c>
      <c r="N27" s="6" t="s">
        <v>35</v>
      </c>
      <c r="O27" s="6">
        <f xml:space="preserve"> O21 * $C$9 * O26 - $G$4 * SIN(O19/180*PI())</f>
        <v>14.991840321897833</v>
      </c>
      <c r="P27" s="6" t="s">
        <v>10</v>
      </c>
      <c r="R27" s="6" t="s">
        <v>35</v>
      </c>
      <c r="S27" s="6">
        <f xml:space="preserve"> S21 * $C$11 * S26 - $C$8 * SIN(S19/180*PI())</f>
        <v>3.8680867012158373</v>
      </c>
      <c r="T27" s="6" t="s">
        <v>10</v>
      </c>
      <c r="Y27" s="2">
        <v>23</v>
      </c>
      <c r="Z27" s="2">
        <f t="shared" si="7"/>
        <v>0.12205934524536222</v>
      </c>
      <c r="AA27" s="2">
        <f t="shared" si="0"/>
        <v>1.9596438657898396E-7</v>
      </c>
      <c r="AB27" s="2">
        <f t="shared" si="8"/>
        <v>0.12205946445465177</v>
      </c>
      <c r="AC27" s="2">
        <f t="shared" si="1"/>
        <v>-2.5183316099131048E-8</v>
      </c>
      <c r="AD27" s="2">
        <f t="shared" si="2"/>
        <v>0.12205940485000699</v>
      </c>
      <c r="AE27" s="2">
        <f t="shared" si="3"/>
        <v>8.5390510357052918E-8</v>
      </c>
      <c r="AF27" s="2">
        <f t="shared" si="4"/>
        <v>1.6733498981786252E-14</v>
      </c>
      <c r="AG27" s="2">
        <f t="shared" si="5"/>
        <v>-2.1504162141877871E-15</v>
      </c>
      <c r="AH27" s="2">
        <f t="shared" si="6"/>
        <v>1.1920928955078125E-7</v>
      </c>
      <c r="AJ27" s="2">
        <v>23</v>
      </c>
      <c r="AK27" s="2">
        <f t="shared" si="13"/>
        <v>3255.078911781311</v>
      </c>
      <c r="AL27" s="2">
        <v>-8.6163412561290897E-5</v>
      </c>
      <c r="AM27" s="2">
        <f t="shared" si="14"/>
        <v>3255.0797462463379</v>
      </c>
      <c r="AN27" s="2">
        <v>9.0215753516531549E-6</v>
      </c>
      <c r="AO27" s="2">
        <f t="shared" si="9"/>
        <v>3255.0793290138245</v>
      </c>
      <c r="AP27" s="2">
        <v>-3.9022564124024939E-5</v>
      </c>
      <c r="AQ27" s="2">
        <f t="shared" si="10"/>
        <v>3.3623172918177899E-9</v>
      </c>
      <c r="AR27" s="2">
        <f t="shared" si="11"/>
        <v>-3.5204500265960808E-10</v>
      </c>
      <c r="AS27" s="2">
        <f t="shared" si="12"/>
        <v>8.3446502685546875E-4</v>
      </c>
    </row>
    <row r="28" spans="2:45" x14ac:dyDescent="0.2">
      <c r="B28" s="58" t="s">
        <v>243</v>
      </c>
      <c r="C28" s="58"/>
      <c r="D28" s="58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20.832509800916888</v>
      </c>
      <c r="L28" s="6" t="s">
        <v>7</v>
      </c>
      <c r="N28" s="6" t="s">
        <v>36</v>
      </c>
      <c r="O28" s="6">
        <f xml:space="preserve"> 1/$C$25 - O25 * SQRT( (2*$C$66*PI()*$C$9^2) / O20^3 )</f>
        <v>1.2133304706170038</v>
      </c>
      <c r="R28" s="6" t="s">
        <v>36</v>
      </c>
      <c r="S28" s="6">
        <f xml:space="preserve"> 1/$C$32 - S25 * SQRT( (2*$C$72*PI()*$C$11^2) / S20^3 )</f>
        <v>1.3070961261538667</v>
      </c>
      <c r="Y28" s="2">
        <v>24</v>
      </c>
      <c r="Z28" s="2">
        <f t="shared" si="7"/>
        <v>0.12205940485000699</v>
      </c>
      <c r="AA28" s="2">
        <f t="shared" si="0"/>
        <v>8.5390510357052918E-8</v>
      </c>
      <c r="AB28" s="2">
        <f t="shared" si="8"/>
        <v>0.12205946445465177</v>
      </c>
      <c r="AC28" s="2">
        <f t="shared" si="1"/>
        <v>-2.5183316099131048E-8</v>
      </c>
      <c r="AD28" s="2">
        <f t="shared" si="2"/>
        <v>0.12205943465232938</v>
      </c>
      <c r="AE28" s="2">
        <f t="shared" si="3"/>
        <v>3.0103590911711997E-8</v>
      </c>
      <c r="AF28" s="2">
        <f t="shared" si="4"/>
        <v>2.5705609915310275E-15</v>
      </c>
      <c r="AG28" s="2">
        <f t="shared" si="5"/>
        <v>-7.5810824564857188E-16</v>
      </c>
      <c r="AH28" s="2">
        <f t="shared" si="6"/>
        <v>5.9604644775390625E-8</v>
      </c>
      <c r="AJ28" s="2">
        <v>24</v>
      </c>
      <c r="AK28" s="2">
        <f t="shared" si="13"/>
        <v>3255.0793290138245</v>
      </c>
      <c r="AL28" s="2">
        <v>-3.9022564124024939E-5</v>
      </c>
      <c r="AM28" s="2">
        <f t="shared" si="14"/>
        <v>3255.0797462463379</v>
      </c>
      <c r="AN28" s="2">
        <v>9.0215753516531549E-6</v>
      </c>
      <c r="AO28" s="2">
        <f t="shared" si="9"/>
        <v>3255.0795376300812</v>
      </c>
      <c r="AP28" s="2">
        <v>-1.5000491202954436E-5</v>
      </c>
      <c r="AQ28" s="2">
        <f t="shared" si="10"/>
        <v>5.8535762985916146E-10</v>
      </c>
      <c r="AR28" s="2">
        <f t="shared" si="11"/>
        <v>-1.3532806169926372E-10</v>
      </c>
      <c r="AS28" s="2">
        <f t="shared" si="12"/>
        <v>4.1723251342773438E-4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61.145246271804616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0.12205943465232938</v>
      </c>
      <c r="AA29" s="2">
        <f t="shared" si="0"/>
        <v>3.0103590911711997E-8</v>
      </c>
      <c r="AB29" s="2">
        <f t="shared" si="8"/>
        <v>0.12205946445465177</v>
      </c>
      <c r="AC29" s="2">
        <f t="shared" si="1"/>
        <v>-2.5183316099131048E-8</v>
      </c>
      <c r="AD29" s="2">
        <f t="shared" si="2"/>
        <v>0.12205944955349057</v>
      </c>
      <c r="AE29" s="2">
        <f t="shared" si="3"/>
        <v>2.4601358450393462E-9</v>
      </c>
      <c r="AF29" s="2">
        <f t="shared" si="4"/>
        <v>7.4058923066303373E-17</v>
      </c>
      <c r="AG29" s="2">
        <f t="shared" si="5"/>
        <v>-6.1954378632428739E-17</v>
      </c>
      <c r="AH29" s="2">
        <f t="shared" si="6"/>
        <v>2.9802322387695312E-8</v>
      </c>
      <c r="AJ29" s="2">
        <v>25</v>
      </c>
      <c r="AK29" s="2">
        <f t="shared" si="13"/>
        <v>3255.0795376300812</v>
      </c>
      <c r="AL29" s="2">
        <v>-1.5000491202954436E-5</v>
      </c>
      <c r="AM29" s="2">
        <f t="shared" si="14"/>
        <v>3255.0797462463379</v>
      </c>
      <c r="AN29" s="2">
        <v>9.0215753516531549E-6</v>
      </c>
      <c r="AO29" s="2">
        <f t="shared" si="9"/>
        <v>3255.0796419382095</v>
      </c>
      <c r="AP29" s="2">
        <v>-2.9894563340349123E-6</v>
      </c>
      <c r="AQ29" s="2">
        <f t="shared" si="10"/>
        <v>4.4843313440307119E-11</v>
      </c>
      <c r="AR29" s="2">
        <f t="shared" si="11"/>
        <v>-2.6969605577972765E-11</v>
      </c>
      <c r="AS29" s="2">
        <f t="shared" si="12"/>
        <v>2.0861625671386719E-4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3988.0793228377565</v>
      </c>
      <c r="H30" s="6" t="s">
        <v>22</v>
      </c>
      <c r="J30" s="10" t="s">
        <v>57</v>
      </c>
      <c r="K30" s="10">
        <f>$C$5 - $C$17 - SUM(K15:K29)</f>
        <v>-4.9112713895738125E-10</v>
      </c>
      <c r="L30" s="10" t="s">
        <v>7</v>
      </c>
      <c r="N30" s="6" t="s">
        <v>38</v>
      </c>
      <c r="O30" s="6">
        <f xml:space="preserve"> 1/$C$78 * LN( EXP($C$78 * O28) + EXP($C$78 * O29) )</f>
        <v>1.2179770683706699</v>
      </c>
      <c r="R30" s="6" t="s">
        <v>38</v>
      </c>
      <c r="S30" s="6">
        <f xml:space="preserve"> 1/$C$78 * LN( EXP($C$78 * S28) + EXP($C$78 * S29) )</f>
        <v>1.3073940853865169</v>
      </c>
      <c r="Y30" s="2">
        <v>26</v>
      </c>
      <c r="Z30" s="2">
        <f>IF(AF29&gt;0, AD29, Z29)</f>
        <v>0.12205944955349057</v>
      </c>
      <c r="AA30" s="2">
        <f t="shared" si="0"/>
        <v>2.4601358450393462E-9</v>
      </c>
      <c r="AB30" s="2">
        <f t="shared" si="8"/>
        <v>0.12205946445465177</v>
      </c>
      <c r="AC30" s="2">
        <f t="shared" si="1"/>
        <v>-2.5183316099131048E-8</v>
      </c>
      <c r="AD30" s="2">
        <f t="shared" si="2"/>
        <v>0.12205945700407117</v>
      </c>
      <c r="AE30" s="2">
        <f t="shared" si="3"/>
        <v>-1.1361590515623909E-8</v>
      </c>
      <c r="AF30" s="2">
        <f t="shared" si="4"/>
        <v>-2.795105608414545E-17</v>
      </c>
      <c r="AG30" s="2">
        <f t="shared" si="5"/>
        <v>2.8612252534384622E-16</v>
      </c>
      <c r="AH30" s="2">
        <f t="shared" si="6"/>
        <v>1.4901161193847656E-8</v>
      </c>
      <c r="AJ30" s="2">
        <v>26</v>
      </c>
      <c r="AK30" s="2">
        <f t="shared" si="13"/>
        <v>3255.0796419382095</v>
      </c>
      <c r="AL30" s="2">
        <v>-2.9894563340349123E-6</v>
      </c>
      <c r="AM30" s="2">
        <f t="shared" si="14"/>
        <v>3255.0797462463379</v>
      </c>
      <c r="AN30" s="2">
        <v>9.0215753516531549E-6</v>
      </c>
      <c r="AO30" s="2">
        <f t="shared" si="9"/>
        <v>3255.0796940922737</v>
      </c>
      <c r="AP30" s="2">
        <v>3.4677195799304172E-6</v>
      </c>
      <c r="AQ30" s="2">
        <f t="shared" si="10"/>
        <v>-1.0366596262879871E-11</v>
      </c>
      <c r="AR30" s="2">
        <f t="shared" si="11"/>
        <v>3.1284293488745285E-11</v>
      </c>
      <c r="AS30" s="2">
        <f t="shared" si="12"/>
        <v>1.0430812835693359E-4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86.207242057925811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0.12205944955349057</v>
      </c>
      <c r="AA31" s="2">
        <f t="shared" si="0"/>
        <v>2.4601358450393462E-9</v>
      </c>
      <c r="AB31" s="2">
        <f t="shared" si="8"/>
        <v>0.12205945700407117</v>
      </c>
      <c r="AC31" s="2">
        <f t="shared" si="1"/>
        <v>-1.1361590515623909E-8</v>
      </c>
      <c r="AD31" s="2">
        <f t="shared" si="2"/>
        <v>0.12205945327878087</v>
      </c>
      <c r="AE31" s="2">
        <f t="shared" si="3"/>
        <v>-4.4507274254979023E-9</v>
      </c>
      <c r="AF31" s="2">
        <f t="shared" si="4"/>
        <v>-1.0949394075967075E-17</v>
      </c>
      <c r="AG31" s="2">
        <f t="shared" si="5"/>
        <v>5.0567342505164185E-17</v>
      </c>
      <c r="AH31" s="2">
        <f t="shared" si="6"/>
        <v>7.4505805969238281E-9</v>
      </c>
      <c r="AJ31" s="2">
        <v>27</v>
      </c>
      <c r="AK31" s="2">
        <f t="shared" si="13"/>
        <v>3255.0796419382095</v>
      </c>
      <c r="AL31" s="2">
        <v>-2.9894563340349123E-6</v>
      </c>
      <c r="AM31" s="2">
        <f t="shared" si="14"/>
        <v>3255.0796940922737</v>
      </c>
      <c r="AN31" s="2">
        <v>3.4677195799304172E-6</v>
      </c>
      <c r="AO31" s="2">
        <f t="shared" si="9"/>
        <v>3255.0796680152416</v>
      </c>
      <c r="AP31" s="2">
        <v>2.4026612663874403E-6</v>
      </c>
      <c r="AQ31" s="2">
        <f t="shared" si="10"/>
        <v>-7.182650941342277E-12</v>
      </c>
      <c r="AR31" s="2">
        <f t="shared" si="11"/>
        <v>8.3317555173921387E-12</v>
      </c>
      <c r="AS31" s="2">
        <f t="shared" si="12"/>
        <v>5.2154064178466797E-5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4.7198465852295444</v>
      </c>
      <c r="H32" s="6" t="s">
        <v>275</v>
      </c>
      <c r="Y32" s="2">
        <v>28</v>
      </c>
      <c r="Z32" s="2">
        <f t="shared" si="15"/>
        <v>0.12205944955349057</v>
      </c>
      <c r="AA32" s="2">
        <f t="shared" si="0"/>
        <v>2.4601358450393462E-9</v>
      </c>
      <c r="AB32" s="2">
        <f t="shared" si="8"/>
        <v>0.12205945327878087</v>
      </c>
      <c r="AC32" s="2">
        <f t="shared" si="1"/>
        <v>-4.4507274254979023E-9</v>
      </c>
      <c r="AD32" s="2">
        <f t="shared" si="2"/>
        <v>0.12205945141613572</v>
      </c>
      <c r="AE32" s="2">
        <f t="shared" si="3"/>
        <v>-9.9529581798485367E-10</v>
      </c>
      <c r="AF32" s="2">
        <f t="shared" si="4"/>
        <v>-2.4485629182422953E-18</v>
      </c>
      <c r="AG32" s="2">
        <f t="shared" si="5"/>
        <v>4.4297903935885566E-18</v>
      </c>
      <c r="AH32" s="2">
        <f t="shared" si="6"/>
        <v>3.7252902984619141E-9</v>
      </c>
      <c r="AJ32" s="2">
        <v>28</v>
      </c>
      <c r="AK32" s="2">
        <f t="shared" si="13"/>
        <v>3255.0796419382095</v>
      </c>
      <c r="AL32" s="2">
        <v>-2.9894563340349123E-6</v>
      </c>
      <c r="AM32" s="2">
        <f t="shared" si="14"/>
        <v>3255.0796680152416</v>
      </c>
      <c r="AN32" s="2">
        <v>2.4026612663874403E-6</v>
      </c>
      <c r="AO32" s="2">
        <f t="shared" si="9"/>
        <v>3255.0796549767256</v>
      </c>
      <c r="AP32" s="2">
        <v>-2.9339707907638513E-7</v>
      </c>
      <c r="AQ32" s="2">
        <f t="shared" si="10"/>
        <v>8.7709775643224155E-13</v>
      </c>
      <c r="AR32" s="2">
        <f t="shared" si="11"/>
        <v>-7.0493379756804344E-13</v>
      </c>
      <c r="AS32" s="2">
        <f t="shared" si="12"/>
        <v>2.6077032089233398E-5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689.65793646340649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0.12205944955349057</v>
      </c>
      <c r="AA33" s="2">
        <f t="shared" si="0"/>
        <v>2.4601358450393462E-9</v>
      </c>
      <c r="AB33" s="2">
        <f t="shared" si="8"/>
        <v>0.12205945141613572</v>
      </c>
      <c r="AC33" s="2">
        <f t="shared" si="1"/>
        <v>-9.9529581798485367E-10</v>
      </c>
      <c r="AD33" s="2">
        <f t="shared" si="2"/>
        <v>0.12205945048481315</v>
      </c>
      <c r="AE33" s="2">
        <f t="shared" si="3"/>
        <v>7.3242001352724628E-10</v>
      </c>
      <c r="AF33" s="2">
        <f t="shared" si="4"/>
        <v>1.8018527289025814E-18</v>
      </c>
      <c r="AG33" s="2">
        <f t="shared" si="5"/>
        <v>-7.2897457647207818E-19</v>
      </c>
      <c r="AH33" s="2">
        <f t="shared" si="6"/>
        <v>1.862645149230957E-9</v>
      </c>
      <c r="AJ33" s="2">
        <v>29</v>
      </c>
      <c r="AK33" s="2">
        <f t="shared" si="13"/>
        <v>3255.0796549767256</v>
      </c>
      <c r="AL33" s="2">
        <v>-2.9339707907638513E-7</v>
      </c>
      <c r="AM33" s="2">
        <f t="shared" si="14"/>
        <v>3255.0796680152416</v>
      </c>
      <c r="AN33" s="2">
        <v>2.4026612663874403E-6</v>
      </c>
      <c r="AO33" s="2">
        <f t="shared" si="9"/>
        <v>3255.0796614959836</v>
      </c>
      <c r="AP33" s="2">
        <v>1.0546314115345012E-6</v>
      </c>
      <c r="AQ33" s="2">
        <f t="shared" si="10"/>
        <v>-3.0942577564642772E-13</v>
      </c>
      <c r="AR33" s="2">
        <f t="shared" si="11"/>
        <v>2.5339220428094584E-12</v>
      </c>
      <c r="AS33" s="2">
        <f t="shared" si="12"/>
        <v>1.3038516044616699E-5</v>
      </c>
    </row>
    <row r="34" spans="2:45" x14ac:dyDescent="0.2">
      <c r="J34" s="6" t="s">
        <v>60</v>
      </c>
      <c r="K34" s="6">
        <f>ROUND($C$17/$C$5 * 100, 2)</f>
        <v>18.43</v>
      </c>
      <c r="L34" s="6" t="s">
        <v>61</v>
      </c>
      <c r="Y34" s="2">
        <v>30</v>
      </c>
      <c r="Z34" s="2">
        <f t="shared" si="15"/>
        <v>0.12205945048481315</v>
      </c>
      <c r="AA34" s="2">
        <f t="shared" si="0"/>
        <v>7.3242001352724628E-10</v>
      </c>
      <c r="AB34" s="2">
        <f t="shared" si="8"/>
        <v>0.12205945141613572</v>
      </c>
      <c r="AC34" s="2">
        <f t="shared" si="1"/>
        <v>-9.9529581798485367E-10</v>
      </c>
      <c r="AD34" s="5">
        <f t="shared" si="2"/>
        <v>0.12205945095047444</v>
      </c>
      <c r="AE34" s="2">
        <f t="shared" si="3"/>
        <v>-1.3143790222880369E-10</v>
      </c>
      <c r="AF34" s="2">
        <f t="shared" si="4"/>
        <v>-9.6267750128413276E-20</v>
      </c>
      <c r="AG34" s="2">
        <f t="shared" si="5"/>
        <v>1.3081959441303039E-19</v>
      </c>
      <c r="AH34" s="2">
        <f t="shared" si="6"/>
        <v>9.3132257461547852E-10</v>
      </c>
      <c r="AJ34" s="2">
        <v>30</v>
      </c>
      <c r="AK34" s="2">
        <f t="shared" si="13"/>
        <v>3255.0796549767256</v>
      </c>
      <c r="AL34" s="2">
        <v>-2.9339707907638513E-7</v>
      </c>
      <c r="AM34" s="2">
        <f t="shared" si="14"/>
        <v>3255.0796614959836</v>
      </c>
      <c r="AN34" s="2">
        <v>1.0546314115345012E-6</v>
      </c>
      <c r="AO34" s="2">
        <f t="shared" si="9"/>
        <v>3255.0796582363546</v>
      </c>
      <c r="AP34" s="2">
        <v>3.8061671148170717E-7</v>
      </c>
      <c r="AQ34" s="2">
        <f t="shared" si="10"/>
        <v>-1.116718313963921E-13</v>
      </c>
      <c r="AR34" s="2">
        <f t="shared" si="11"/>
        <v>4.0141033968357284E-13</v>
      </c>
      <c r="AS34" s="2">
        <f t="shared" si="12"/>
        <v>6.5192580223083496E-6</v>
      </c>
    </row>
    <row r="35" spans="2:45" x14ac:dyDescent="0.2">
      <c r="B35" s="58" t="s">
        <v>107</v>
      </c>
      <c r="C35" s="58"/>
      <c r="D35" s="58"/>
      <c r="F35" s="54" t="s">
        <v>289</v>
      </c>
      <c r="G35" s="57"/>
      <c r="H35" s="57"/>
      <c r="J35" s="11" t="s">
        <v>55</v>
      </c>
      <c r="K35" s="6">
        <f>ROUND(K15/$C$5 * 100, 2)</f>
        <v>32.729999999999997</v>
      </c>
      <c r="L35" s="6" t="s">
        <v>61</v>
      </c>
      <c r="AJ35" s="2">
        <v>31</v>
      </c>
      <c r="AK35" s="2">
        <f t="shared" si="13"/>
        <v>3255.0796549767256</v>
      </c>
      <c r="AL35" s="2">
        <v>-2.9339707907638513E-7</v>
      </c>
      <c r="AM35" s="2">
        <f t="shared" si="14"/>
        <v>3255.0796582363546</v>
      </c>
      <c r="AN35" s="2">
        <v>3.8061671148170717E-7</v>
      </c>
      <c r="AO35" s="2">
        <f t="shared" si="9"/>
        <v>3255.0796566065401</v>
      </c>
      <c r="AP35" s="2">
        <v>4.3610270950011909E-8</v>
      </c>
      <c r="AQ35" s="2">
        <f t="shared" si="10"/>
        <v>-1.2795126114463225E-14</v>
      </c>
      <c r="AR35" s="2">
        <f t="shared" si="11"/>
        <v>1.6598797915819758E-14</v>
      </c>
      <c r="AS35" s="2">
        <f t="shared" si="12"/>
        <v>3.2596290111541748E-6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18.05</v>
      </c>
      <c r="L36" s="6" t="s">
        <v>61</v>
      </c>
      <c r="Y36" s="16" t="s">
        <v>96</v>
      </c>
      <c r="AJ36" s="2">
        <v>32</v>
      </c>
      <c r="AK36" s="2">
        <f t="shared" si="13"/>
        <v>3255.0796549767256</v>
      </c>
      <c r="AL36" s="2">
        <v>-2.9339707907638513E-7</v>
      </c>
      <c r="AM36" s="2">
        <f t="shared" si="14"/>
        <v>3255.0796566065401</v>
      </c>
      <c r="AN36" s="2">
        <v>4.3610270950011909E-8</v>
      </c>
      <c r="AO36" s="2">
        <f t="shared" si="9"/>
        <v>3255.0796557916328</v>
      </c>
      <c r="AP36" s="2">
        <v>-1.2489363143686205E-7</v>
      </c>
      <c r="AQ36" s="2">
        <f t="shared" si="10"/>
        <v>3.6643426658817915E-14</v>
      </c>
      <c r="AR36" s="2">
        <f t="shared" si="11"/>
        <v>-5.4466451068924792E-15</v>
      </c>
      <c r="AS36" s="2">
        <f t="shared" si="12"/>
        <v>1.6298145055770874E-6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136.8771034118032</v>
      </c>
      <c r="H37" s="43" t="s">
        <v>104</v>
      </c>
      <c r="J37" s="20" t="s">
        <v>72</v>
      </c>
      <c r="K37" s="6">
        <f>ROUND(SUM(K20:K25)/$C$5 * 100, 2)</f>
        <v>25.84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3255.0796557916328</v>
      </c>
      <c r="AL37" s="2">
        <v>-1.2489363143686205E-7</v>
      </c>
      <c r="AM37" s="2">
        <f t="shared" si="14"/>
        <v>3255.0796566065401</v>
      </c>
      <c r="AN37" s="2">
        <v>4.3610270950011909E-8</v>
      </c>
      <c r="AO37" s="2">
        <f t="shared" si="9"/>
        <v>3255.0796561990865</v>
      </c>
      <c r="AP37" s="2">
        <v>-4.0641680243425071E-8</v>
      </c>
      <c r="AQ37" s="2">
        <f t="shared" si="10"/>
        <v>5.0758870332971288E-15</v>
      </c>
      <c r="AR37" s="2">
        <f t="shared" si="11"/>
        <v>-1.7723946872795133E-15</v>
      </c>
      <c r="AS37" s="2">
        <f t="shared" si="12"/>
        <v>8.149072527885437E-7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4.9400000000000004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1.7904901685032764</v>
      </c>
      <c r="AB38" s="3">
        <v>1</v>
      </c>
      <c r="AC38" s="2">
        <f t="shared" ref="AC38:AC68" si="17" xml:space="preserve"> $S$22 * TAN($S$19/180*PI()) + $S$23 / (2 * SQRT($S$22^2 + AB38^2)) - AB38</f>
        <v>-1.6480158746813967E-2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0.55207431830730913</v>
      </c>
      <c r="AF38" s="2">
        <f>AA38*AE38</f>
        <v>0.98848363921238536</v>
      </c>
      <c r="AG38" s="2">
        <f>AC38*AE38</f>
        <v>-9.0982724057435578E-3</v>
      </c>
      <c r="AH38" s="2">
        <f>AB38-Z38</f>
        <v>1</v>
      </c>
      <c r="AJ38" s="2">
        <v>34</v>
      </c>
      <c r="AK38" s="2">
        <f t="shared" si="13"/>
        <v>3255.0796561990865</v>
      </c>
      <c r="AL38" s="2">
        <v>-4.0641680243425071E-8</v>
      </c>
      <c r="AM38" s="2">
        <f t="shared" si="14"/>
        <v>3255.0796566065401</v>
      </c>
      <c r="AN38" s="2">
        <v>4.3610270950011909E-8</v>
      </c>
      <c r="AO38" s="2">
        <f t="shared" si="9"/>
        <v>3255.0796564028133</v>
      </c>
      <c r="AP38" s="2">
        <v>1.483385858591646E-9</v>
      </c>
      <c r="AQ38" s="2">
        <f t="shared" si="10"/>
        <v>-6.0287293742500234E-17</v>
      </c>
      <c r="AR38" s="2">
        <f t="shared" si="11"/>
        <v>6.4690859216597731E-17</v>
      </c>
      <c r="AS38" s="2">
        <f t="shared" si="12"/>
        <v>4.0745362639427185E-7</v>
      </c>
    </row>
    <row r="39" spans="2:45" x14ac:dyDescent="0.2">
      <c r="J39" s="10" t="s">
        <v>62</v>
      </c>
      <c r="K39" s="10">
        <f>SUM(K34:K38)</f>
        <v>99.99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0.55207431830730913</v>
      </c>
      <c r="AB39" s="2">
        <f>IF(AG38&gt;0, AD38, AB38)</f>
        <v>1</v>
      </c>
      <c r="AC39" s="2">
        <f t="shared" si="17"/>
        <v>-1.6480158746813967E-2</v>
      </c>
      <c r="AD39" s="2">
        <f t="shared" ref="AD39:AD68" si="19" xml:space="preserve"> (Z39 + AB39)/2</f>
        <v>0.75</v>
      </c>
      <c r="AE39" s="2">
        <f t="shared" si="18"/>
        <v>0.25657951859169281</v>
      </c>
      <c r="AF39" s="2">
        <f t="shared" ref="AF39:AF68" si="20">AA39*AE39</f>
        <v>0.14165096281812636</v>
      </c>
      <c r="AG39" s="2">
        <f t="shared" ref="AG39:AG68" si="21">AC39*AE39</f>
        <v>-4.2284711975722027E-3</v>
      </c>
      <c r="AH39" s="2">
        <f t="shared" ref="AH39:AH68" si="22">AB39-Z39</f>
        <v>0.5</v>
      </c>
      <c r="AJ39" s="2">
        <v>35</v>
      </c>
      <c r="AK39" s="2">
        <f t="shared" si="13"/>
        <v>3255.0796561990865</v>
      </c>
      <c r="AL39" s="2">
        <v>-4.0641680243425071E-8</v>
      </c>
      <c r="AM39" s="2">
        <f t="shared" si="14"/>
        <v>3255.0796564028133</v>
      </c>
      <c r="AN39" s="2">
        <v>1.483385858591646E-9</v>
      </c>
      <c r="AO39" s="2">
        <f t="shared" si="9"/>
        <v>3255.0796563009499</v>
      </c>
      <c r="AP39" s="2">
        <v>-1.9579147192416713E-8</v>
      </c>
      <c r="AQ39" s="2">
        <f t="shared" si="10"/>
        <v>7.9572943963315376E-16</v>
      </c>
      <c r="AR39" s="2">
        <f t="shared" si="11"/>
        <v>-2.904343006851528E-17</v>
      </c>
      <c r="AS39" s="2">
        <f t="shared" si="12"/>
        <v>2.0372681319713593E-7</v>
      </c>
    </row>
    <row r="40" spans="2:45" x14ac:dyDescent="0.2">
      <c r="B40" s="58" t="s">
        <v>111</v>
      </c>
      <c r="C40" s="58"/>
      <c r="D40" s="58"/>
      <c r="Y40" s="2">
        <v>2</v>
      </c>
      <c r="Z40" s="2">
        <f t="shared" ref="Z40:Z68" si="23">IF(AF39&gt;0, AD39, Z39)</f>
        <v>0.75</v>
      </c>
      <c r="AA40" s="2">
        <f t="shared" si="16"/>
        <v>0.25657951859169281</v>
      </c>
      <c r="AB40" s="2">
        <f t="shared" ref="AB40:AB68" si="24">IF(AG39&gt;0, AD39, AB39)</f>
        <v>1</v>
      </c>
      <c r="AC40" s="2">
        <f t="shared" si="17"/>
        <v>-1.6480158746813967E-2</v>
      </c>
      <c r="AD40" s="2">
        <f t="shared" si="19"/>
        <v>0.875</v>
      </c>
      <c r="AE40" s="2">
        <f t="shared" si="18"/>
        <v>0.11842328850010009</v>
      </c>
      <c r="AF40" s="2">
        <f t="shared" si="20"/>
        <v>3.0384990353400834E-2</v>
      </c>
      <c r="AG40" s="2">
        <f t="shared" si="21"/>
        <v>-1.9516345938013983E-3</v>
      </c>
      <c r="AH40" s="2">
        <f t="shared" si="22"/>
        <v>0.25</v>
      </c>
      <c r="AJ40" s="2">
        <v>36</v>
      </c>
      <c r="AK40" s="2">
        <f t="shared" si="13"/>
        <v>3255.0796563009499</v>
      </c>
      <c r="AL40" s="2">
        <v>-1.9579147192416713E-8</v>
      </c>
      <c r="AM40" s="2">
        <f t="shared" si="14"/>
        <v>3255.0796564028133</v>
      </c>
      <c r="AN40" s="2">
        <v>1.483385858591646E-9</v>
      </c>
      <c r="AO40" s="2">
        <f t="shared" si="9"/>
        <v>3255.0796563518816</v>
      </c>
      <c r="AP40" s="2">
        <v>-9.0481080405879766E-9</v>
      </c>
      <c r="AQ40" s="2">
        <f t="shared" si="10"/>
        <v>1.7715423913956116E-16</v>
      </c>
      <c r="AR40" s="2">
        <f t="shared" si="11"/>
        <v>-1.3421835514417571E-17</v>
      </c>
      <c r="AS40" s="2">
        <f t="shared" si="12"/>
        <v>1.0186340659856796E-7</v>
      </c>
    </row>
    <row r="41" spans="2:45" x14ac:dyDescent="0.2">
      <c r="B41" s="6" t="s">
        <v>124</v>
      </c>
      <c r="C41" s="22" t="s">
        <v>125</v>
      </c>
      <c r="J41" s="58" t="s">
        <v>116</v>
      </c>
      <c r="K41" s="58"/>
      <c r="L41" s="58"/>
      <c r="Y41" s="2">
        <v>3</v>
      </c>
      <c r="Z41" s="2">
        <f t="shared" si="23"/>
        <v>0.875</v>
      </c>
      <c r="AA41" s="2">
        <f t="shared" si="16"/>
        <v>0.11842328850010009</v>
      </c>
      <c r="AB41" s="2">
        <f t="shared" si="24"/>
        <v>1</v>
      </c>
      <c r="AC41" s="2">
        <f t="shared" si="17"/>
        <v>-1.6480158746813967E-2</v>
      </c>
      <c r="AD41" s="2">
        <f t="shared" si="19"/>
        <v>0.9375</v>
      </c>
      <c r="AE41" s="2">
        <f t="shared" si="18"/>
        <v>5.064503431445555E-2</v>
      </c>
      <c r="AF41" s="2">
        <f t="shared" si="20"/>
        <v>5.9975515097182384E-3</v>
      </c>
      <c r="AG41" s="2">
        <f t="shared" si="21"/>
        <v>-8.3463820524006806E-4</v>
      </c>
      <c r="AH41" s="2">
        <f t="shared" si="22"/>
        <v>0.125</v>
      </c>
      <c r="AJ41" s="2">
        <v>37</v>
      </c>
      <c r="AK41" s="2">
        <f t="shared" si="13"/>
        <v>3255.0796563518816</v>
      </c>
      <c r="AL41" s="2">
        <v>-9.0481080405879766E-9</v>
      </c>
      <c r="AM41" s="2">
        <f t="shared" si="14"/>
        <v>3255.0796564028133</v>
      </c>
      <c r="AN41" s="2">
        <v>1.483385858591646E-9</v>
      </c>
      <c r="AO41" s="2">
        <f t="shared" si="9"/>
        <v>3255.0796563773474</v>
      </c>
      <c r="AP41" s="2">
        <v>-3.7812242226209491E-9</v>
      </c>
      <c r="AQ41" s="2">
        <f t="shared" si="10"/>
        <v>3.4212925291962631E-17</v>
      </c>
      <c r="AR41" s="2">
        <f t="shared" si="11"/>
        <v>-5.6090145400001057E-18</v>
      </c>
      <c r="AS41" s="2">
        <f t="shared" si="12"/>
        <v>5.0931703299283981E-8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5.064503431445555E-2</v>
      </c>
      <c r="AB42" s="2">
        <f t="shared" si="24"/>
        <v>1</v>
      </c>
      <c r="AC42" s="2">
        <f t="shared" si="17"/>
        <v>-1.6480158746813967E-2</v>
      </c>
      <c r="AD42" s="2">
        <f t="shared" si="19"/>
        <v>0.96875</v>
      </c>
      <c r="AE42" s="2">
        <f t="shared" si="18"/>
        <v>1.7008595118792824E-2</v>
      </c>
      <c r="AF42" s="2">
        <f t="shared" si="20"/>
        <v>8.6140088343194371E-4</v>
      </c>
      <c r="AG42" s="2">
        <f t="shared" si="21"/>
        <v>-2.8030434761799092E-4</v>
      </c>
      <c r="AH42" s="2">
        <f t="shared" si="22"/>
        <v>6.25E-2</v>
      </c>
      <c r="AJ42" s="2">
        <v>38</v>
      </c>
      <c r="AK42" s="2">
        <f t="shared" si="13"/>
        <v>3255.0796563773474</v>
      </c>
      <c r="AL42" s="2">
        <v>-3.7812242226209491E-9</v>
      </c>
      <c r="AM42" s="2">
        <f t="shared" si="14"/>
        <v>3255.0796564028133</v>
      </c>
      <c r="AN42" s="2">
        <v>1.483385858591646E-9</v>
      </c>
      <c r="AO42" s="2">
        <f t="shared" si="9"/>
        <v>3255.0796563900803</v>
      </c>
      <c r="AP42" s="2">
        <v>-1.1491465556900948E-9</v>
      </c>
      <c r="AQ42" s="2">
        <f t="shared" si="10"/>
        <v>4.3451807917168201E-18</v>
      </c>
      <c r="AR42" s="2">
        <f t="shared" si="11"/>
        <v>-1.704627750159984E-18</v>
      </c>
      <c r="AS42" s="2">
        <f t="shared" si="12"/>
        <v>2.5465851649641991E-8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1065.47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1.7008595118792824E-2</v>
      </c>
      <c r="AB43" s="2">
        <f t="shared" si="24"/>
        <v>1</v>
      </c>
      <c r="AC43" s="2">
        <f t="shared" si="17"/>
        <v>-1.6480158746813967E-2</v>
      </c>
      <c r="AD43" s="2">
        <f t="shared" si="19"/>
        <v>0.984375</v>
      </c>
      <c r="AE43" s="2">
        <f t="shared" si="18"/>
        <v>2.4662491666394004E-4</v>
      </c>
      <c r="AF43" s="2">
        <f t="shared" si="20"/>
        <v>4.1947433537429774E-6</v>
      </c>
      <c r="AG43" s="2">
        <f t="shared" si="21"/>
        <v>-4.0644177775414972E-6</v>
      </c>
      <c r="AH43" s="2">
        <f t="shared" si="22"/>
        <v>3.125E-2</v>
      </c>
      <c r="AJ43" s="2">
        <v>39</v>
      </c>
      <c r="AK43" s="2">
        <f t="shared" si="13"/>
        <v>3255.0796563900803</v>
      </c>
      <c r="AL43" s="2">
        <v>-1.1491465556900948E-9</v>
      </c>
      <c r="AM43" s="2">
        <f t="shared" si="14"/>
        <v>3255.0796564028133</v>
      </c>
      <c r="AN43" s="2">
        <v>1.483385858591646E-9</v>
      </c>
      <c r="AO43" s="2">
        <f t="shared" si="9"/>
        <v>3255.0796563964468</v>
      </c>
      <c r="AP43" s="2">
        <v>1.6643753042444587E-10</v>
      </c>
      <c r="AQ43" s="2">
        <f t="shared" si="10"/>
        <v>-1.9126111482481734E-19</v>
      </c>
      <c r="AR43" s="2">
        <f t="shared" si="11"/>
        <v>2.4689107897053983E-19</v>
      </c>
      <c r="AS43" s="2">
        <f t="shared" si="12"/>
        <v>1.2732925824820995E-8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587.65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2.4662491666394004E-4</v>
      </c>
      <c r="AB44" s="2">
        <f t="shared" si="24"/>
        <v>1</v>
      </c>
      <c r="AC44" s="2">
        <f t="shared" si="17"/>
        <v>-1.6480158746813967E-2</v>
      </c>
      <c r="AD44" s="2">
        <f t="shared" si="19"/>
        <v>0.9921875</v>
      </c>
      <c r="AE44" s="2">
        <f t="shared" si="18"/>
        <v>-8.1210626855090506E-3</v>
      </c>
      <c r="AF44" s="2">
        <f t="shared" si="20"/>
        <v>-2.0028564080363027E-6</v>
      </c>
      <c r="AG44" s="2">
        <f t="shared" si="21"/>
        <v>1.338364022500165E-4</v>
      </c>
      <c r="AH44" s="2">
        <f t="shared" si="22"/>
        <v>1.5625E-2</v>
      </c>
      <c r="AJ44" s="2">
        <v>40</v>
      </c>
      <c r="AK44" s="2">
        <f t="shared" si="13"/>
        <v>3255.0796563900803</v>
      </c>
      <c r="AL44" s="2">
        <v>-1.1491465556900948E-9</v>
      </c>
      <c r="AM44" s="2">
        <f t="shared" si="14"/>
        <v>3255.0796563964468</v>
      </c>
      <c r="AN44" s="2">
        <v>1.6643753042444587E-10</v>
      </c>
      <c r="AO44" s="5">
        <f t="shared" si="9"/>
        <v>3255.0796563932636</v>
      </c>
      <c r="AP44" s="2">
        <v>-4.9112713895738125E-10</v>
      </c>
      <c r="AQ44" s="2">
        <f t="shared" si="10"/>
        <v>5.6437706013880525E-19</v>
      </c>
      <c r="AR44" s="2">
        <f t="shared" si="11"/>
        <v>-8.1741988132490195E-20</v>
      </c>
      <c r="AS44" s="2">
        <f t="shared" si="12"/>
        <v>6.3664629124104977E-9</v>
      </c>
    </row>
    <row r="45" spans="2:45" x14ac:dyDescent="0.2">
      <c r="J45" s="20" t="s">
        <v>72</v>
      </c>
      <c r="K45" s="6">
        <f>ROUND(SUM(K20:K25), 2)</f>
        <v>841.01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2.4662491666394004E-4</v>
      </c>
      <c r="AB45" s="2">
        <f t="shared" si="24"/>
        <v>0.9921875</v>
      </c>
      <c r="AC45" s="2">
        <f t="shared" si="17"/>
        <v>-8.1210626855090506E-3</v>
      </c>
      <c r="AD45" s="2">
        <f t="shared" si="19"/>
        <v>0.98828125</v>
      </c>
      <c r="AE45" s="2">
        <f t="shared" si="18"/>
        <v>-3.9383053962095405E-3</v>
      </c>
      <c r="AF45" s="2">
        <f t="shared" si="20"/>
        <v>-9.7128424013732323E-7</v>
      </c>
      <c r="AG45" s="2">
        <f t="shared" si="21"/>
        <v>3.1983224997296234E-5</v>
      </c>
      <c r="AH45" s="2">
        <f t="shared" si="22"/>
        <v>7.8125E-3</v>
      </c>
    </row>
    <row r="46" spans="2:45" x14ac:dyDescent="0.2">
      <c r="B46" s="58" t="s">
        <v>248</v>
      </c>
      <c r="C46" s="58"/>
      <c r="D46" s="58"/>
      <c r="J46" s="15" t="s">
        <v>73</v>
      </c>
      <c r="K46" s="6">
        <f>ROUND(SUM(K26:K29), 2)</f>
        <v>160.94999999999999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2.4662491666394004E-4</v>
      </c>
      <c r="AB46" s="2">
        <f t="shared" si="24"/>
        <v>0.98828125</v>
      </c>
      <c r="AC46" s="2">
        <f t="shared" si="17"/>
        <v>-3.9383053962095405E-3</v>
      </c>
      <c r="AD46" s="2">
        <f t="shared" si="19"/>
        <v>0.986328125</v>
      </c>
      <c r="AE46" s="2">
        <f t="shared" si="18"/>
        <v>-1.8461134602896223E-3</v>
      </c>
      <c r="AF46" s="2">
        <f t="shared" si="20"/>
        <v>-4.552975782961061E-7</v>
      </c>
      <c r="AG46" s="2">
        <f t="shared" si="21"/>
        <v>7.2705586026736867E-6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3255.08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2.4662491666394004E-4</v>
      </c>
      <c r="AB47" s="2">
        <f t="shared" si="24"/>
        <v>0.986328125</v>
      </c>
      <c r="AC47" s="2">
        <f t="shared" si="17"/>
        <v>-1.8461134602896223E-3</v>
      </c>
      <c r="AD47" s="2">
        <f t="shared" si="19"/>
        <v>0.9853515625</v>
      </c>
      <c r="AE47" s="2">
        <f t="shared" si="18"/>
        <v>-7.998127773717334E-4</v>
      </c>
      <c r="AF47" s="2">
        <f t="shared" si="20"/>
        <v>-1.9725375956605817E-7</v>
      </c>
      <c r="AG47" s="2">
        <f t="shared" si="21"/>
        <v>1.476545134017584E-6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0.984375</v>
      </c>
      <c r="AA48" s="2">
        <f t="shared" si="16"/>
        <v>2.4662491666394004E-4</v>
      </c>
      <c r="AB48" s="2">
        <f t="shared" si="24"/>
        <v>0.9853515625</v>
      </c>
      <c r="AC48" s="2">
        <f t="shared" si="17"/>
        <v>-7.998127773717334E-4</v>
      </c>
      <c r="AD48" s="2">
        <f t="shared" si="19"/>
        <v>0.98486328125</v>
      </c>
      <c r="AE48" s="2">
        <f t="shared" si="18"/>
        <v>-2.7661108188281602E-4</v>
      </c>
      <c r="AF48" s="2">
        <f t="shared" si="20"/>
        <v>-6.82191850176718E-8</v>
      </c>
      <c r="AG48" s="2">
        <f t="shared" si="21"/>
        <v>2.2123707765249505E-7</v>
      </c>
      <c r="AH48" s="2">
        <f t="shared" si="22"/>
        <v>9.765625E-4</v>
      </c>
    </row>
    <row r="49" spans="2:34" x14ac:dyDescent="0.2">
      <c r="B49" s="58" t="s">
        <v>249</v>
      </c>
      <c r="C49" s="58"/>
      <c r="D49" s="58"/>
      <c r="Y49" s="2">
        <v>11</v>
      </c>
      <c r="Z49" s="2">
        <f t="shared" si="23"/>
        <v>0.984375</v>
      </c>
      <c r="AA49" s="2">
        <f t="shared" si="16"/>
        <v>2.4662491666394004E-4</v>
      </c>
      <c r="AB49" s="2">
        <f t="shared" si="24"/>
        <v>0.98486328125</v>
      </c>
      <c r="AC49" s="2">
        <f t="shared" si="17"/>
        <v>-2.7661108188281602E-4</v>
      </c>
      <c r="AD49" s="2">
        <f t="shared" si="19"/>
        <v>0.984619140625</v>
      </c>
      <c r="AE49" s="2">
        <f t="shared" si="18"/>
        <v>-1.499737363941378E-5</v>
      </c>
      <c r="AF49" s="2">
        <f t="shared" si="20"/>
        <v>-3.6987260239983948E-9</v>
      </c>
      <c r="AG49" s="2">
        <f t="shared" si="21"/>
        <v>4.1484397477990715E-9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0.984375</v>
      </c>
      <c r="AA50" s="2">
        <f t="shared" si="16"/>
        <v>2.4662491666394004E-4</v>
      </c>
      <c r="AB50" s="2">
        <f t="shared" si="24"/>
        <v>0.984619140625</v>
      </c>
      <c r="AC50" s="2">
        <f t="shared" si="17"/>
        <v>-1.499737363941378E-5</v>
      </c>
      <c r="AD50" s="2">
        <f t="shared" si="19"/>
        <v>0.9844970703125</v>
      </c>
      <c r="AE50" s="2">
        <f t="shared" si="18"/>
        <v>1.1581269836091757E-4</v>
      </c>
      <c r="AF50" s="2">
        <f t="shared" si="20"/>
        <v>2.856229708188732E-8</v>
      </c>
      <c r="AG50" s="2">
        <f t="shared" si="21"/>
        <v>-1.7368863095074045E-9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0.9844970703125</v>
      </c>
      <c r="AA51" s="2">
        <f t="shared" si="16"/>
        <v>1.1581269836091757E-4</v>
      </c>
      <c r="AB51" s="2">
        <f t="shared" si="24"/>
        <v>0.984619140625</v>
      </c>
      <c r="AC51" s="2">
        <f t="shared" si="17"/>
        <v>-1.499737363941378E-5</v>
      </c>
      <c r="AD51" s="2">
        <f t="shared" si="19"/>
        <v>0.98455810546875</v>
      </c>
      <c r="AE51" s="2">
        <f t="shared" si="18"/>
        <v>5.0407394122098381E-5</v>
      </c>
      <c r="AF51" s="2">
        <f t="shared" si="20"/>
        <v>5.8378163306224687E-9</v>
      </c>
      <c r="AG51" s="2">
        <f t="shared" si="21"/>
        <v>-7.5597852383829944E-10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0.98455810546875</v>
      </c>
      <c r="AA52" s="2">
        <f t="shared" si="16"/>
        <v>5.0407394122098381E-5</v>
      </c>
      <c r="AB52" s="2">
        <f t="shared" si="24"/>
        <v>0.984619140625</v>
      </c>
      <c r="AC52" s="2">
        <f t="shared" si="17"/>
        <v>-1.499737363941378E-5</v>
      </c>
      <c r="AD52" s="2">
        <f t="shared" si="19"/>
        <v>0.984588623046875</v>
      </c>
      <c r="AE52" s="2">
        <f t="shared" si="18"/>
        <v>1.7704943187868416E-5</v>
      </c>
      <c r="AF52" s="2">
        <f t="shared" si="20"/>
        <v>8.9246004918024422E-10</v>
      </c>
      <c r="AG52" s="2">
        <f t="shared" si="21"/>
        <v>-2.6552764825305637E-10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0.984588623046875</v>
      </c>
      <c r="AA53" s="2">
        <f t="shared" si="16"/>
        <v>1.7704943187868416E-5</v>
      </c>
      <c r="AB53" s="2">
        <f t="shared" si="24"/>
        <v>0.984619140625</v>
      </c>
      <c r="AC53" s="2">
        <f t="shared" si="17"/>
        <v>-1.499737363941378E-5</v>
      </c>
      <c r="AD53" s="2">
        <f t="shared" si="19"/>
        <v>0.9846038818359375</v>
      </c>
      <c r="AE53" s="2">
        <f t="shared" si="18"/>
        <v>1.3537680115804918E-6</v>
      </c>
      <c r="AF53" s="2">
        <f t="shared" si="20"/>
        <v>2.39683857345862E-11</v>
      </c>
      <c r="AG53" s="2">
        <f t="shared" si="21"/>
        <v>-2.0302964690758876E-11</v>
      </c>
      <c r="AH53" s="2">
        <f t="shared" si="22"/>
        <v>3.0517578125E-5</v>
      </c>
    </row>
    <row r="54" spans="2:34" x14ac:dyDescent="0.2">
      <c r="B54" s="58" t="s">
        <v>253</v>
      </c>
      <c r="C54" s="58"/>
      <c r="D54" s="58"/>
      <c r="Y54" s="2">
        <v>16</v>
      </c>
      <c r="Z54" s="2">
        <f t="shared" si="23"/>
        <v>0.9846038818359375</v>
      </c>
      <c r="AA54" s="2">
        <f t="shared" si="16"/>
        <v>1.3537680115804918E-6</v>
      </c>
      <c r="AB54" s="2">
        <f t="shared" si="24"/>
        <v>0.984619140625</v>
      </c>
      <c r="AC54" s="2">
        <f t="shared" si="17"/>
        <v>-1.499737363941378E-5</v>
      </c>
      <c r="AD54" s="2">
        <f t="shared" si="19"/>
        <v>0.98461151123046875</v>
      </c>
      <c r="AE54" s="2">
        <f t="shared" si="18"/>
        <v>-6.8218070045089618E-6</v>
      </c>
      <c r="AF54" s="2">
        <f t="shared" si="20"/>
        <v>-9.2351441038799683E-12</v>
      </c>
      <c r="AG54" s="2">
        <f t="shared" si="21"/>
        <v>1.0230918854259099E-10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0.9846038818359375</v>
      </c>
      <c r="AA55" s="2">
        <f t="shared" si="16"/>
        <v>1.3537680115804918E-6</v>
      </c>
      <c r="AB55" s="2">
        <f t="shared" si="24"/>
        <v>0.98461151123046875</v>
      </c>
      <c r="AC55" s="2">
        <f t="shared" si="17"/>
        <v>-6.8218070045089618E-6</v>
      </c>
      <c r="AD55" s="2">
        <f t="shared" si="19"/>
        <v>0.98460769653320312</v>
      </c>
      <c r="AE55" s="2">
        <f t="shared" si="18"/>
        <v>-2.7340205440706811E-6</v>
      </c>
      <c r="AF55" s="2">
        <f t="shared" si="20"/>
        <v>-3.7012295555667798E-12</v>
      </c>
      <c r="AG55" s="2">
        <f t="shared" si="21"/>
        <v>1.8650960498012776E-11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0.9846038818359375</v>
      </c>
      <c r="AA56" s="2">
        <f t="shared" si="16"/>
        <v>1.3537680115804918E-6</v>
      </c>
      <c r="AB56" s="2">
        <f t="shared" si="24"/>
        <v>0.98460769653320312</v>
      </c>
      <c r="AC56" s="2">
        <f t="shared" si="17"/>
        <v>-2.7340205440706811E-6</v>
      </c>
      <c r="AD56" s="2">
        <f t="shared" si="19"/>
        <v>0.98460578918457031</v>
      </c>
      <c r="AE56" s="2">
        <f t="shared" si="18"/>
        <v>-6.9012652814670616E-7</v>
      </c>
      <c r="AF56" s="2">
        <f t="shared" si="20"/>
        <v>-9.3427121774811476E-13</v>
      </c>
      <c r="AG56" s="2">
        <f t="shared" si="21"/>
        <v>1.8868201059612676E-12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0.9846038818359375</v>
      </c>
      <c r="AA57" s="2">
        <f t="shared" si="16"/>
        <v>1.3537680115804918E-6</v>
      </c>
      <c r="AB57" s="2">
        <f t="shared" si="24"/>
        <v>0.98460578918457031</v>
      </c>
      <c r="AC57" s="2">
        <f t="shared" si="17"/>
        <v>-6.9012652814670616E-7</v>
      </c>
      <c r="AD57" s="2">
        <f t="shared" si="19"/>
        <v>0.98460483551025391</v>
      </c>
      <c r="AE57" s="2">
        <f t="shared" si="18"/>
        <v>3.318206762692455E-7</v>
      </c>
      <c r="AF57" s="2">
        <f t="shared" si="20"/>
        <v>4.4920821711431056E-13</v>
      </c>
      <c r="AG57" s="2">
        <f t="shared" si="21"/>
        <v>-2.289982512809865E-13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0.98460483551025391</v>
      </c>
      <c r="AA58" s="2">
        <f t="shared" si="16"/>
        <v>3.318206762692455E-7</v>
      </c>
      <c r="AB58" s="2">
        <f t="shared" si="24"/>
        <v>0.98460578918457031</v>
      </c>
      <c r="AC58" s="2">
        <f t="shared" si="17"/>
        <v>-6.9012652814670616E-7</v>
      </c>
      <c r="AD58" s="2">
        <f t="shared" si="19"/>
        <v>0.98460531234741211</v>
      </c>
      <c r="AE58" s="2">
        <f t="shared" si="18"/>
        <v>-1.791529423700311E-7</v>
      </c>
      <c r="AF58" s="2">
        <f t="shared" si="20"/>
        <v>-5.944665049284889E-14</v>
      </c>
      <c r="AG58" s="2">
        <f t="shared" si="21"/>
        <v>1.236381981250965E-13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0.98460483551025391</v>
      </c>
      <c r="AA59" s="2">
        <f t="shared" si="16"/>
        <v>3.318206762692455E-7</v>
      </c>
      <c r="AB59" s="2">
        <f t="shared" si="24"/>
        <v>0.98460531234741211</v>
      </c>
      <c r="AC59" s="2">
        <f t="shared" si="17"/>
        <v>-1.791529423700311E-7</v>
      </c>
      <c r="AD59" s="2">
        <f t="shared" si="19"/>
        <v>0.98460507392883301</v>
      </c>
      <c r="AE59" s="2">
        <f t="shared" si="18"/>
        <v>7.6333862786270856E-8</v>
      </c>
      <c r="AF59" s="2">
        <f t="shared" si="20"/>
        <v>2.5329153971984187E-14</v>
      </c>
      <c r="AG59" s="2">
        <f t="shared" si="21"/>
        <v>-1.3675436120630645E-14</v>
      </c>
      <c r="AH59" s="2">
        <f t="shared" si="22"/>
        <v>4.76837158203125E-7</v>
      </c>
    </row>
    <row r="60" spans="2:34" x14ac:dyDescent="0.2">
      <c r="B60" s="54" t="s">
        <v>2</v>
      </c>
      <c r="C60" s="57"/>
      <c r="D60" s="57"/>
      <c r="Y60" s="2">
        <v>22</v>
      </c>
      <c r="Z60" s="2">
        <f t="shared" si="23"/>
        <v>0.98460507392883301</v>
      </c>
      <c r="AA60" s="2">
        <f t="shared" si="16"/>
        <v>7.6333862786270856E-8</v>
      </c>
      <c r="AB60" s="2">
        <f t="shared" si="24"/>
        <v>0.98460531234741211</v>
      </c>
      <c r="AC60" s="2">
        <f t="shared" si="17"/>
        <v>-1.791529423700311E-7</v>
      </c>
      <c r="AD60" s="2">
        <f t="shared" si="19"/>
        <v>0.98460519313812256</v>
      </c>
      <c r="AE60" s="2">
        <f t="shared" si="18"/>
        <v>-5.1409540735569692E-8</v>
      </c>
      <c r="AF60" s="2">
        <f t="shared" si="20"/>
        <v>-3.9242888284141789E-15</v>
      </c>
      <c r="AG60" s="2">
        <f t="shared" si="21"/>
        <v>9.2101704886692834E-15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0.98460507392883301</v>
      </c>
      <c r="AA61" s="2">
        <f t="shared" si="16"/>
        <v>7.6333862786270856E-8</v>
      </c>
      <c r="AB61" s="2">
        <f t="shared" si="24"/>
        <v>0.98460519313812256</v>
      </c>
      <c r="AC61" s="2">
        <f t="shared" si="17"/>
        <v>-5.1409540735569692E-8</v>
      </c>
      <c r="AD61" s="2">
        <f t="shared" si="19"/>
        <v>0.98460513353347778</v>
      </c>
      <c r="AE61" s="2">
        <f t="shared" si="18"/>
        <v>1.2462160747794826E-8</v>
      </c>
      <c r="AF61" s="2">
        <f t="shared" si="20"/>
        <v>9.5128486854262075E-16</v>
      </c>
      <c r="AG61" s="2">
        <f t="shared" si="21"/>
        <v>-6.406739606169758E-16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0.98460513353347778</v>
      </c>
      <c r="AA62" s="2">
        <f t="shared" si="16"/>
        <v>1.2462160747794826E-8</v>
      </c>
      <c r="AB62" s="2">
        <f t="shared" si="24"/>
        <v>0.98460519313812256</v>
      </c>
      <c r="AC62" s="2">
        <f t="shared" si="17"/>
        <v>-5.1409540735569692E-8</v>
      </c>
      <c r="AD62" s="2">
        <f t="shared" si="19"/>
        <v>0.98460516333580017</v>
      </c>
      <c r="AE62" s="2">
        <f t="shared" si="18"/>
        <v>-1.9473689993887433E-8</v>
      </c>
      <c r="AF62" s="2">
        <f t="shared" si="20"/>
        <v>-2.4268425505654886E-16</v>
      </c>
      <c r="AG62" s="2">
        <f t="shared" si="21"/>
        <v>1.0011334590126119E-15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0.98460513353347778</v>
      </c>
      <c r="AA63" s="2">
        <f t="shared" si="16"/>
        <v>1.2462160747794826E-8</v>
      </c>
      <c r="AB63" s="2">
        <f t="shared" si="24"/>
        <v>0.98460516333580017</v>
      </c>
      <c r="AC63" s="2">
        <f t="shared" si="17"/>
        <v>-1.9473689993887433E-8</v>
      </c>
      <c r="AD63" s="2">
        <f t="shared" si="19"/>
        <v>0.98460514843463898</v>
      </c>
      <c r="AE63" s="2">
        <f t="shared" si="18"/>
        <v>-3.5057646785574548E-9</v>
      </c>
      <c r="AF63" s="2">
        <f t="shared" si="20"/>
        <v>-4.3689402968124258E-17</v>
      </c>
      <c r="AG63" s="2">
        <f t="shared" si="21"/>
        <v>6.82701745417483E-17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0.98460513353347778</v>
      </c>
      <c r="AA64" s="2">
        <f t="shared" si="16"/>
        <v>1.2462160747794826E-8</v>
      </c>
      <c r="AB64" s="2">
        <f t="shared" si="24"/>
        <v>0.98460514843463898</v>
      </c>
      <c r="AC64" s="2">
        <f t="shared" si="17"/>
        <v>-3.5057646785574548E-9</v>
      </c>
      <c r="AD64" s="2">
        <f t="shared" si="19"/>
        <v>0.98460514098405838</v>
      </c>
      <c r="AE64" s="2">
        <f t="shared" si="18"/>
        <v>4.4781980346186856E-9</v>
      </c>
      <c r="AF64" s="2">
        <f t="shared" si="20"/>
        <v>5.5808023767876919E-17</v>
      </c>
      <c r="AG64" s="2">
        <f t="shared" si="21"/>
        <v>-1.5699508493351602E-17</v>
      </c>
      <c r="AH64" s="2">
        <f t="shared" si="22"/>
        <v>1.4901161193847656E-8</v>
      </c>
    </row>
    <row r="65" spans="2:34" x14ac:dyDescent="0.2">
      <c r="B65" s="58" t="s">
        <v>272</v>
      </c>
      <c r="C65" s="60"/>
      <c r="D65" s="60"/>
      <c r="Y65" s="2">
        <v>27</v>
      </c>
      <c r="Z65" s="2">
        <f t="shared" si="23"/>
        <v>0.98460514098405838</v>
      </c>
      <c r="AA65" s="2">
        <f t="shared" si="16"/>
        <v>4.4781980346186856E-9</v>
      </c>
      <c r="AB65" s="2">
        <f t="shared" si="24"/>
        <v>0.98460514843463898</v>
      </c>
      <c r="AC65" s="2">
        <f t="shared" si="17"/>
        <v>-3.5057646785574548E-9</v>
      </c>
      <c r="AD65" s="2">
        <f t="shared" si="19"/>
        <v>0.98460514470934868</v>
      </c>
      <c r="AE65" s="2">
        <f t="shared" si="18"/>
        <v>4.8621673354176664E-10</v>
      </c>
      <c r="AF65" s="2">
        <f t="shared" si="20"/>
        <v>2.1773748205454565E-18</v>
      </c>
      <c r="AG65" s="2">
        <f t="shared" si="21"/>
        <v>-1.7045614505743072E-18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0.98460514470934868</v>
      </c>
      <c r="AA66" s="2">
        <f t="shared" si="16"/>
        <v>4.8621673354176664E-10</v>
      </c>
      <c r="AB66" s="2">
        <f t="shared" si="24"/>
        <v>0.98460514843463898</v>
      </c>
      <c r="AC66" s="2">
        <f t="shared" si="17"/>
        <v>-3.5057646785574548E-9</v>
      </c>
      <c r="AD66" s="2">
        <f t="shared" si="19"/>
        <v>0.98460514657199383</v>
      </c>
      <c r="AE66" s="2">
        <f t="shared" si="18"/>
        <v>-1.5097739725078441E-9</v>
      </c>
      <c r="AF66" s="2">
        <f t="shared" si="20"/>
        <v>-7.3407736929914094E-19</v>
      </c>
      <c r="AG66" s="2">
        <f t="shared" si="21"/>
        <v>5.2929122654233735E-18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0.98460514470934868</v>
      </c>
      <c r="AA67" s="2">
        <f t="shared" si="16"/>
        <v>4.8621673354176664E-10</v>
      </c>
      <c r="AB67" s="2">
        <f t="shared" si="24"/>
        <v>0.98460514657199383</v>
      </c>
      <c r="AC67" s="2">
        <f t="shared" si="17"/>
        <v>-1.5097739725078441E-9</v>
      </c>
      <c r="AD67" s="2">
        <f t="shared" si="19"/>
        <v>0.98460514564067125</v>
      </c>
      <c r="AE67" s="2">
        <f t="shared" si="18"/>
        <v>-5.1177861948303871E-10</v>
      </c>
      <c r="AF67" s="2">
        <f t="shared" si="20"/>
        <v>-2.4883532866155782E-19</v>
      </c>
      <c r="AG67" s="2">
        <f t="shared" si="21"/>
        <v>7.7267003938148767E-19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0.98460514470934868</v>
      </c>
      <c r="AA68" s="2">
        <f t="shared" si="16"/>
        <v>4.8621673354176664E-10</v>
      </c>
      <c r="AB68" s="2">
        <f t="shared" si="24"/>
        <v>0.98460514564067125</v>
      </c>
      <c r="AC68" s="2">
        <f t="shared" si="17"/>
        <v>-5.1177861948303871E-10</v>
      </c>
      <c r="AD68" s="5">
        <f t="shared" si="19"/>
        <v>0.98460514517500997</v>
      </c>
      <c r="AE68" s="2">
        <f t="shared" si="18"/>
        <v>-1.2780998481787265E-11</v>
      </c>
      <c r="AF68" s="2">
        <f t="shared" si="20"/>
        <v>-6.2143353332168824E-21</v>
      </c>
      <c r="AG68" s="2">
        <f t="shared" si="21"/>
        <v>6.5410417586239E-21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8" t="s">
        <v>273</v>
      </c>
      <c r="C71" s="60"/>
      <c r="D71" s="60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8" t="s">
        <v>74</v>
      </c>
      <c r="C77" s="58"/>
      <c r="D77" s="58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F37" sqref="F3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6" t="s">
        <v>0</v>
      </c>
      <c r="C1" s="56"/>
      <c r="D1" s="56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2" t="s">
        <v>146</v>
      </c>
      <c r="AZ3" s="62"/>
      <c r="BA3" s="62"/>
      <c r="BC3" s="62" t="s">
        <v>147</v>
      </c>
      <c r="BD3" s="62"/>
      <c r="BE3" s="62"/>
      <c r="BG3" s="62" t="s">
        <v>146</v>
      </c>
      <c r="BH3" s="62"/>
      <c r="BI3" s="62"/>
      <c r="BJ3" s="2"/>
      <c r="BK3" s="62" t="s">
        <v>147</v>
      </c>
      <c r="BL3" s="62"/>
      <c r="BM3" s="62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986.18828794341744</v>
      </c>
      <c r="L4" s="6" t="s">
        <v>104</v>
      </c>
      <c r="N4" s="6" t="s">
        <v>228</v>
      </c>
      <c r="O4" s="6">
        <f xml:space="preserve"> $C$5 * $C$69</f>
        <v>32606.992054064198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1.8163638175726429</v>
      </c>
      <c r="X4" s="3">
        <v>1</v>
      </c>
      <c r="Y4" s="2">
        <f t="shared" ref="Y4:Y34" si="1" xml:space="preserve"> $O$22 * TAN($O$19/180*PI()) + $O$23 / (2 * SQRT($O$22^2 + X4^2)) - X4</f>
        <v>-1.4418542314483029E-2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0.55615883618954909</v>
      </c>
      <c r="AB4" s="2">
        <f>W4*AA4</f>
        <v>1.0101867868780074</v>
      </c>
      <c r="AC4" s="2">
        <f>Y4*AA4</f>
        <v>-8.0189997131726483E-3</v>
      </c>
      <c r="AD4" s="2">
        <f>X4-V4</f>
        <v>1</v>
      </c>
      <c r="AF4" s="2">
        <v>0</v>
      </c>
      <c r="AH4" s="2">
        <f>K30</f>
        <v>-9.9639933276648662E-2</v>
      </c>
      <c r="AJ4" s="2">
        <f>K30</f>
        <v>-9.9639933276648662E-2</v>
      </c>
      <c r="AL4" s="2">
        <f>K30</f>
        <v>-9.9639933276648662E-2</v>
      </c>
      <c r="AQ4" s="2" t="s">
        <v>151</v>
      </c>
      <c r="AR4" s="2">
        <f>$C$6</f>
        <v>704.64201678705194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0.49429187814590864</v>
      </c>
      <c r="BI4" s="5" t="s">
        <v>155</v>
      </c>
      <c r="BJ4" s="2"/>
      <c r="BK4" s="28" t="s">
        <v>154</v>
      </c>
      <c r="BL4" s="29">
        <f>CE34</f>
        <v>0.41924751045660191</v>
      </c>
      <c r="BM4" s="5" t="s">
        <v>155</v>
      </c>
      <c r="BO4" s="30">
        <v>0</v>
      </c>
      <c r="BP4" s="30"/>
      <c r="BQ4" s="30">
        <f>$BH$20</f>
        <v>8.035629328606575E-9</v>
      </c>
      <c r="BR4" s="30"/>
      <c r="BS4" s="30">
        <f>$BH$20</f>
        <v>8.035629328606575E-9</v>
      </c>
      <c r="BT4" s="30"/>
      <c r="BU4" s="30">
        <f>$BH$20</f>
        <v>8.035629328606575E-9</v>
      </c>
      <c r="BV4" s="30"/>
      <c r="BW4" s="30"/>
      <c r="BX4" s="30"/>
      <c r="BZ4" s="30">
        <v>0</v>
      </c>
      <c r="CA4" s="30"/>
      <c r="CB4" s="30">
        <f>$BL$20</f>
        <v>5.9086911474715009E-9</v>
      </c>
      <c r="CC4" s="30"/>
      <c r="CD4" s="30">
        <f>$BL$20</f>
        <v>5.9086911474715009E-9</v>
      </c>
      <c r="CE4" s="30"/>
      <c r="CF4" s="30">
        <f>$BL$20</f>
        <v>5.9086911474715009E-9</v>
      </c>
      <c r="CG4" s="30"/>
      <c r="CH4" s="30"/>
      <c r="CI4" s="30"/>
    </row>
    <row r="5" spans="2:87" x14ac:dyDescent="0.2">
      <c r="B5" s="10" t="s">
        <v>40</v>
      </c>
      <c r="C5" s="10">
        <v>3326.7378824299999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123.27353599292718</v>
      </c>
      <c r="L5" s="6" t="s">
        <v>104</v>
      </c>
      <c r="N5" s="6" t="s">
        <v>25</v>
      </c>
      <c r="O5" s="6">
        <f xml:space="preserve"> 0.5 * $C$72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0.55615883618954909</v>
      </c>
      <c r="X5" s="2">
        <f>IF(AC4&gt;0, Z4, X4)</f>
        <v>1</v>
      </c>
      <c r="Y5" s="2">
        <f t="shared" si="1"/>
        <v>-1.4418542314483029E-2</v>
      </c>
      <c r="Z5" s="2">
        <f t="shared" ref="Z5:Z34" si="3" xml:space="preserve"> (V5 + X5)/2</f>
        <v>0.75</v>
      </c>
      <c r="AA5" s="2">
        <f t="shared" si="2"/>
        <v>0.25932157861760063</v>
      </c>
      <c r="AB5" s="2">
        <f t="shared" ref="AB5:AB34" si="4">W5*AA5</f>
        <v>0.14422398736280143</v>
      </c>
      <c r="AC5" s="2">
        <f t="shared" ref="AC5:AC34" si="5">Y5*AA5</f>
        <v>-3.7390391543564122E-3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-1297.0564557602911</v>
      </c>
      <c r="AI5" s="3">
        <v>5000</v>
      </c>
      <c r="AJ5" s="2">
        <f t="dataTable" ref="AJ5:AJ44" dt2D="0" dtr="0" r1="C5" ca="1"/>
        <v>1259.1000718524961</v>
      </c>
      <c r="AK5" s="2">
        <f>(AG5+AI5)/2</f>
        <v>2750</v>
      </c>
      <c r="AL5" s="2">
        <f t="dataTable" ref="AL5:AL44" dt2D="0" dtr="0" r1="C5" ca="1"/>
        <v>-209.10757816738624</v>
      </c>
      <c r="AM5" s="2">
        <f>AH5*AL5</f>
        <v>271224.33421040804</v>
      </c>
      <c r="AN5" s="2">
        <f>AJ5*AL5</f>
        <v>-263287.36669545743</v>
      </c>
      <c r="AO5" s="2">
        <f>AI5-AG5</f>
        <v>4500</v>
      </c>
      <c r="AQ5" s="2" t="s">
        <v>157</v>
      </c>
      <c r="AR5" s="3">
        <v>25.399453502799901</v>
      </c>
      <c r="AS5" s="26" t="s">
        <v>43</v>
      </c>
      <c r="AU5" s="2" t="s">
        <v>29</v>
      </c>
      <c r="AV5" s="2">
        <f>AR4*2*PI()/60</f>
        <v>73.789939444963267</v>
      </c>
      <c r="AW5" s="26" t="s">
        <v>30</v>
      </c>
      <c r="AY5" s="2" t="s">
        <v>158</v>
      </c>
      <c r="AZ5" s="2">
        <f>(1+$BH$18)*$AR$3</f>
        <v>12.205403076158561</v>
      </c>
      <c r="BA5" s="26" t="s">
        <v>10</v>
      </c>
      <c r="BC5" s="2" t="s">
        <v>158</v>
      </c>
      <c r="BD5" s="2">
        <f>(1+$BL$18)*$AR$3</f>
        <v>15.09063897881469</v>
      </c>
      <c r="BE5" s="26" t="s">
        <v>10</v>
      </c>
      <c r="BG5" s="2" t="s">
        <v>159</v>
      </c>
      <c r="BH5" s="2">
        <f>($AR$35+$AR$5)/180*PI()</f>
        <v>0.57174941647002275</v>
      </c>
      <c r="BI5" s="2" t="s">
        <v>155</v>
      </c>
      <c r="BJ5" s="2"/>
      <c r="BK5" s="2" t="s">
        <v>159</v>
      </c>
      <c r="BL5" s="2">
        <f>($AR$36+$AR$5)/180*PI()</f>
        <v>0.54589672692485669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-6.5982753989283145</v>
      </c>
      <c r="BR5" s="3">
        <f>0.9*PI()</f>
        <v>2.8274333882308138</v>
      </c>
      <c r="BS5" s="2">
        <f t="dataTable" ref="BS5:BS34" dt2D="0" dtr="0" r1="BH4" ca="1"/>
        <v>0.96380533688177972</v>
      </c>
      <c r="BT5" s="2">
        <f t="shared" ref="BT5:BT34" si="7">(BP5+BR5)/2</f>
        <v>1.4294246573833558</v>
      </c>
      <c r="BU5" s="2">
        <f t="dataTable" ref="BU5:BU34" dt2D="0" dtr="0" r1="BH4"/>
        <v>1.3405469406660548</v>
      </c>
      <c r="BV5" s="2">
        <f t="shared" ref="BV5:BV34" si="8">BQ5*BU5</f>
        <v>-8.8452978997054448</v>
      </c>
      <c r="BW5" s="2">
        <f t="shared" ref="BW5:BW34" si="9">BS5*BU5</f>
        <v>1.2920262957544861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-4.3660696820048361</v>
      </c>
      <c r="CC5" s="3">
        <f>0.9*PI()</f>
        <v>2.8274333882308138</v>
      </c>
      <c r="CD5" s="2">
        <f t="dataTable" ref="CD5:CD34" dt2D="0" dtr="0" r1="BL4" ca="1"/>
        <v>0.67139601770704371</v>
      </c>
      <c r="CE5" s="2">
        <f t="shared" ref="CE5:CE34" si="11">(CA5+CC5)/2</f>
        <v>1.4294246573833558</v>
      </c>
      <c r="CF5" s="2">
        <f t="dataTable" ref="CF5:CF34" dt2D="0" dtr="0" r1="BL4" ca="1"/>
        <v>1.1772037468182286</v>
      </c>
      <c r="CG5" s="2">
        <f t="shared" ref="CG5:CG34" si="12">CB5*CF5</f>
        <v>-5.139753588525565</v>
      </c>
      <c r="CH5" s="2">
        <f t="shared" ref="CH5:CH34" si="13">CD5*CF5</f>
        <v>0.79036990764356962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704.64201678705194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141.25418511869509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0.29179127669250343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0.25932157861760063</v>
      </c>
      <c r="X6" s="2">
        <f t="shared" ref="X6:X34" si="16">IF(AC5&gt;0, Z5, X5)</f>
        <v>1</v>
      </c>
      <c r="Y6" s="2">
        <f t="shared" si="1"/>
        <v>-1.4418542314483029E-2</v>
      </c>
      <c r="Z6" s="2">
        <f t="shared" si="3"/>
        <v>0.875</v>
      </c>
      <c r="AA6" s="2">
        <f t="shared" si="2"/>
        <v>0.12077713526742528</v>
      </c>
      <c r="AB6" s="2">
        <f t="shared" si="4"/>
        <v>3.1320117378460209E-2</v>
      </c>
      <c r="AC6" s="2">
        <f t="shared" si="5"/>
        <v>-1.7414302354754121E-3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-209.10757816738624</v>
      </c>
      <c r="AI6" s="2">
        <f>IF(AN5&gt;0,AK5,AI5)</f>
        <v>5000</v>
      </c>
      <c r="AJ6" s="2">
        <v>1259.1000718524961</v>
      </c>
      <c r="AK6" s="2">
        <f t="shared" ref="AK6:AK44" si="17">(AG6+AI6)/2</f>
        <v>3875</v>
      </c>
      <c r="AL6" s="2">
        <v>771.81609040682406</v>
      </c>
      <c r="AM6" s="2">
        <f t="shared" ref="AM6:AM44" si="18">AH6*AL6</f>
        <v>-161392.59345559141</v>
      </c>
      <c r="AN6" s="2">
        <f t="shared" ref="AN6:AN44" si="19">AJ6*AL6</f>
        <v>971793.69488814473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11.744033613117532</v>
      </c>
      <c r="AW6" s="26" t="s">
        <v>162</v>
      </c>
      <c r="AY6" s="2" t="s">
        <v>163</v>
      </c>
      <c r="AZ6" s="2">
        <f>(1-$BH$19)*$AV$5*$AR$19</f>
        <v>22.64815815756354</v>
      </c>
      <c r="BA6" s="26" t="s">
        <v>10</v>
      </c>
      <c r="BC6" s="2" t="s">
        <v>163</v>
      </c>
      <c r="BD6" s="2">
        <f>(1-$BL$19)*$AV$5*$AR$20</f>
        <v>33.860547846887172</v>
      </c>
      <c r="BE6" s="26" t="s">
        <v>10</v>
      </c>
      <c r="BG6" s="2" t="s">
        <v>28</v>
      </c>
      <c r="BH6" s="2">
        <f>BH5-BH4</f>
        <v>7.7457538324114117E-2</v>
      </c>
      <c r="BI6" s="2" t="s">
        <v>155</v>
      </c>
      <c r="BJ6" s="2"/>
      <c r="BK6" s="2" t="s">
        <v>28</v>
      </c>
      <c r="BL6" s="2">
        <f>BL5-BL4</f>
        <v>0.12664921646825478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-6.5982753989283145</v>
      </c>
      <c r="BR6" s="2">
        <f t="shared" ref="BR6:BR34" si="22">IF(BW5&gt;0,BT5,BR5)</f>
        <v>1.4294246573833558</v>
      </c>
      <c r="BS6" s="2">
        <v>1.3405469406660548</v>
      </c>
      <c r="BT6" s="2">
        <f t="shared" si="7"/>
        <v>0.73042029195962688</v>
      </c>
      <c r="BU6" s="2">
        <v>1.0756965455651519</v>
      </c>
      <c r="BV6" s="2">
        <f t="shared" si="8"/>
        <v>-7.0977420533147129</v>
      </c>
      <c r="BW6" s="2">
        <f t="shared" si="9"/>
        <v>1.4420217132424078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-4.3660696820048361</v>
      </c>
      <c r="CC6" s="2">
        <f t="shared" ref="CC6:CC34" si="24">IF(CH5&gt;0,CE5,CC5)</f>
        <v>1.4294246573833558</v>
      </c>
      <c r="CD6" s="2">
        <v>1.1772037468182286</v>
      </c>
      <c r="CE6" s="2">
        <f t="shared" si="11"/>
        <v>0.73042029195962688</v>
      </c>
      <c r="CF6" s="2">
        <v>0.90111477267563711</v>
      </c>
      <c r="CG6" s="2">
        <f t="shared" si="12"/>
        <v>-3.9343298889857792</v>
      </c>
      <c r="CH6" s="2">
        <f t="shared" si="13"/>
        <v>1.0607956867070163</v>
      </c>
      <c r="CI6" s="2">
        <f t="shared" si="14"/>
        <v>1.3980087308474578</v>
      </c>
    </row>
    <row r="7" spans="2:87" x14ac:dyDescent="0.2">
      <c r="B7" s="6" t="s">
        <v>271</v>
      </c>
      <c r="C7" s="17">
        <v>380</v>
      </c>
      <c r="D7" s="6" t="s">
        <v>134</v>
      </c>
      <c r="F7" s="6" t="s">
        <v>130</v>
      </c>
      <c r="G7" s="6">
        <f>$C$6*2*PI()*$C$9/60</f>
        <v>112.45586771412403</v>
      </c>
      <c r="H7" s="6" t="s">
        <v>10</v>
      </c>
      <c r="J7" s="6" t="s">
        <v>230</v>
      </c>
      <c r="K7" s="6">
        <f>K6/$C$29</f>
        <v>141.25418511869509</v>
      </c>
      <c r="L7" s="6" t="s">
        <v>104</v>
      </c>
      <c r="N7" s="6" t="s">
        <v>121</v>
      </c>
      <c r="O7" s="6">
        <f xml:space="preserve"> O6 / $C$13</f>
        <v>1.4589563834625171E-2</v>
      </c>
      <c r="U7" s="2">
        <v>3</v>
      </c>
      <c r="V7" s="2">
        <f t="shared" si="15"/>
        <v>0.875</v>
      </c>
      <c r="W7" s="2">
        <f t="shared" si="0"/>
        <v>0.12077713526742528</v>
      </c>
      <c r="X7" s="2">
        <f t="shared" si="16"/>
        <v>1</v>
      </c>
      <c r="Y7" s="2">
        <f t="shared" si="1"/>
        <v>-1.4418542314483029E-2</v>
      </c>
      <c r="Z7" s="2">
        <f t="shared" si="3"/>
        <v>0.9375</v>
      </c>
      <c r="AA7" s="2">
        <f t="shared" si="2"/>
        <v>5.2843130669787963E-2</v>
      </c>
      <c r="AB7" s="2">
        <f t="shared" si="4"/>
        <v>6.3822419408592103E-3</v>
      </c>
      <c r="AC7" s="2">
        <f t="shared" si="5"/>
        <v>-7.619209155920937E-4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-209.10757816738624</v>
      </c>
      <c r="AI7" s="2">
        <f t="shared" ref="AI7:AI44" si="26">IF(AN6&gt;0,AK6,AI6)</f>
        <v>3875</v>
      </c>
      <c r="AJ7" s="2">
        <v>771.81609040682406</v>
      </c>
      <c r="AK7" s="2">
        <f t="shared" si="17"/>
        <v>3312.5</v>
      </c>
      <c r="AL7" s="2">
        <v>-4.8042419891962709</v>
      </c>
      <c r="AM7" s="2">
        <f t="shared" si="18"/>
        <v>1004.6034072908983</v>
      </c>
      <c r="AN7" s="2">
        <f t="shared" si="19"/>
        <v>-3707.9912694697691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7.095801670752537E-2</v>
      </c>
      <c r="AY7" s="2" t="s">
        <v>167</v>
      </c>
      <c r="AZ7" s="2">
        <f>SQRT(AZ5^2 + AZ6^2)</f>
        <v>25.727629742778731</v>
      </c>
      <c r="BA7" s="26" t="s">
        <v>10</v>
      </c>
      <c r="BC7" s="2" t="s">
        <v>167</v>
      </c>
      <c r="BD7" s="2">
        <f>SQRT(BD5^2 + BD6^2)</f>
        <v>37.07106803533258</v>
      </c>
      <c r="BE7" s="26" t="s">
        <v>10</v>
      </c>
      <c r="BG7" s="2" t="s">
        <v>168</v>
      </c>
      <c r="BH7" s="2">
        <f>BH6/PI()*180</f>
        <v>4.4379900374445667</v>
      </c>
      <c r="BI7" s="2" t="s">
        <v>43</v>
      </c>
      <c r="BJ7" s="2"/>
      <c r="BK7" s="2" t="s">
        <v>168</v>
      </c>
      <c r="BL7" s="2">
        <f>BL6/PI()*180</f>
        <v>7.2564655822697608</v>
      </c>
      <c r="BM7" s="2" t="s">
        <v>43</v>
      </c>
      <c r="BO7" s="2">
        <v>3</v>
      </c>
      <c r="BP7" s="2">
        <f t="shared" si="21"/>
        <v>3.1415926535897934E-2</v>
      </c>
      <c r="BQ7" s="2">
        <v>-6.5982753989283145</v>
      </c>
      <c r="BR7" s="2">
        <f t="shared" si="22"/>
        <v>0.73042029195962688</v>
      </c>
      <c r="BS7" s="2">
        <v>1.0756965455651519</v>
      </c>
      <c r="BT7" s="2">
        <f t="shared" si="7"/>
        <v>0.38091810924776243</v>
      </c>
      <c r="BU7" s="2">
        <v>-0.68486765090394464</v>
      </c>
      <c r="BV7" s="2">
        <f t="shared" si="8"/>
        <v>4.5189453724813227</v>
      </c>
      <c r="BW7" s="2">
        <f t="shared" si="9"/>
        <v>-0.7367097662466936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-4.3660696820048361</v>
      </c>
      <c r="CC7" s="2">
        <f t="shared" si="24"/>
        <v>0.73042029195962688</v>
      </c>
      <c r="CD7" s="2">
        <v>0.90111477267563711</v>
      </c>
      <c r="CE7" s="2">
        <f t="shared" si="11"/>
        <v>0.38091810924776243</v>
      </c>
      <c r="CF7" s="2">
        <v>-0.14880132021886217</v>
      </c>
      <c r="CG7" s="2">
        <f t="shared" si="12"/>
        <v>0.64967693284986738</v>
      </c>
      <c r="CH7" s="2">
        <f t="shared" si="13"/>
        <v>-0.13408706784285465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G7/$C$68</f>
        <v>0.33677796092531476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5.2843130669787963E-2</v>
      </c>
      <c r="X8" s="2">
        <f t="shared" si="16"/>
        <v>1</v>
      </c>
      <c r="Y8" s="2">
        <f t="shared" si="1"/>
        <v>-1.4418542314483029E-2</v>
      </c>
      <c r="Z8" s="2">
        <f t="shared" si="3"/>
        <v>0.96875</v>
      </c>
      <c r="AA8" s="2">
        <f t="shared" si="2"/>
        <v>1.9136272567636947E-2</v>
      </c>
      <c r="AB8" s="2">
        <f t="shared" si="4"/>
        <v>1.011220551824318E-3</v>
      </c>
      <c r="AC8" s="2">
        <f t="shared" si="5"/>
        <v>-2.7591715575795415E-4</v>
      </c>
      <c r="AD8" s="2">
        <f t="shared" si="6"/>
        <v>6.25E-2</v>
      </c>
      <c r="AF8" s="2">
        <v>4</v>
      </c>
      <c r="AG8" s="2">
        <f t="shared" si="25"/>
        <v>3312.5</v>
      </c>
      <c r="AH8" s="2">
        <v>-4.8042419891962709</v>
      </c>
      <c r="AI8" s="2">
        <f t="shared" si="26"/>
        <v>3875</v>
      </c>
      <c r="AJ8" s="2">
        <v>771.81609040682406</v>
      </c>
      <c r="AK8" s="2">
        <f t="shared" si="17"/>
        <v>3593.75</v>
      </c>
      <c r="AL8" s="2">
        <v>83.651130186415685</v>
      </c>
      <c r="AM8" s="2">
        <f t="shared" si="18"/>
        <v>-401.8802720853019</v>
      </c>
      <c r="AN8" s="2">
        <f t="shared" si="19"/>
        <v>64563.288258591616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1287347.4257766975</v>
      </c>
      <c r="BA8" s="26"/>
      <c r="BC8" s="2" t="s">
        <v>170</v>
      </c>
      <c r="BD8" s="37">
        <f>$AR$45*BD7*$AR$27/$AR$46</f>
        <v>1854945.2274931492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-0.68486765090394464</v>
      </c>
      <c r="BR8" s="2">
        <f t="shared" si="22"/>
        <v>0.73042029195962688</v>
      </c>
      <c r="BS8" s="2">
        <v>1.0756965455651519</v>
      </c>
      <c r="BT8" s="2">
        <f t="shared" si="7"/>
        <v>0.55566920060369462</v>
      </c>
      <c r="BU8" s="2">
        <v>0.33598740190754073</v>
      </c>
      <c r="BV8" s="2">
        <f t="shared" si="8"/>
        <v>-0.23010690267773695</v>
      </c>
      <c r="BW8" s="2">
        <f t="shared" si="9"/>
        <v>0.36142048758535189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-0.14880132021886217</v>
      </c>
      <c r="CC8" s="2">
        <f t="shared" si="24"/>
        <v>0.73042029195962688</v>
      </c>
      <c r="CD8" s="2">
        <v>0.90111477267563711</v>
      </c>
      <c r="CE8" s="2">
        <f t="shared" si="11"/>
        <v>0.55566920060369462</v>
      </c>
      <c r="CF8" s="2">
        <v>0.46833672511902313</v>
      </c>
      <c r="CG8" s="2">
        <f t="shared" si="12"/>
        <v>-6.9689123004688991E-2</v>
      </c>
      <c r="CH8" s="2">
        <f t="shared" si="13"/>
        <v>0.42202514159128085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4075.8740067580247</v>
      </c>
      <c r="H9" s="6" t="s">
        <v>22</v>
      </c>
      <c r="J9" s="58" t="s">
        <v>23</v>
      </c>
      <c r="K9" s="58"/>
      <c r="L9" s="58"/>
      <c r="N9" s="6" t="s">
        <v>122</v>
      </c>
      <c r="O9" s="6">
        <f xml:space="preserve"> $O$8 + O7</f>
        <v>3.8328763834625169E-2</v>
      </c>
      <c r="U9" s="2">
        <v>5</v>
      </c>
      <c r="V9" s="2">
        <f t="shared" si="15"/>
        <v>0.96875</v>
      </c>
      <c r="W9" s="2">
        <f t="shared" si="0"/>
        <v>1.9136272567636947E-2</v>
      </c>
      <c r="X9" s="2">
        <f t="shared" si="16"/>
        <v>1</v>
      </c>
      <c r="Y9" s="2">
        <f t="shared" si="1"/>
        <v>-1.4418542314483029E-2</v>
      </c>
      <c r="Z9" s="2">
        <f t="shared" si="3"/>
        <v>0.984375</v>
      </c>
      <c r="AA9" s="2">
        <f t="shared" si="2"/>
        <v>2.3407527161019015E-3</v>
      </c>
      <c r="AB9" s="2">
        <f t="shared" si="4"/>
        <v>4.4793281988762489E-5</v>
      </c>
      <c r="AC9" s="2">
        <f t="shared" si="5"/>
        <v>-3.3750242084856346E-5</v>
      </c>
      <c r="AD9" s="2">
        <f t="shared" si="6"/>
        <v>3.125E-2</v>
      </c>
      <c r="AF9" s="2">
        <v>5</v>
      </c>
      <c r="AG9" s="2">
        <f t="shared" si="25"/>
        <v>3312.5</v>
      </c>
      <c r="AH9" s="2">
        <v>-4.8042419891962709</v>
      </c>
      <c r="AI9" s="2">
        <f t="shared" si="26"/>
        <v>3593.75</v>
      </c>
      <c r="AJ9" s="2">
        <v>83.651130186415685</v>
      </c>
      <c r="AK9" s="2">
        <f t="shared" si="17"/>
        <v>3453.125</v>
      </c>
      <c r="AL9" s="2">
        <v>40.610672074725244</v>
      </c>
      <c r="AM9" s="2">
        <f t="shared" si="18"/>
        <v>-195.10349599087544</v>
      </c>
      <c r="AN9" s="2">
        <f t="shared" si="19"/>
        <v>3397.1286166806772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48.801559662691098</v>
      </c>
      <c r="BA9" s="26" t="s">
        <v>22</v>
      </c>
      <c r="BC9" s="2" t="s">
        <v>174</v>
      </c>
      <c r="BD9" s="2">
        <f xml:space="preserve"> $BL$8 * PI() * $AR$45 * BD7^2 * $BL$14 * $AR$20 * BD4</f>
        <v>154.1176825706693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0.99845153645429929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0.99220679219743413</v>
      </c>
      <c r="BM9" s="2"/>
      <c r="BO9" s="2">
        <v>5</v>
      </c>
      <c r="BP9" s="2">
        <f t="shared" si="21"/>
        <v>0.38091810924776243</v>
      </c>
      <c r="BQ9" s="2">
        <v>-0.68486765090394464</v>
      </c>
      <c r="BR9" s="2">
        <f t="shared" si="22"/>
        <v>0.55566920060369462</v>
      </c>
      <c r="BS9" s="2">
        <v>0.33598740190754073</v>
      </c>
      <c r="BT9" s="2">
        <f t="shared" si="7"/>
        <v>0.4682936549257285</v>
      </c>
      <c r="BU9" s="2">
        <v>-0.15239747665021383</v>
      </c>
      <c r="BV9" s="2">
        <f t="shared" si="8"/>
        <v>0.1043721018371207</v>
      </c>
      <c r="BW9" s="2">
        <f t="shared" si="9"/>
        <v>-5.1203632236970449E-2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-0.14880132021886217</v>
      </c>
      <c r="CC9" s="2">
        <f t="shared" si="24"/>
        <v>0.55566920060369462</v>
      </c>
      <c r="CD9" s="2">
        <v>0.46833672511902313</v>
      </c>
      <c r="CE9" s="2">
        <f t="shared" si="11"/>
        <v>0.4682936549257285</v>
      </c>
      <c r="CF9" s="2">
        <v>0.18091810927619489</v>
      </c>
      <c r="CG9" s="2">
        <f t="shared" si="12"/>
        <v>-2.6920853511798175E-2</v>
      </c>
      <c r="CH9" s="2">
        <f t="shared" si="13"/>
        <v>8.4730594813138674E-2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4076.1865401421969</v>
      </c>
      <c r="H10" s="6" t="s">
        <v>22</v>
      </c>
      <c r="J10" s="6" t="s">
        <v>99</v>
      </c>
      <c r="K10" s="6">
        <f xml:space="preserve"> $C$19 * (G13*G6 + G20*G16 + G27*G25 + G31*G30)/3600</f>
        <v>194.87969766352461</v>
      </c>
      <c r="L10" s="6" t="s">
        <v>105</v>
      </c>
      <c r="N10" s="6" t="s">
        <v>41</v>
      </c>
      <c r="O10" s="6">
        <f xml:space="preserve"> O5 * $C$13 * O9</f>
        <v>966.40660531580613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2.3407527161019015E-3</v>
      </c>
      <c r="X10" s="2">
        <f t="shared" si="16"/>
        <v>1</v>
      </c>
      <c r="Y10" s="2">
        <f t="shared" si="1"/>
        <v>-1.4418542314483029E-2</v>
      </c>
      <c r="Z10" s="2">
        <f t="shared" si="3"/>
        <v>0.9921875</v>
      </c>
      <c r="AA10" s="2">
        <f t="shared" si="2"/>
        <v>-6.0433173289642372E-3</v>
      </c>
      <c r="AB10" s="2">
        <f t="shared" si="4"/>
        <v>-1.4145911452038727E-5</v>
      </c>
      <c r="AC10" s="2">
        <f t="shared" si="5"/>
        <v>8.7135826627519417E-5</v>
      </c>
      <c r="AD10" s="2">
        <f t="shared" si="6"/>
        <v>1.5625E-2</v>
      </c>
      <c r="AF10" s="2">
        <v>6</v>
      </c>
      <c r="AG10" s="2">
        <f t="shared" si="25"/>
        <v>3312.5</v>
      </c>
      <c r="AH10" s="2">
        <v>-4.8042419891962709</v>
      </c>
      <c r="AI10" s="2">
        <f t="shared" si="26"/>
        <v>3453.125</v>
      </c>
      <c r="AJ10" s="2">
        <v>40.610672074725244</v>
      </c>
      <c r="AK10" s="2">
        <f t="shared" si="17"/>
        <v>3382.8125</v>
      </c>
      <c r="AL10" s="2">
        <v>18.196633661908436</v>
      </c>
      <c r="AM10" s="2">
        <f t="shared" si="18"/>
        <v>-87.421031500562805</v>
      </c>
      <c r="AN10" s="2">
        <f t="shared" si="19"/>
        <v>738.9775225076703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4076.1865401421969</v>
      </c>
      <c r="AW10" s="26" t="s">
        <v>22</v>
      </c>
      <c r="AY10" s="2" t="s">
        <v>178</v>
      </c>
      <c r="AZ10" s="2">
        <f xml:space="preserve"> $BH$8 * PI() * $AR$45 * AZ7^2 * $BH$15 * $AR$19^2 * AZ4</f>
        <v>13.013073135467042</v>
      </c>
      <c r="BA10" s="26" t="s">
        <v>179</v>
      </c>
      <c r="BC10" s="2" t="s">
        <v>178</v>
      </c>
      <c r="BD10" s="2">
        <f xml:space="preserve"> $BL$8 * PI() * $AR$45 * BD7^2 * $BL$15 * $AR$20^2 * BD4</f>
        <v>42.978156902713494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0.533037806516796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0.76417648921191572</v>
      </c>
      <c r="BM10" s="2"/>
      <c r="BO10" s="2">
        <v>6</v>
      </c>
      <c r="BP10" s="2">
        <f t="shared" si="21"/>
        <v>0.4682936549257285</v>
      </c>
      <c r="BQ10" s="2">
        <v>-0.15239747665021383</v>
      </c>
      <c r="BR10" s="2">
        <f t="shared" si="22"/>
        <v>0.55566920060369462</v>
      </c>
      <c r="BS10" s="2">
        <v>0.33598740190754073</v>
      </c>
      <c r="BT10" s="2">
        <f t="shared" si="7"/>
        <v>0.51198142776471156</v>
      </c>
      <c r="BU10" s="2">
        <v>0.10051148763985038</v>
      </c>
      <c r="BV10" s="2">
        <f t="shared" si="8"/>
        <v>-1.5317697090672353E-2</v>
      </c>
      <c r="BW10" s="2">
        <f t="shared" si="9"/>
        <v>3.3770593593975218E-2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-0.14880132021886217</v>
      </c>
      <c r="CC10" s="2">
        <f t="shared" si="24"/>
        <v>0.4682936549257285</v>
      </c>
      <c r="CD10" s="2">
        <v>0.18091810927619489</v>
      </c>
      <c r="CE10" s="2">
        <f t="shared" si="11"/>
        <v>0.42460588208674543</v>
      </c>
      <c r="CF10" s="2">
        <v>2.0355799189014673E-2</v>
      </c>
      <c r="CG10" s="2">
        <f t="shared" si="12"/>
        <v>-3.028969793435427E-3</v>
      </c>
      <c r="CH10" s="2">
        <f t="shared" si="13"/>
        <v>3.6827327020824358E-3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-0.31253338417218401</v>
      </c>
      <c r="H11" s="6" t="s">
        <v>22</v>
      </c>
      <c r="J11" s="6" t="s">
        <v>24</v>
      </c>
      <c r="K11" s="6">
        <f xml:space="preserve"> (G6 + G16 + G25 +G30)/60</f>
        <v>57.333333333333336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2.3407527161019015E-3</v>
      </c>
      <c r="X11" s="2">
        <f t="shared" si="16"/>
        <v>0.9921875</v>
      </c>
      <c r="Y11" s="2">
        <f t="shared" si="1"/>
        <v>-6.0433173289642372E-3</v>
      </c>
      <c r="Z11" s="2">
        <f t="shared" si="3"/>
        <v>0.98828125</v>
      </c>
      <c r="AA11" s="2">
        <f t="shared" si="2"/>
        <v>-1.8524008789436719E-3</v>
      </c>
      <c r="AB11" s="2">
        <f t="shared" si="4"/>
        <v>-4.3360123886969498E-6</v>
      </c>
      <c r="AC11" s="2">
        <f t="shared" si="5"/>
        <v>1.1194646331908876E-5</v>
      </c>
      <c r="AD11" s="2">
        <f t="shared" si="6"/>
        <v>7.8125E-3</v>
      </c>
      <c r="AF11" s="2">
        <v>7</v>
      </c>
      <c r="AG11" s="2">
        <f t="shared" si="25"/>
        <v>3312.5</v>
      </c>
      <c r="AH11" s="2">
        <v>-4.8042419891962709</v>
      </c>
      <c r="AI11" s="2">
        <f t="shared" si="26"/>
        <v>3382.8125</v>
      </c>
      <c r="AJ11" s="2">
        <v>18.196633661908436</v>
      </c>
      <c r="AK11" s="2">
        <f t="shared" si="17"/>
        <v>3347.65625</v>
      </c>
      <c r="AL11" s="2">
        <v>6.769125263596834</v>
      </c>
      <c r="AM11" s="2">
        <f t="shared" si="18"/>
        <v>-32.520515821501185</v>
      </c>
      <c r="AN11" s="2">
        <f t="shared" si="19"/>
        <v>123.17529263324096</v>
      </c>
      <c r="AO11" s="2">
        <f t="shared" si="20"/>
        <v>70.3125</v>
      </c>
      <c r="AQ11" s="64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1670.6008558913588</v>
      </c>
      <c r="AW11" s="26" t="s">
        <v>179</v>
      </c>
      <c r="AZ11" s="2"/>
      <c r="BG11" s="2" t="s">
        <v>183</v>
      </c>
      <c r="BH11" s="2">
        <f>IF(BH4=0,1,BH9*BH10)</f>
        <v>0.53221241690492449</v>
      </c>
      <c r="BI11" s="2"/>
      <c r="BJ11" s="2"/>
      <c r="BK11" s="2" t="s">
        <v>183</v>
      </c>
      <c r="BL11" s="2">
        <f>IF(BL4=0,1,BL9*BL10)</f>
        <v>0.75822110303365198</v>
      </c>
      <c r="BM11" s="2"/>
      <c r="BO11" s="2">
        <v>7</v>
      </c>
      <c r="BP11" s="2">
        <f t="shared" si="21"/>
        <v>0.4682936549257285</v>
      </c>
      <c r="BQ11" s="2">
        <v>-0.15239747665021383</v>
      </c>
      <c r="BR11" s="2">
        <f t="shared" si="22"/>
        <v>0.51198142776471156</v>
      </c>
      <c r="BS11" s="2">
        <v>0.10051148763985038</v>
      </c>
      <c r="BT11" s="2">
        <f t="shared" si="7"/>
        <v>0.49013754134522003</v>
      </c>
      <c r="BU11" s="2">
        <v>-2.3997939345157662E-2</v>
      </c>
      <c r="BV11" s="2">
        <f t="shared" si="8"/>
        <v>3.6572254010069126E-3</v>
      </c>
      <c r="BW11" s="2">
        <f t="shared" si="9"/>
        <v>-2.4120685838726935E-3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-0.14880132021886217</v>
      </c>
      <c r="CC11" s="2">
        <f t="shared" si="24"/>
        <v>0.42460588208674543</v>
      </c>
      <c r="CD11" s="2">
        <v>2.0355799189014673E-2</v>
      </c>
      <c r="CE11" s="2">
        <f t="shared" si="11"/>
        <v>0.4027619956672539</v>
      </c>
      <c r="CF11" s="2">
        <v>-6.3383947842272456E-2</v>
      </c>
      <c r="CG11" s="2">
        <f t="shared" si="12"/>
        <v>9.431615119613641E-3</v>
      </c>
      <c r="CH11" s="2">
        <f t="shared" si="13"/>
        <v>-1.290230914084278E-3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1.2932296726069212</v>
      </c>
      <c r="U12" s="2">
        <v>8</v>
      </c>
      <c r="V12" s="2">
        <f t="shared" si="15"/>
        <v>0.984375</v>
      </c>
      <c r="W12" s="2">
        <f t="shared" si="0"/>
        <v>2.3407527161019015E-3</v>
      </c>
      <c r="X12" s="2">
        <f t="shared" si="16"/>
        <v>0.98828125</v>
      </c>
      <c r="Y12" s="2">
        <f t="shared" si="1"/>
        <v>-1.8524008789436719E-3</v>
      </c>
      <c r="Z12" s="2">
        <f t="shared" si="3"/>
        <v>0.986328125</v>
      </c>
      <c r="AA12" s="2">
        <f t="shared" si="2"/>
        <v>2.4389463588747606E-4</v>
      </c>
      <c r="AB12" s="2">
        <f t="shared" si="4"/>
        <v>5.7089703139629393E-7</v>
      </c>
      <c r="AC12" s="2">
        <f t="shared" si="5"/>
        <v>-4.517906378876075E-7</v>
      </c>
      <c r="AD12" s="2">
        <f t="shared" si="6"/>
        <v>3.90625E-3</v>
      </c>
      <c r="AF12" s="2">
        <v>8</v>
      </c>
      <c r="AG12" s="2">
        <f t="shared" si="25"/>
        <v>3312.5</v>
      </c>
      <c r="AH12" s="2">
        <v>-4.8042419891962709</v>
      </c>
      <c r="AI12" s="2">
        <f t="shared" si="26"/>
        <v>3347.65625</v>
      </c>
      <c r="AJ12" s="2">
        <v>6.769125263596834</v>
      </c>
      <c r="AK12" s="2">
        <f t="shared" si="17"/>
        <v>3330.078125</v>
      </c>
      <c r="AL12" s="2">
        <v>1.0006206018183548</v>
      </c>
      <c r="AM12" s="2">
        <f t="shared" si="18"/>
        <v>-4.8072235105105827</v>
      </c>
      <c r="AN12" s="2">
        <f t="shared" si="19"/>
        <v>6.7733261950440937</v>
      </c>
      <c r="AO12" s="2">
        <f t="shared" si="20"/>
        <v>35.15625</v>
      </c>
      <c r="AQ12" s="64"/>
      <c r="AR12" s="3" t="s">
        <v>219</v>
      </c>
      <c r="AS12" s="26"/>
      <c r="AU12" s="4" t="s">
        <v>184</v>
      </c>
      <c r="AV12" s="38">
        <f>AV11*AV5/1000</f>
        <v>123.27353599292718</v>
      </c>
      <c r="AW12" s="26" t="s">
        <v>104</v>
      </c>
      <c r="AY12" s="62" t="s">
        <v>185</v>
      </c>
      <c r="AZ12" s="62"/>
      <c r="BA12" s="62"/>
      <c r="BC12" s="62" t="s">
        <v>186</v>
      </c>
      <c r="BD12" s="62"/>
      <c r="BE12" s="6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0.67684288184703145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0.99338424570547101</v>
      </c>
      <c r="BM12" s="2"/>
      <c r="BO12" s="2">
        <v>8</v>
      </c>
      <c r="BP12" s="2">
        <f t="shared" si="21"/>
        <v>0.49013754134522003</v>
      </c>
      <c r="BQ12" s="2">
        <v>-2.3997939345157662E-2</v>
      </c>
      <c r="BR12" s="2">
        <f t="shared" si="22"/>
        <v>0.51198142776471156</v>
      </c>
      <c r="BS12" s="2">
        <v>0.10051148763985038</v>
      </c>
      <c r="BT12" s="2">
        <f t="shared" si="7"/>
        <v>0.50105948455496585</v>
      </c>
      <c r="BU12" s="2">
        <v>3.8780361174664643E-2</v>
      </c>
      <c r="BV12" s="2">
        <f t="shared" si="8"/>
        <v>-9.3064875525290921E-4</v>
      </c>
      <c r="BW12" s="2">
        <f t="shared" si="9"/>
        <v>3.8978717928762389E-3</v>
      </c>
      <c r="BX12" s="2">
        <f t="shared" si="10"/>
        <v>2.1843886419491532E-2</v>
      </c>
      <c r="BZ12" s="2">
        <v>8</v>
      </c>
      <c r="CA12" s="2">
        <f t="shared" si="23"/>
        <v>0.4027619956672539</v>
      </c>
      <c r="CB12" s="2">
        <v>-6.3383947842272456E-2</v>
      </c>
      <c r="CC12" s="2">
        <f t="shared" si="24"/>
        <v>0.42460588208674543</v>
      </c>
      <c r="CD12" s="2">
        <v>2.0355799189014673E-2</v>
      </c>
      <c r="CE12" s="2">
        <f t="shared" si="11"/>
        <v>0.41368393887699967</v>
      </c>
      <c r="CF12" s="2">
        <v>-2.1268397475379001E-2</v>
      </c>
      <c r="CG12" s="2">
        <f t="shared" si="12"/>
        <v>1.3480749962681419E-3</v>
      </c>
      <c r="CH12" s="2">
        <f t="shared" si="13"/>
        <v>-4.3293522808096158E-4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986.18828794341744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0.10116453024262706</v>
      </c>
      <c r="U13" s="2">
        <v>9</v>
      </c>
      <c r="V13" s="2">
        <f t="shared" si="15"/>
        <v>0.986328125</v>
      </c>
      <c r="W13" s="2">
        <f t="shared" si="0"/>
        <v>2.4389463588747606E-4</v>
      </c>
      <c r="X13" s="2">
        <f t="shared" si="16"/>
        <v>0.98828125</v>
      </c>
      <c r="Y13" s="2">
        <f t="shared" si="1"/>
        <v>-1.8524008789436719E-3</v>
      </c>
      <c r="Z13" s="2">
        <f t="shared" si="3"/>
        <v>0.9873046875</v>
      </c>
      <c r="AA13" s="2">
        <f t="shared" si="2"/>
        <v>-8.0432323625856395E-4</v>
      </c>
      <c r="AB13" s="2">
        <f t="shared" si="4"/>
        <v>-1.9617012284311884E-7</v>
      </c>
      <c r="AC13" s="2">
        <f t="shared" si="5"/>
        <v>1.4899290698001825E-6</v>
      </c>
      <c r="AD13" s="2">
        <f t="shared" si="6"/>
        <v>1.953125E-3</v>
      </c>
      <c r="AF13" s="2">
        <v>9</v>
      </c>
      <c r="AG13" s="2">
        <f t="shared" si="25"/>
        <v>3312.5</v>
      </c>
      <c r="AH13" s="2">
        <v>-4.8042419891962709</v>
      </c>
      <c r="AI13" s="2">
        <f t="shared" si="26"/>
        <v>3330.078125</v>
      </c>
      <c r="AJ13" s="2">
        <v>1.0006206018183548</v>
      </c>
      <c r="AK13" s="2">
        <f t="shared" si="17"/>
        <v>3321.2890625</v>
      </c>
      <c r="AL13" s="2">
        <v>-1.8972722238249844</v>
      </c>
      <c r="AM13" s="2">
        <f t="shared" si="18"/>
        <v>9.1149548826357751</v>
      </c>
      <c r="AN13" s="2">
        <f t="shared" si="19"/>
        <v>-1.8984496744170041</v>
      </c>
      <c r="AO13" s="2">
        <f t="shared" si="20"/>
        <v>17.578125</v>
      </c>
      <c r="AQ13" s="64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6.734259893390053E-2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5.2817427093851683E-2</v>
      </c>
      <c r="BM13" s="2"/>
      <c r="BO13" s="2">
        <v>9</v>
      </c>
      <c r="BP13" s="2">
        <f t="shared" si="21"/>
        <v>0.49013754134522003</v>
      </c>
      <c r="BQ13" s="2">
        <v>-2.3997939345157662E-2</v>
      </c>
      <c r="BR13" s="2">
        <f t="shared" si="22"/>
        <v>0.50105948455496585</v>
      </c>
      <c r="BS13" s="2">
        <v>3.8780361174664643E-2</v>
      </c>
      <c r="BT13" s="2">
        <f t="shared" si="7"/>
        <v>0.49559851295009294</v>
      </c>
      <c r="BU13" s="2">
        <v>7.5180153419817375E-3</v>
      </c>
      <c r="BV13" s="2">
        <f t="shared" si="8"/>
        <v>-1.8041687617284248E-4</v>
      </c>
      <c r="BW13" s="2">
        <f t="shared" si="9"/>
        <v>2.9155135027872169E-4</v>
      </c>
      <c r="BX13" s="2">
        <f t="shared" si="10"/>
        <v>1.0921943209745821E-2</v>
      </c>
      <c r="BZ13" s="2">
        <v>9</v>
      </c>
      <c r="CA13" s="2">
        <f t="shared" si="23"/>
        <v>0.41368393887699967</v>
      </c>
      <c r="CB13" s="2">
        <v>-2.1268397475379001E-2</v>
      </c>
      <c r="CC13" s="2">
        <f t="shared" si="24"/>
        <v>0.42460588208674543</v>
      </c>
      <c r="CD13" s="2">
        <v>2.0355799189014673E-2</v>
      </c>
      <c r="CE13" s="2">
        <f t="shared" si="11"/>
        <v>0.41914491048187252</v>
      </c>
      <c r="CF13" s="2">
        <v>-3.9100852177233192E-4</v>
      </c>
      <c r="CG13" s="2">
        <f t="shared" si="12"/>
        <v>8.3161246573143389E-6</v>
      </c>
      <c r="CH13" s="2">
        <f t="shared" si="13"/>
        <v>-7.9592909503910596E-6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3326.7378824299999</v>
      </c>
      <c r="L14" s="6" t="s">
        <v>7</v>
      </c>
      <c r="N14" s="6" t="s">
        <v>42</v>
      </c>
      <c r="O14" s="6">
        <f xml:space="preserve"> O5 * O13 * $C$13</f>
        <v>2550.72328113609</v>
      </c>
      <c r="P14" s="6" t="s">
        <v>22</v>
      </c>
      <c r="U14" s="2">
        <v>10</v>
      </c>
      <c r="V14" s="2">
        <f t="shared" si="15"/>
        <v>0.986328125</v>
      </c>
      <c r="W14" s="2">
        <f t="shared" si="0"/>
        <v>2.4389463588747606E-4</v>
      </c>
      <c r="X14" s="2">
        <f t="shared" si="16"/>
        <v>0.9873046875</v>
      </c>
      <c r="Y14" s="2">
        <f t="shared" si="1"/>
        <v>-8.0432323625856395E-4</v>
      </c>
      <c r="Z14" s="2">
        <f t="shared" si="3"/>
        <v>0.98681640625</v>
      </c>
      <c r="AA14" s="2">
        <f t="shared" si="2"/>
        <v>-2.8023185454828514E-4</v>
      </c>
      <c r="AB14" s="2">
        <f t="shared" si="4"/>
        <v>-6.8347046129126154E-8</v>
      </c>
      <c r="AC14" s="2">
        <f t="shared" si="5"/>
        <v>2.2539699215301588E-7</v>
      </c>
      <c r="AD14" s="2">
        <f t="shared" si="6"/>
        <v>9.765625E-4</v>
      </c>
      <c r="AF14" s="2">
        <v>10</v>
      </c>
      <c r="AG14" s="2">
        <f t="shared" si="25"/>
        <v>3321.2890625</v>
      </c>
      <c r="AH14" s="2">
        <v>-1.8972722238249844</v>
      </c>
      <c r="AI14" s="2">
        <f t="shared" si="26"/>
        <v>3330.078125</v>
      </c>
      <c r="AJ14" s="2">
        <v>1.0006206018183548</v>
      </c>
      <c r="AK14" s="2">
        <f t="shared" si="17"/>
        <v>3325.68359375</v>
      </c>
      <c r="AL14" s="2">
        <v>-0.44718998312418989</v>
      </c>
      <c r="AM14" s="2">
        <f t="shared" si="18"/>
        <v>0.84844113375428898</v>
      </c>
      <c r="AN14" s="2">
        <f t="shared" si="19"/>
        <v>-0.44746751004086682</v>
      </c>
      <c r="AO14" s="2">
        <f t="shared" si="20"/>
        <v>8.7890625</v>
      </c>
      <c r="AQ14" s="64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17.376667553045241</v>
      </c>
      <c r="BA14" s="26" t="s">
        <v>10</v>
      </c>
      <c r="BC14" s="2" t="s">
        <v>158</v>
      </c>
      <c r="BD14" s="2">
        <f>(1+$BL$37)*$AR$3</f>
        <v>19.313745864197763</v>
      </c>
      <c r="BE14" s="26" t="s">
        <v>10</v>
      </c>
      <c r="BG14" s="2" t="s">
        <v>190</v>
      </c>
      <c r="BH14" s="2">
        <f xml:space="preserve"> BH12*COS(BH4) - BH13*SIN(BH4)</f>
        <v>0.56388018966758902</v>
      </c>
      <c r="BI14" s="2"/>
      <c r="BJ14" s="2"/>
      <c r="BK14" s="2" t="s">
        <v>190</v>
      </c>
      <c r="BL14" s="2">
        <f xml:space="preserve"> BL12*COS(BL4) - BL13*SIN(BL4)</f>
        <v>0.88585215534319761</v>
      </c>
      <c r="BM14" s="2"/>
      <c r="BO14" s="2">
        <v>10</v>
      </c>
      <c r="BP14" s="2">
        <f t="shared" si="21"/>
        <v>0.49013754134522003</v>
      </c>
      <c r="BQ14" s="2">
        <v>-2.3997939345157662E-2</v>
      </c>
      <c r="BR14" s="2">
        <f t="shared" si="22"/>
        <v>0.49559851295009294</v>
      </c>
      <c r="BS14" s="2">
        <v>7.5180153419817375E-3</v>
      </c>
      <c r="BT14" s="2">
        <f t="shared" si="7"/>
        <v>0.49286802714765648</v>
      </c>
      <c r="BU14" s="2">
        <v>-8.2088200397736483E-3</v>
      </c>
      <c r="BV14" s="2">
        <f t="shared" si="8"/>
        <v>1.9699476540980271E-4</v>
      </c>
      <c r="BW14" s="2">
        <f t="shared" si="9"/>
        <v>-6.1714034998585423E-5</v>
      </c>
      <c r="BX14" s="2">
        <f t="shared" si="10"/>
        <v>5.4609716048729107E-3</v>
      </c>
      <c r="BZ14" s="2">
        <v>10</v>
      </c>
      <c r="CA14" s="2">
        <f t="shared" si="23"/>
        <v>0.41914491048187252</v>
      </c>
      <c r="CB14" s="2">
        <v>-3.9100852177233192E-4</v>
      </c>
      <c r="CC14" s="2">
        <f t="shared" si="24"/>
        <v>0.42460588208674543</v>
      </c>
      <c r="CD14" s="2">
        <v>2.0355799189014673E-2</v>
      </c>
      <c r="CE14" s="2">
        <f t="shared" si="11"/>
        <v>0.42187539628430898</v>
      </c>
      <c r="CF14" s="2">
        <v>9.9991658086325819E-3</v>
      </c>
      <c r="CG14" s="2">
        <f t="shared" si="12"/>
        <v>-3.9097590417898694E-6</v>
      </c>
      <c r="CH14" s="2">
        <f t="shared" si="13"/>
        <v>2.0354101125818637E-4</v>
      </c>
      <c r="CI14" s="2">
        <f t="shared" si="14"/>
        <v>5.4609716048729107E-3</v>
      </c>
    </row>
    <row r="15" spans="2:87" x14ac:dyDescent="0.2">
      <c r="F15" s="54" t="s">
        <v>89</v>
      </c>
      <c r="G15" s="57"/>
      <c r="H15" s="57"/>
      <c r="J15" s="11" t="s">
        <v>55</v>
      </c>
      <c r="K15" s="6">
        <f xml:space="preserve"> 1000 * K10 / ($C$61 * $C$62 * $C$63)</f>
        <v>1146.3511627266153</v>
      </c>
      <c r="L15" s="6" t="s">
        <v>7</v>
      </c>
      <c r="N15" s="6" t="s">
        <v>237</v>
      </c>
      <c r="O15" s="6">
        <f>O4/O14</f>
        <v>12.783429819772952</v>
      </c>
      <c r="U15" s="2">
        <v>11</v>
      </c>
      <c r="V15" s="2">
        <f t="shared" si="15"/>
        <v>0.986328125</v>
      </c>
      <c r="W15" s="2">
        <f t="shared" si="0"/>
        <v>2.4389463588747606E-4</v>
      </c>
      <c r="X15" s="2">
        <f t="shared" si="16"/>
        <v>0.98681640625</v>
      </c>
      <c r="Y15" s="2">
        <f t="shared" si="1"/>
        <v>-2.8023185454828514E-4</v>
      </c>
      <c r="Z15" s="2">
        <f t="shared" si="3"/>
        <v>0.986572265625</v>
      </c>
      <c r="AA15" s="2">
        <f t="shared" si="2"/>
        <v>-1.817300113660103E-5</v>
      </c>
      <c r="AB15" s="2">
        <f t="shared" si="4"/>
        <v>-4.4322974951939972E-9</v>
      </c>
      <c r="AC15" s="2">
        <f t="shared" si="5"/>
        <v>5.0926538112178001E-9</v>
      </c>
      <c r="AD15" s="2">
        <f t="shared" si="6"/>
        <v>4.8828125E-4</v>
      </c>
      <c r="AF15" s="2">
        <v>11</v>
      </c>
      <c r="AG15" s="2">
        <f t="shared" si="25"/>
        <v>3325.68359375</v>
      </c>
      <c r="AH15" s="2">
        <v>-0.44718998312418989</v>
      </c>
      <c r="AI15" s="2">
        <f t="shared" si="26"/>
        <v>3330.078125</v>
      </c>
      <c r="AJ15" s="2">
        <v>1.0006206018183548</v>
      </c>
      <c r="AK15" s="2">
        <f t="shared" si="17"/>
        <v>3327.880859375</v>
      </c>
      <c r="AL15" s="2">
        <v>0.27699960250674849</v>
      </c>
      <c r="AM15" s="2">
        <f t="shared" si="18"/>
        <v>-0.12387144757040017</v>
      </c>
      <c r="AN15" s="2">
        <f t="shared" si="19"/>
        <v>0.2771715089637477</v>
      </c>
      <c r="AO15" s="2">
        <f t="shared" si="20"/>
        <v>4.39453125</v>
      </c>
      <c r="AQ15" s="64"/>
      <c r="AR15" s="3" t="s">
        <v>219</v>
      </c>
      <c r="AS15" s="26"/>
      <c r="AU15" s="2" t="s">
        <v>191</v>
      </c>
      <c r="AV15" s="2">
        <f>AV10*(AR3/2 + SQRT( (AR3/2)^2 + AV10/(2*AR45*PI()*AV3^2) ) )/1000</f>
        <v>72.186853638133471</v>
      </c>
      <c r="AW15" s="26" t="s">
        <v>104</v>
      </c>
      <c r="AY15" s="2" t="s">
        <v>163</v>
      </c>
      <c r="AZ15" s="2">
        <f>(1-$BH$38)*$AV$5*$AR$21</f>
        <v>44.880839969562025</v>
      </c>
      <c r="BA15" s="26" t="s">
        <v>10</v>
      </c>
      <c r="BC15" s="2" t="s">
        <v>163</v>
      </c>
      <c r="BD15" s="2">
        <f>(1-$BL$38)*$AV$5*$AR$22</f>
        <v>55.919630351212319</v>
      </c>
      <c r="BE15" s="26" t="s">
        <v>10</v>
      </c>
      <c r="BG15" s="2" t="s">
        <v>192</v>
      </c>
      <c r="BH15" s="2">
        <f xml:space="preserve"> BH12*SIN(BH4) + BH13*COS(BH4)</f>
        <v>0.38038197123235284</v>
      </c>
      <c r="BI15" s="2"/>
      <c r="BJ15" s="2"/>
      <c r="BK15" s="2" t="s">
        <v>192</v>
      </c>
      <c r="BL15" s="2">
        <f xml:space="preserve"> BL12*SIN(BL4) + BL13*COS(BL4)</f>
        <v>0.45262335235209983</v>
      </c>
      <c r="BM15" s="2"/>
      <c r="BO15" s="2">
        <v>11</v>
      </c>
      <c r="BP15" s="2">
        <f t="shared" si="21"/>
        <v>0.49286802714765648</v>
      </c>
      <c r="BQ15" s="2">
        <v>-8.2088200397736483E-3</v>
      </c>
      <c r="BR15" s="2">
        <f t="shared" si="22"/>
        <v>0.49559851295009294</v>
      </c>
      <c r="BS15" s="2">
        <v>7.5180153419817375E-3</v>
      </c>
      <c r="BT15" s="2">
        <f t="shared" si="7"/>
        <v>0.49423327004887474</v>
      </c>
      <c r="BU15" s="2">
        <v>-3.3754475923783445E-4</v>
      </c>
      <c r="BV15" s="2">
        <f t="shared" si="8"/>
        <v>2.7708441839521066E-6</v>
      </c>
      <c r="BW15" s="2">
        <f t="shared" si="9"/>
        <v>-2.5376666785555714E-6</v>
      </c>
      <c r="BX15" s="2">
        <f t="shared" si="10"/>
        <v>2.7304858024364553E-3</v>
      </c>
      <c r="BZ15" s="2">
        <v>11</v>
      </c>
      <c r="CA15" s="2">
        <f t="shared" si="23"/>
        <v>0.41914491048187252</v>
      </c>
      <c r="CB15" s="2">
        <v>-3.9100852177233192E-4</v>
      </c>
      <c r="CC15" s="2">
        <f t="shared" si="24"/>
        <v>0.42187539628430898</v>
      </c>
      <c r="CD15" s="2">
        <v>9.9991658086325819E-3</v>
      </c>
      <c r="CE15" s="2">
        <f t="shared" si="11"/>
        <v>0.42051015338309072</v>
      </c>
      <c r="CF15" s="2">
        <v>4.8082168422843852E-3</v>
      </c>
      <c r="CG15" s="2">
        <f t="shared" si="12"/>
        <v>-1.8800537598624471E-6</v>
      </c>
      <c r="CH15" s="2">
        <f t="shared" si="13"/>
        <v>4.8078157449861345E-5</v>
      </c>
      <c r="CI15" s="2">
        <f t="shared" si="14"/>
        <v>2.7304858024364553E-3</v>
      </c>
    </row>
    <row r="16" spans="2:87" x14ac:dyDescent="0.2">
      <c r="B16" s="58" t="s">
        <v>12</v>
      </c>
      <c r="C16" s="58"/>
      <c r="D16" s="58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253.32063654752221</v>
      </c>
      <c r="L16" s="6" t="s">
        <v>7</v>
      </c>
      <c r="N16" s="6" t="s">
        <v>118</v>
      </c>
      <c r="O16" s="6">
        <f>(O13*$C$13)/(0.3048^2)/($C$5*2.20462/1000)^(2/3)</f>
        <v>5.7693486991001608</v>
      </c>
      <c r="U16" s="2">
        <v>12</v>
      </c>
      <c r="V16" s="2">
        <f t="shared" si="15"/>
        <v>0.986328125</v>
      </c>
      <c r="W16" s="2">
        <f t="shared" si="0"/>
        <v>2.4389463588747606E-4</v>
      </c>
      <c r="X16" s="2">
        <f t="shared" si="16"/>
        <v>0.986572265625</v>
      </c>
      <c r="Y16" s="2">
        <f t="shared" si="1"/>
        <v>-1.817300113660103E-5</v>
      </c>
      <c r="Z16" s="2">
        <f t="shared" si="3"/>
        <v>0.9864501953125</v>
      </c>
      <c r="AA16" s="2">
        <f t="shared" si="2"/>
        <v>1.1285971902164071E-4</v>
      </c>
      <c r="AB16" s="2">
        <f t="shared" si="4"/>
        <v>2.7525880077145917E-8</v>
      </c>
      <c r="AC16" s="2">
        <f t="shared" si="5"/>
        <v>-2.0509998020567494E-9</v>
      </c>
      <c r="AD16" s="2">
        <f t="shared" si="6"/>
        <v>2.44140625E-4</v>
      </c>
      <c r="AF16" s="2">
        <v>12</v>
      </c>
      <c r="AG16" s="2">
        <f t="shared" si="25"/>
        <v>3325.68359375</v>
      </c>
      <c r="AH16" s="2">
        <v>-0.44718998312418989</v>
      </c>
      <c r="AI16" s="2">
        <f t="shared" si="26"/>
        <v>3327.880859375</v>
      </c>
      <c r="AJ16" s="2">
        <v>0.27699960250674849</v>
      </c>
      <c r="AK16" s="2">
        <f t="shared" si="17"/>
        <v>3326.7822265625</v>
      </c>
      <c r="AL16" s="2">
        <v>-8.5024584966504335E-2</v>
      </c>
      <c r="AM16" s="2">
        <f t="shared" si="18"/>
        <v>3.8022142716312324E-2</v>
      </c>
      <c r="AN16" s="2">
        <f t="shared" si="19"/>
        <v>-2.3551776239022965E-2</v>
      </c>
      <c r="AO16" s="2">
        <f t="shared" si="20"/>
        <v>2.197265625</v>
      </c>
      <c r="AQ16" s="64"/>
      <c r="AR16" s="3" t="s">
        <v>219</v>
      </c>
      <c r="AS16" s="26"/>
      <c r="AU16" s="2" t="s">
        <v>193</v>
      </c>
      <c r="AV16" s="2">
        <f>AV15/AV12</f>
        <v>0.58558272914533083</v>
      </c>
      <c r="AW16" s="26"/>
      <c r="AY16" s="2" t="s">
        <v>167</v>
      </c>
      <c r="AZ16" s="2">
        <f>SQRT(AZ14^2 + AZ15^2)</f>
        <v>48.12731419498175</v>
      </c>
      <c r="BA16" s="26" t="s">
        <v>10</v>
      </c>
      <c r="BC16" s="2" t="s">
        <v>167</v>
      </c>
      <c r="BD16" s="2">
        <f>SQRT(BD14^2 + BD15^2)</f>
        <v>59.16101620089907</v>
      </c>
      <c r="BE16" s="26" t="s">
        <v>10</v>
      </c>
      <c r="BG16" s="2" t="s">
        <v>38</v>
      </c>
      <c r="BH16" s="2">
        <f xml:space="preserve"> 4*BH11*SIN(BH4)*SIN(BH4) / (BH8*BH14)</f>
        <v>1.2627929720039677</v>
      </c>
      <c r="BI16" s="2"/>
      <c r="BJ16" s="2"/>
      <c r="BK16" s="2" t="s">
        <v>38</v>
      </c>
      <c r="BL16" s="2">
        <f xml:space="preserve"> 4*BL11*SIN(BL4)*SIN(BL4) / (BL8*BL14)</f>
        <v>1.2023801341340059</v>
      </c>
      <c r="BM16" s="2"/>
      <c r="BO16" s="2">
        <v>12</v>
      </c>
      <c r="BP16" s="2">
        <f t="shared" si="21"/>
        <v>0.49423327004887474</v>
      </c>
      <c r="BQ16" s="2">
        <v>-3.3754475923783445E-4</v>
      </c>
      <c r="BR16" s="2">
        <f t="shared" si="22"/>
        <v>0.49559851295009294</v>
      </c>
      <c r="BS16" s="2">
        <v>7.5180153419817375E-3</v>
      </c>
      <c r="BT16" s="2">
        <f t="shared" si="7"/>
        <v>0.49491589149948384</v>
      </c>
      <c r="BU16" s="2">
        <v>3.5922085056853126E-3</v>
      </c>
      <c r="BV16" s="2">
        <f t="shared" si="8"/>
        <v>-1.21253115518365E-6</v>
      </c>
      <c r="BW16" s="2">
        <f t="shared" si="9"/>
        <v>2.7006278657339471E-5</v>
      </c>
      <c r="BX16" s="2">
        <f t="shared" si="10"/>
        <v>1.3652429012181999E-3</v>
      </c>
      <c r="BZ16" s="2">
        <v>12</v>
      </c>
      <c r="CA16" s="2">
        <f t="shared" si="23"/>
        <v>0.41914491048187252</v>
      </c>
      <c r="CB16" s="2">
        <v>-3.9100852177233192E-4</v>
      </c>
      <c r="CC16" s="2">
        <f t="shared" si="24"/>
        <v>0.42051015338309072</v>
      </c>
      <c r="CD16" s="2">
        <v>4.8082168422843852E-3</v>
      </c>
      <c r="CE16" s="2">
        <f t="shared" si="11"/>
        <v>0.41982753193248162</v>
      </c>
      <c r="CF16" s="2">
        <v>2.2096317728038384E-3</v>
      </c>
      <c r="CG16" s="2">
        <f t="shared" si="12"/>
        <v>-8.6398485314520602E-7</v>
      </c>
      <c r="CH16" s="2">
        <f t="shared" si="13"/>
        <v>1.062438870524212E-5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54.517104515294889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0.9864501953125</v>
      </c>
      <c r="W17" s="2">
        <f t="shared" si="0"/>
        <v>1.1285971902164071E-4</v>
      </c>
      <c r="X17" s="2">
        <f t="shared" si="16"/>
        <v>0.986572265625</v>
      </c>
      <c r="Y17" s="2">
        <f t="shared" si="1"/>
        <v>-1.817300113660103E-5</v>
      </c>
      <c r="Z17" s="2">
        <f t="shared" si="3"/>
        <v>0.98651123046875</v>
      </c>
      <c r="AA17" s="2">
        <f t="shared" si="2"/>
        <v>4.7343084404349867E-5</v>
      </c>
      <c r="AB17" s="2">
        <f t="shared" si="4"/>
        <v>5.3431272034927464E-9</v>
      </c>
      <c r="AC17" s="2">
        <f t="shared" si="5"/>
        <v>-8.6036592669044868E-10</v>
      </c>
      <c r="AD17" s="2">
        <f t="shared" si="6"/>
        <v>1.220703125E-4</v>
      </c>
      <c r="AF17" s="2">
        <v>13</v>
      </c>
      <c r="AG17" s="2">
        <f t="shared" si="25"/>
        <v>3326.7822265625</v>
      </c>
      <c r="AH17" s="2">
        <v>-8.5024584966504335E-2</v>
      </c>
      <c r="AI17" s="2">
        <f t="shared" si="26"/>
        <v>3327.880859375</v>
      </c>
      <c r="AJ17" s="2">
        <v>0.27699960250674849</v>
      </c>
      <c r="AK17" s="2">
        <f t="shared" si="17"/>
        <v>3327.33154296875</v>
      </c>
      <c r="AL17" s="2">
        <v>9.6005275328479911E-2</v>
      </c>
      <c r="AM17" s="2">
        <f t="shared" si="18"/>
        <v>-8.1628086893989829E-3</v>
      </c>
      <c r="AN17" s="2">
        <f t="shared" si="19"/>
        <v>2.6593423104539882E-2</v>
      </c>
      <c r="AO17" s="2">
        <f t="shared" si="20"/>
        <v>1.0986328125</v>
      </c>
      <c r="AQ17" s="64"/>
      <c r="AR17" s="3" t="s">
        <v>219</v>
      </c>
      <c r="AS17" s="26"/>
      <c r="AU17" s="2" t="s">
        <v>190</v>
      </c>
      <c r="AV17" s="2">
        <f>AV10/($AR$45*AV6^2*AR9^4)</f>
        <v>0.32932757565671728</v>
      </c>
      <c r="AW17" s="2"/>
      <c r="AY17" s="2" t="s">
        <v>170</v>
      </c>
      <c r="AZ17" s="37">
        <f>$AR$45*AZ16*$AR$27/$AR$46</f>
        <v>2408172.6399940173</v>
      </c>
      <c r="BA17" s="26"/>
      <c r="BC17" s="2" t="s">
        <v>170</v>
      </c>
      <c r="BD17" s="37">
        <f>$AR$45*BD16*$AR$27/$AR$46</f>
        <v>2960271.9983926164</v>
      </c>
      <c r="BE17" s="26"/>
      <c r="BG17" s="2" t="s">
        <v>194</v>
      </c>
      <c r="BH17" s="2">
        <f xml:space="preserve"> 4*BH11*SIN(BH4)*COS(BH4) / (BH8*BH15)</f>
        <v>3.4735999200348315</v>
      </c>
      <c r="BI17" s="2"/>
      <c r="BJ17" s="2"/>
      <c r="BK17" s="2" t="s">
        <v>194</v>
      </c>
      <c r="BL17" s="2">
        <f xml:space="preserve"> 4*BL11*SIN(BL4)*COS(BL4) / (BL8*BL15)</f>
        <v>5.2802245880234917</v>
      </c>
      <c r="BM17" s="2"/>
      <c r="BO17" s="2">
        <v>13</v>
      </c>
      <c r="BP17" s="2">
        <f t="shared" si="21"/>
        <v>0.49423327004887474</v>
      </c>
      <c r="BQ17" s="2">
        <v>-3.3754475923783445E-4</v>
      </c>
      <c r="BR17" s="2">
        <f t="shared" si="22"/>
        <v>0.49491589149948384</v>
      </c>
      <c r="BS17" s="2">
        <v>3.5922085056853126E-3</v>
      </c>
      <c r="BT17" s="2">
        <f t="shared" si="7"/>
        <v>0.49457458077417926</v>
      </c>
      <c r="BU17" s="2">
        <v>1.6278240833374757E-3</v>
      </c>
      <c r="BV17" s="2">
        <f t="shared" si="8"/>
        <v>-5.4946348829169676E-7</v>
      </c>
      <c r="BW17" s="2">
        <f t="shared" si="9"/>
        <v>5.8474835179242779E-6</v>
      </c>
      <c r="BX17" s="2">
        <f t="shared" si="10"/>
        <v>6.8262145060909996E-4</v>
      </c>
      <c r="BZ17" s="2">
        <v>13</v>
      </c>
      <c r="CA17" s="2">
        <f t="shared" si="23"/>
        <v>0.41914491048187252</v>
      </c>
      <c r="CB17" s="2">
        <v>-3.9100852177233192E-4</v>
      </c>
      <c r="CC17" s="2">
        <f t="shared" si="24"/>
        <v>0.41982753193248162</v>
      </c>
      <c r="CD17" s="2">
        <v>2.2096317728038384E-3</v>
      </c>
      <c r="CE17" s="2">
        <f t="shared" si="11"/>
        <v>0.41948622120717705</v>
      </c>
      <c r="CF17" s="2">
        <v>9.0956765300648224E-4</v>
      </c>
      <c r="CG17" s="2">
        <f t="shared" si="12"/>
        <v>-3.5564870345399393E-7</v>
      </c>
      <c r="CH17" s="2">
        <f t="shared" si="13"/>
        <v>2.0098095855977399E-6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G17/$C$74</f>
        <v>0.16385193983659224</v>
      </c>
      <c r="H18" s="6" t="s">
        <v>131</v>
      </c>
      <c r="J18" s="13" t="s">
        <v>56</v>
      </c>
      <c r="K18" s="6">
        <f xml:space="preserve"> $C$79 * (0.2138 * K4 + 0.2138 * K6)</f>
        <v>192.83776059254376</v>
      </c>
      <c r="L18" s="6" t="s">
        <v>7</v>
      </c>
      <c r="N18" s="54" t="s">
        <v>238</v>
      </c>
      <c r="O18" s="55"/>
      <c r="P18" s="55"/>
      <c r="U18" s="2">
        <v>14</v>
      </c>
      <c r="V18" s="2">
        <f t="shared" si="15"/>
        <v>0.98651123046875</v>
      </c>
      <c r="W18" s="2">
        <f t="shared" si="0"/>
        <v>4.7343084404349867E-5</v>
      </c>
      <c r="X18" s="2">
        <f t="shared" si="16"/>
        <v>0.986572265625</v>
      </c>
      <c r="Y18" s="2">
        <f t="shared" si="1"/>
        <v>-1.817300113660103E-5</v>
      </c>
      <c r="Z18" s="2">
        <f t="shared" si="3"/>
        <v>0.986541748046875</v>
      </c>
      <c r="AA18" s="2">
        <f t="shared" si="2"/>
        <v>1.4584973005660196E-5</v>
      </c>
      <c r="AB18" s="2">
        <f t="shared" si="4"/>
        <v>6.9049760804213499E-10</v>
      </c>
      <c r="AC18" s="2">
        <f t="shared" si="5"/>
        <v>-2.6505273100915806E-10</v>
      </c>
      <c r="AD18" s="2">
        <f t="shared" si="6"/>
        <v>6.103515625E-5</v>
      </c>
      <c r="AF18" s="2">
        <v>14</v>
      </c>
      <c r="AG18" s="2">
        <f t="shared" si="25"/>
        <v>3326.7822265625</v>
      </c>
      <c r="AH18" s="2">
        <v>-8.5024584966504335E-2</v>
      </c>
      <c r="AI18" s="2">
        <f t="shared" si="26"/>
        <v>3327.33154296875</v>
      </c>
      <c r="AJ18" s="2">
        <v>9.6005275328479911E-2</v>
      </c>
      <c r="AK18" s="2">
        <f t="shared" si="17"/>
        <v>3327.056884765625</v>
      </c>
      <c r="AL18" s="2">
        <v>5.4950137573541724E-3</v>
      </c>
      <c r="AM18" s="2">
        <f t="shared" si="18"/>
        <v>-4.6721126410427007E-4</v>
      </c>
      <c r="AN18" s="2">
        <f t="shared" si="19"/>
        <v>5.2755030870857227E-4</v>
      </c>
      <c r="AO18" s="2">
        <f t="shared" si="20"/>
        <v>0.54931640625</v>
      </c>
      <c r="AQ18" s="64"/>
      <c r="AR18" s="3" t="s">
        <v>219</v>
      </c>
      <c r="AU18" s="2" t="s">
        <v>192</v>
      </c>
      <c r="AV18" s="2">
        <f>AV11/($AR$45*AV6^2*AR9^5)</f>
        <v>4.4282464529508604E-2</v>
      </c>
      <c r="AW18" s="26"/>
      <c r="AY18" s="2" t="s">
        <v>174</v>
      </c>
      <c r="AZ18" s="2">
        <f xml:space="preserve"> $BH$27 * PI() * $AR$45 * AZ16^2 *$BH$33 * $AR$21 * AZ13</f>
        <v>295.08586092107782</v>
      </c>
      <c r="BA18" s="26" t="s">
        <v>22</v>
      </c>
      <c r="BC18" s="2" t="s">
        <v>174</v>
      </c>
      <c r="BD18" s="2">
        <f xml:space="preserve"> $BL$27 * PI() * $AR$45 * BD16^2 * $BL$33 * $AR$22 * BD13</f>
        <v>461.29012972166487</v>
      </c>
      <c r="BE18" s="26" t="s">
        <v>22</v>
      </c>
      <c r="BG18" s="2" t="s">
        <v>45</v>
      </c>
      <c r="BH18" s="2">
        <f>1/(BH16-1)</f>
        <v>3.8052768016372291</v>
      </c>
      <c r="BI18" s="2"/>
      <c r="BJ18" s="2"/>
      <c r="BK18" s="2" t="s">
        <v>45</v>
      </c>
      <c r="BL18" s="2">
        <f>1/(BL16-1)</f>
        <v>4.9411964483522404</v>
      </c>
      <c r="BM18" s="2"/>
      <c r="BO18" s="2">
        <v>14</v>
      </c>
      <c r="BP18" s="2">
        <f t="shared" si="21"/>
        <v>0.49423327004887474</v>
      </c>
      <c r="BQ18" s="2">
        <v>-3.3754475923783445E-4</v>
      </c>
      <c r="BR18" s="2">
        <f t="shared" si="22"/>
        <v>0.49457458077417926</v>
      </c>
      <c r="BS18" s="2">
        <v>1.6278240833374757E-3</v>
      </c>
      <c r="BT18" s="2">
        <f t="shared" si="7"/>
        <v>0.494403925411527</v>
      </c>
      <c r="BU18" s="2">
        <v>6.4526257714105084E-4</v>
      </c>
      <c r="BV18" s="2">
        <f t="shared" si="8"/>
        <v>-2.1780500124626058E-7</v>
      </c>
      <c r="BW18" s="2">
        <f t="shared" si="9"/>
        <v>1.0503739631466083E-6</v>
      </c>
      <c r="BX18" s="2">
        <f t="shared" si="10"/>
        <v>3.4131072530452222E-4</v>
      </c>
      <c r="BZ18" s="2">
        <v>14</v>
      </c>
      <c r="CA18" s="2">
        <f t="shared" si="23"/>
        <v>0.41914491048187252</v>
      </c>
      <c r="CB18" s="2">
        <v>-3.9100852177233192E-4</v>
      </c>
      <c r="CC18" s="2">
        <f t="shared" si="24"/>
        <v>0.41948622120717705</v>
      </c>
      <c r="CD18" s="2">
        <v>9.0956765300648224E-4</v>
      </c>
      <c r="CE18" s="2">
        <f t="shared" si="11"/>
        <v>0.41931556584452478</v>
      </c>
      <c r="CF18" s="2">
        <v>2.5934346250010287E-4</v>
      </c>
      <c r="CG18" s="2">
        <f t="shared" si="12"/>
        <v>-1.0140550390348342E-7</v>
      </c>
      <c r="CH18" s="2">
        <f t="shared" si="13"/>
        <v>2.3589042450879322E-7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141.25418511869509</v>
      </c>
      <c r="H19" s="6" t="s">
        <v>104</v>
      </c>
      <c r="J19" s="13" t="s">
        <v>80</v>
      </c>
      <c r="K19" s="6">
        <f xml:space="preserve"> $C$79 * (0.1149 * K4 + 0.1149 * K6)</f>
        <v>103.63451212386938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0.986541748046875</v>
      </c>
      <c r="W19" s="2">
        <f t="shared" si="0"/>
        <v>1.4584973005660196E-5</v>
      </c>
      <c r="X19" s="2">
        <f t="shared" si="16"/>
        <v>0.986572265625</v>
      </c>
      <c r="Y19" s="2">
        <f t="shared" si="1"/>
        <v>-1.817300113660103E-5</v>
      </c>
      <c r="Z19" s="2">
        <f t="shared" si="3"/>
        <v>0.9865570068359375</v>
      </c>
      <c r="AA19" s="2">
        <f t="shared" si="2"/>
        <v>-1.794031221802328E-6</v>
      </c>
      <c r="AB19" s="2">
        <f t="shared" si="4"/>
        <v>-2.6165896941298532E-11</v>
      </c>
      <c r="AC19" s="2">
        <f t="shared" si="5"/>
        <v>3.2602931432911444E-11</v>
      </c>
      <c r="AD19" s="2">
        <f t="shared" si="6"/>
        <v>3.0517578125E-5</v>
      </c>
      <c r="AF19" s="2">
        <v>15</v>
      </c>
      <c r="AG19" s="2">
        <f t="shared" si="25"/>
        <v>3326.7822265625</v>
      </c>
      <c r="AH19" s="2">
        <v>-8.5024584966504335E-2</v>
      </c>
      <c r="AI19" s="2">
        <f t="shared" si="26"/>
        <v>3327.056884765625</v>
      </c>
      <c r="AJ19" s="2">
        <v>5.4950137573541724E-3</v>
      </c>
      <c r="AK19" s="2">
        <f t="shared" si="17"/>
        <v>3326.9195556640625</v>
      </c>
      <c r="AL19" s="2">
        <v>-3.9763732066603552E-2</v>
      </c>
      <c r="AM19" s="2">
        <f t="shared" si="18"/>
        <v>3.3808948156822467E-3</v>
      </c>
      <c r="AN19" s="2">
        <f t="shared" si="19"/>
        <v>-2.1850225474973178E-4</v>
      </c>
      <c r="AO19" s="2">
        <f t="shared" si="20"/>
        <v>0.274658203125</v>
      </c>
      <c r="AQ19" s="64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0.27823493049750964</v>
      </c>
      <c r="AW19" s="26"/>
      <c r="AY19" s="2" t="s">
        <v>178</v>
      </c>
      <c r="AZ19" s="2">
        <f xml:space="preserve"> $BH$27 * PI() * $AR$45 * AZ16^2 * $BH$34 * $AR$21^2 * AZ13</f>
        <v>89.977988944075051</v>
      </c>
      <c r="BA19" s="26" t="s">
        <v>179</v>
      </c>
      <c r="BC19" s="2" t="s">
        <v>178</v>
      </c>
      <c r="BD19" s="2">
        <f xml:space="preserve"> $BL$27 * PI() * $AR$45 * BD16^2 * $BL$34 * $AR$22^2 * BD13</f>
        <v>152.84702393854593</v>
      </c>
      <c r="BE19" s="26" t="s">
        <v>179</v>
      </c>
      <c r="BG19" s="2" t="s">
        <v>197</v>
      </c>
      <c r="BH19" s="2">
        <f>1/(BH17+1)</f>
        <v>0.2235336234520082</v>
      </c>
      <c r="BI19" s="2"/>
      <c r="BJ19" s="2"/>
      <c r="BK19" s="2" t="s">
        <v>197</v>
      </c>
      <c r="BL19" s="2">
        <f>1/(BL17+1)</f>
        <v>0.15922997433993349</v>
      </c>
      <c r="BM19" s="2"/>
      <c r="BO19" s="2">
        <v>15</v>
      </c>
      <c r="BP19" s="2">
        <f t="shared" si="21"/>
        <v>0.49423327004887474</v>
      </c>
      <c r="BQ19" s="2">
        <v>-3.3754475923783445E-4</v>
      </c>
      <c r="BR19" s="2">
        <f t="shared" si="22"/>
        <v>0.494403925411527</v>
      </c>
      <c r="BS19" s="2">
        <v>6.4526257714105084E-4</v>
      </c>
      <c r="BT19" s="2">
        <f t="shared" si="7"/>
        <v>0.49431859773020087</v>
      </c>
      <c r="BU19" s="2">
        <v>1.538896204973661E-4</v>
      </c>
      <c r="BV19" s="2">
        <f t="shared" si="8"/>
        <v>-5.1944634899985154E-8</v>
      </c>
      <c r="BW19" s="2">
        <f t="shared" si="9"/>
        <v>9.9299213117388734E-8</v>
      </c>
      <c r="BX19" s="2">
        <f t="shared" si="10"/>
        <v>1.7065536265226111E-4</v>
      </c>
      <c r="BZ19" s="2">
        <v>15</v>
      </c>
      <c r="CA19" s="2">
        <f t="shared" si="23"/>
        <v>0.41914491048187252</v>
      </c>
      <c r="CB19" s="2">
        <v>-3.9100852177233192E-4</v>
      </c>
      <c r="CC19" s="2">
        <f t="shared" si="24"/>
        <v>0.41931556584452478</v>
      </c>
      <c r="CD19" s="2">
        <v>2.5934346250010287E-4</v>
      </c>
      <c r="CE19" s="2">
        <f t="shared" si="11"/>
        <v>0.41923023816319865</v>
      </c>
      <c r="CF19" s="2">
        <v>-6.5816569197574282E-5</v>
      </c>
      <c r="CG19" s="2">
        <f t="shared" si="12"/>
        <v>2.5734839430069915E-8</v>
      </c>
      <c r="CH19" s="2">
        <f t="shared" si="13"/>
        <v>-1.7069096945576532E-8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141.25418511869509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228.09523177989186</v>
      </c>
      <c r="L20" s="6" t="s">
        <v>7</v>
      </c>
      <c r="N20" s="6" t="s">
        <v>21</v>
      </c>
      <c r="O20" s="6">
        <f xml:space="preserve"> O14 / $C$29</f>
        <v>2550.72328113609</v>
      </c>
      <c r="P20" s="6" t="s">
        <v>22</v>
      </c>
      <c r="U20" s="2">
        <v>16</v>
      </c>
      <c r="V20" s="2">
        <f t="shared" si="15"/>
        <v>0.986541748046875</v>
      </c>
      <c r="W20" s="2">
        <f t="shared" si="0"/>
        <v>1.4584973005660196E-5</v>
      </c>
      <c r="X20" s="2">
        <f t="shared" si="16"/>
        <v>0.9865570068359375</v>
      </c>
      <c r="Y20" s="2">
        <f t="shared" si="1"/>
        <v>-1.794031221802328E-6</v>
      </c>
      <c r="Z20" s="2">
        <f t="shared" si="3"/>
        <v>0.98654937744140625</v>
      </c>
      <c r="AA20" s="2">
        <f t="shared" si="2"/>
        <v>6.3954666027488116E-6</v>
      </c>
      <c r="AB20" s="2">
        <f t="shared" si="4"/>
        <v>9.3277707759692731E-11</v>
      </c>
      <c r="AC20" s="2">
        <f t="shared" si="5"/>
        <v>-1.1473666763325434E-11</v>
      </c>
      <c r="AD20" s="2">
        <f t="shared" si="6"/>
        <v>1.52587890625E-5</v>
      </c>
      <c r="AF20" s="2">
        <v>16</v>
      </c>
      <c r="AG20" s="2">
        <f t="shared" si="25"/>
        <v>3326.9195556640625</v>
      </c>
      <c r="AH20" s="2">
        <v>-3.9763732066603552E-2</v>
      </c>
      <c r="AI20" s="2">
        <f t="shared" si="26"/>
        <v>3327.056884765625</v>
      </c>
      <c r="AJ20" s="2">
        <v>5.4950137573541724E-3</v>
      </c>
      <c r="AK20" s="2">
        <f t="shared" si="17"/>
        <v>3326.9882202148438</v>
      </c>
      <c r="AL20" s="2">
        <v>-1.7134550055743603E-2</v>
      </c>
      <c r="AM20" s="2">
        <f t="shared" si="18"/>
        <v>6.8133365749839558E-4</v>
      </c>
      <c r="AN20" s="2">
        <f t="shared" si="19"/>
        <v>-9.4154588282384795E-5</v>
      </c>
      <c r="AO20" s="2">
        <f t="shared" si="20"/>
        <v>0.1373291015625</v>
      </c>
      <c r="AQ20" s="64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8.3988130368510036E-2</v>
      </c>
      <c r="AW20" s="26"/>
      <c r="BG20" s="7" t="s">
        <v>199</v>
      </c>
      <c r="BH20" s="40">
        <f>SIN(BH4)/(1+BH18) - $AR$3*COS(BH4)/($AV$5*$AR$19*(1-BH19))</f>
        <v>8.035629328606575E-9</v>
      </c>
      <c r="BI20" s="40"/>
      <c r="BJ20" s="2"/>
      <c r="BK20" s="7" t="s">
        <v>199</v>
      </c>
      <c r="BL20" s="40">
        <f>SIN(BL4)/(1+BL18) - $AR$3*COS(BL4)/($AV$5*$AR$20*(1-BL19))</f>
        <v>5.9086911474715009E-9</v>
      </c>
      <c r="BM20" s="40"/>
      <c r="BO20" s="2">
        <v>16</v>
      </c>
      <c r="BP20" s="2">
        <f t="shared" si="21"/>
        <v>0.49423327004887474</v>
      </c>
      <c r="BQ20" s="2">
        <v>-3.3754475923783445E-4</v>
      </c>
      <c r="BR20" s="2">
        <f t="shared" si="22"/>
        <v>0.49431859773020087</v>
      </c>
      <c r="BS20" s="2">
        <v>1.538896204973661E-4</v>
      </c>
      <c r="BT20" s="2">
        <f t="shared" si="7"/>
        <v>0.49427593388953783</v>
      </c>
      <c r="BU20" s="2">
        <v>-9.181989363996057E-5</v>
      </c>
      <c r="BV20" s="2">
        <f t="shared" si="8"/>
        <v>3.0993323891944056E-8</v>
      </c>
      <c r="BW20" s="2">
        <f t="shared" si="9"/>
        <v>-1.4130128586362051E-8</v>
      </c>
      <c r="BX20" s="2">
        <f t="shared" si="10"/>
        <v>8.5327681326130556E-5</v>
      </c>
      <c r="BZ20" s="2">
        <v>16</v>
      </c>
      <c r="CA20" s="2">
        <f t="shared" si="23"/>
        <v>0.41923023816319865</v>
      </c>
      <c r="CB20" s="2">
        <v>-6.5816569197574282E-5</v>
      </c>
      <c r="CC20" s="2">
        <f t="shared" si="24"/>
        <v>0.41931556584452478</v>
      </c>
      <c r="CD20" s="2">
        <v>2.5934346250010287E-4</v>
      </c>
      <c r="CE20" s="2">
        <f t="shared" si="11"/>
        <v>0.41927290200386169</v>
      </c>
      <c r="CF20" s="2">
        <v>9.6767438485037549E-5</v>
      </c>
      <c r="CG20" s="2">
        <f t="shared" si="12"/>
        <v>-6.3689008111224869E-9</v>
      </c>
      <c r="CH20" s="2">
        <f t="shared" si="13"/>
        <v>2.5096002553975346E-8</v>
      </c>
      <c r="CI20" s="2">
        <f t="shared" si="14"/>
        <v>8.5327681326130556E-5</v>
      </c>
    </row>
    <row r="21" spans="2:87" x14ac:dyDescent="0.2">
      <c r="B21" s="58" t="s">
        <v>115</v>
      </c>
      <c r="C21" s="58"/>
      <c r="D21" s="58"/>
      <c r="J21" s="14" t="s">
        <v>64</v>
      </c>
      <c r="K21" s="6">
        <f xml:space="preserve"> $C$80 * C42 * $C$5</f>
        <v>86.495184943180007</v>
      </c>
      <c r="L21" s="6" t="s">
        <v>7</v>
      </c>
      <c r="N21" s="6" t="s">
        <v>29</v>
      </c>
      <c r="O21" s="6">
        <f>$C$7*2*PI()/60</f>
        <v>39.793506945470718</v>
      </c>
      <c r="P21" s="6" t="s">
        <v>30</v>
      </c>
      <c r="U21" s="2">
        <v>17</v>
      </c>
      <c r="V21" s="2">
        <f t="shared" si="15"/>
        <v>0.98654937744140625</v>
      </c>
      <c r="W21" s="2">
        <f t="shared" si="0"/>
        <v>6.3954666027488116E-6</v>
      </c>
      <c r="X21" s="2">
        <f t="shared" si="16"/>
        <v>0.9865570068359375</v>
      </c>
      <c r="Y21" s="2">
        <f t="shared" si="1"/>
        <v>-1.794031221802328E-6</v>
      </c>
      <c r="Z21" s="2">
        <f t="shared" si="3"/>
        <v>0.98655319213867188</v>
      </c>
      <c r="AA21" s="2">
        <f t="shared" si="2"/>
        <v>2.3007166182198446E-6</v>
      </c>
      <c r="AB21" s="2">
        <f t="shared" si="4"/>
        <v>1.4714156294214203E-11</v>
      </c>
      <c r="AC21" s="2">
        <f t="shared" si="5"/>
        <v>-4.1275574456058679E-12</v>
      </c>
      <c r="AD21" s="2">
        <f t="shared" si="6"/>
        <v>7.62939453125E-6</v>
      </c>
      <c r="AF21" s="2">
        <v>17</v>
      </c>
      <c r="AG21" s="2">
        <f t="shared" si="25"/>
        <v>3326.9882202148438</v>
      </c>
      <c r="AH21" s="2">
        <v>-1.7134550055743603E-2</v>
      </c>
      <c r="AI21" s="2">
        <f t="shared" si="26"/>
        <v>3327.056884765625</v>
      </c>
      <c r="AJ21" s="2">
        <v>5.4950137573541724E-3</v>
      </c>
      <c r="AK21" s="2">
        <f t="shared" si="17"/>
        <v>3327.0225524902344</v>
      </c>
      <c r="AL21" s="2">
        <v>-5.8197023063257802E-3</v>
      </c>
      <c r="AM21" s="2">
        <f t="shared" si="18"/>
        <v>9.9717980477265574E-5</v>
      </c>
      <c r="AN21" s="2">
        <f t="shared" si="19"/>
        <v>-3.1979344236965965E-5</v>
      </c>
      <c r="AO21" s="2">
        <f t="shared" si="20"/>
        <v>6.866455078125E-2</v>
      </c>
      <c r="AQ21" s="64"/>
      <c r="AR21" s="3">
        <f>0.456875*($AR$9/2)</f>
        <v>0.69627749999999999</v>
      </c>
      <c r="AS21" s="26" t="s">
        <v>8</v>
      </c>
      <c r="AW21" s="26"/>
      <c r="AY21" s="62" t="s">
        <v>200</v>
      </c>
      <c r="AZ21" s="62"/>
      <c r="BA21" s="62"/>
      <c r="BC21" s="62" t="s">
        <v>201</v>
      </c>
      <c r="BD21" s="62"/>
      <c r="BE21" s="62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0.49427593388953783</v>
      </c>
      <c r="BQ21" s="2">
        <v>-9.181989363996057E-5</v>
      </c>
      <c r="BR21" s="2">
        <f t="shared" si="22"/>
        <v>0.49431859773020087</v>
      </c>
      <c r="BS21" s="2">
        <v>1.538896204973661E-4</v>
      </c>
      <c r="BT21" s="2">
        <f t="shared" si="7"/>
        <v>0.49429726580986932</v>
      </c>
      <c r="BU21" s="2">
        <v>3.1036782630805559E-5</v>
      </c>
      <c r="BV21" s="2">
        <f t="shared" si="8"/>
        <v>-2.8497940800871422E-9</v>
      </c>
      <c r="BW21" s="2">
        <f t="shared" si="9"/>
        <v>4.7762387005139116E-9</v>
      </c>
      <c r="BX21" s="2">
        <f t="shared" si="10"/>
        <v>4.2663840663037522E-5</v>
      </c>
      <c r="BZ21" s="2">
        <v>17</v>
      </c>
      <c r="CA21" s="2">
        <f t="shared" si="23"/>
        <v>0.41923023816319865</v>
      </c>
      <c r="CB21" s="2">
        <v>-6.5816569197574282E-5</v>
      </c>
      <c r="CC21" s="2">
        <f t="shared" si="24"/>
        <v>0.41927290200386169</v>
      </c>
      <c r="CD21" s="2">
        <v>9.6767438485037549E-5</v>
      </c>
      <c r="CE21" s="2">
        <f t="shared" si="11"/>
        <v>0.4192515700835302</v>
      </c>
      <c r="CF21" s="2">
        <v>1.5476432386918315E-5</v>
      </c>
      <c r="CG21" s="2">
        <f t="shared" si="12"/>
        <v>-1.0186056831251889E-9</v>
      </c>
      <c r="CH21" s="2">
        <f t="shared" si="13"/>
        <v>1.4976147189689608E-9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8" t="s">
        <v>84</v>
      </c>
      <c r="G22" s="58"/>
      <c r="H22" s="58"/>
      <c r="J22" s="14" t="s">
        <v>241</v>
      </c>
      <c r="K22" s="6">
        <f xml:space="preserve"> $C$80 * (0.04674 * ($C$5*2.20462)^0.397 * ($C$13*3.28084^2)^0.36 * $C$47^0.397 * $C$14^1.712 * 0.453592)</f>
        <v>437.36539868242903</v>
      </c>
      <c r="L22" s="6" t="s">
        <v>7</v>
      </c>
      <c r="N22" s="6" t="s">
        <v>31</v>
      </c>
      <c r="O22" s="6">
        <f xml:space="preserve"> $C$8 * COS(O19/180*PI()) / (O21 * $C$11)</f>
        <v>7.9934310087219157E-2</v>
      </c>
      <c r="U22" s="2">
        <v>18</v>
      </c>
      <c r="V22" s="2">
        <f t="shared" si="15"/>
        <v>0.98655319213867188</v>
      </c>
      <c r="W22" s="2">
        <f t="shared" si="0"/>
        <v>2.3007166182198446E-6</v>
      </c>
      <c r="X22" s="2">
        <f t="shared" si="16"/>
        <v>0.9865570068359375</v>
      </c>
      <c r="Y22" s="2">
        <f t="shared" si="1"/>
        <v>-1.794031221802328E-6</v>
      </c>
      <c r="Z22" s="2">
        <f t="shared" si="3"/>
        <v>0.98655509948730469</v>
      </c>
      <c r="AA22" s="2">
        <f t="shared" si="2"/>
        <v>2.5334243014540903E-7</v>
      </c>
      <c r="AB22" s="2">
        <f t="shared" si="4"/>
        <v>5.8286913913574272E-13</v>
      </c>
      <c r="AC22" s="2">
        <f t="shared" si="5"/>
        <v>-4.5450422948813907E-13</v>
      </c>
      <c r="AD22" s="2">
        <f t="shared" si="6"/>
        <v>3.814697265625E-6</v>
      </c>
      <c r="AF22" s="2">
        <v>18</v>
      </c>
      <c r="AG22" s="2">
        <f t="shared" si="25"/>
        <v>3327.0225524902344</v>
      </c>
      <c r="AH22" s="2">
        <v>-5.8197023063257802E-3</v>
      </c>
      <c r="AI22" s="2">
        <f t="shared" si="26"/>
        <v>3327.056884765625</v>
      </c>
      <c r="AJ22" s="2">
        <v>5.4950137573541724E-3</v>
      </c>
      <c r="AK22" s="2">
        <f t="shared" si="17"/>
        <v>3327.0397186279297</v>
      </c>
      <c r="AL22" s="2">
        <v>-1.6278211205644766E-4</v>
      </c>
      <c r="AM22" s="2">
        <f t="shared" si="18"/>
        <v>9.4734343296349004E-7</v>
      </c>
      <c r="AN22" s="2">
        <f t="shared" si="19"/>
        <v>-8.9448994520134833E-7</v>
      </c>
      <c r="AO22" s="2">
        <f t="shared" si="20"/>
        <v>3.4332275390625E-2</v>
      </c>
      <c r="AQ22" s="64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2" t="s">
        <v>185</v>
      </c>
      <c r="BH22" s="62"/>
      <c r="BI22" s="62"/>
      <c r="BJ22" s="2"/>
      <c r="BK22" s="62" t="s">
        <v>186</v>
      </c>
      <c r="BL22" s="62"/>
      <c r="BM22" s="62"/>
      <c r="BO22" s="2">
        <v>18</v>
      </c>
      <c r="BP22" s="2">
        <f t="shared" si="21"/>
        <v>0.49427593388953783</v>
      </c>
      <c r="BQ22" s="2">
        <v>-9.181989363996057E-5</v>
      </c>
      <c r="BR22" s="2">
        <f t="shared" si="22"/>
        <v>0.49429726580986932</v>
      </c>
      <c r="BS22" s="2">
        <v>3.1036782630805559E-5</v>
      </c>
      <c r="BT22" s="2">
        <f t="shared" si="7"/>
        <v>0.49428659984970358</v>
      </c>
      <c r="BU22" s="2">
        <v>-3.0391075737754014E-5</v>
      </c>
      <c r="BV22" s="2">
        <f t="shared" si="8"/>
        <v>2.7905053418445599E-9</v>
      </c>
      <c r="BW22" s="2">
        <f t="shared" si="9"/>
        <v>-9.4324121158902011E-10</v>
      </c>
      <c r="BX22" s="2">
        <f t="shared" si="10"/>
        <v>2.1331920331491006E-5</v>
      </c>
      <c r="BZ22" s="2">
        <v>18</v>
      </c>
      <c r="CA22" s="2">
        <f t="shared" si="23"/>
        <v>0.41923023816319865</v>
      </c>
      <c r="CB22" s="2">
        <v>-6.5816569197574282E-5</v>
      </c>
      <c r="CC22" s="2">
        <f t="shared" si="24"/>
        <v>0.4192515700835302</v>
      </c>
      <c r="CD22" s="2">
        <v>1.5476432386918315E-5</v>
      </c>
      <c r="CE22" s="2">
        <f t="shared" si="11"/>
        <v>0.41924090412336446</v>
      </c>
      <c r="CF22" s="2">
        <v>-2.5169818996473303E-5</v>
      </c>
      <c r="CG22" s="2">
        <f t="shared" si="12"/>
        <v>1.6565911336718047E-9</v>
      </c>
      <c r="CH22" s="2">
        <f t="shared" si="13"/>
        <v>-3.8953900188989126E-10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35.821506242291868</v>
      </c>
      <c r="L23" s="6" t="s">
        <v>7</v>
      </c>
      <c r="N23" s="6" t="s">
        <v>32</v>
      </c>
      <c r="O23" s="6">
        <f xml:space="preserve"> O20 / ( $C$72 * PI() * $C$11^2 * O21^2 * $C$11^2)</f>
        <v>0.14431507765408527</v>
      </c>
      <c r="U23" s="2">
        <v>19</v>
      </c>
      <c r="V23" s="2">
        <f t="shared" si="15"/>
        <v>0.98655509948730469</v>
      </c>
      <c r="W23" s="2">
        <f t="shared" si="0"/>
        <v>2.5334243014540903E-7</v>
      </c>
      <c r="X23" s="2">
        <f t="shared" si="16"/>
        <v>0.9865570068359375</v>
      </c>
      <c r="Y23" s="2">
        <f t="shared" si="1"/>
        <v>-1.794031221802328E-6</v>
      </c>
      <c r="Z23" s="2">
        <f t="shared" si="3"/>
        <v>0.98655605316162109</v>
      </c>
      <c r="AA23" s="2">
        <f t="shared" si="2"/>
        <v>-7.7034446277490787E-7</v>
      </c>
      <c r="AB23" s="2">
        <f t="shared" si="4"/>
        <v>-1.9516093824845475E-13</v>
      </c>
      <c r="AC23" s="2">
        <f t="shared" si="5"/>
        <v>1.3820220177607259E-12</v>
      </c>
      <c r="AD23" s="2">
        <f t="shared" si="6"/>
        <v>1.9073486328125E-6</v>
      </c>
      <c r="AF23" s="2">
        <v>19</v>
      </c>
      <c r="AG23" s="2">
        <f t="shared" si="25"/>
        <v>3327.0397186279297</v>
      </c>
      <c r="AH23" s="2">
        <v>-1.6278211205644766E-4</v>
      </c>
      <c r="AI23" s="2">
        <f t="shared" si="26"/>
        <v>3327.056884765625</v>
      </c>
      <c r="AJ23" s="2">
        <v>5.4950137573541724E-3</v>
      </c>
      <c r="AK23" s="2">
        <f t="shared" si="17"/>
        <v>3327.0483016967773</v>
      </c>
      <c r="AL23" s="2">
        <v>2.6665742379918811E-3</v>
      </c>
      <c r="AM23" s="2">
        <f t="shared" si="18"/>
        <v>-4.3407058641563089E-7</v>
      </c>
      <c r="AN23" s="2">
        <f t="shared" si="19"/>
        <v>1.4652862122771606E-5</v>
      </c>
      <c r="AO23" s="2">
        <f t="shared" si="20"/>
        <v>1.71661376953125E-2</v>
      </c>
      <c r="AQ23" s="64"/>
      <c r="AR23" s="3">
        <f>0.654375*($AR$9/2)</f>
        <v>0.99726750000000008</v>
      </c>
      <c r="AS23" s="26" t="s">
        <v>8</v>
      </c>
      <c r="AU23" s="63" t="s">
        <v>203</v>
      </c>
      <c r="AV23" s="64">
        <f>BH20</f>
        <v>8.035629328606575E-9</v>
      </c>
      <c r="AW23" s="64"/>
      <c r="AY23" s="2" t="s">
        <v>158</v>
      </c>
      <c r="AZ23" s="2">
        <f>(1+$BH$56)*$AR$3</f>
        <v>21.083847089512489</v>
      </c>
      <c r="BA23" s="26" t="s">
        <v>10</v>
      </c>
      <c r="BC23" s="2" t="s">
        <v>158</v>
      </c>
      <c r="BD23" s="2">
        <f>(1+$BL$56)*$AR$3</f>
        <v>22.905428687022503</v>
      </c>
      <c r="BE23" s="26" t="s">
        <v>10</v>
      </c>
      <c r="BG23" s="28" t="s">
        <v>154</v>
      </c>
      <c r="BH23" s="29">
        <f>BT68</f>
        <v>0.36940032269349249</v>
      </c>
      <c r="BI23" s="5" t="s">
        <v>155</v>
      </c>
      <c r="BJ23" s="2"/>
      <c r="BK23" s="28" t="s">
        <v>154</v>
      </c>
      <c r="BL23" s="29">
        <f>CE68</f>
        <v>0.33255667984056653</v>
      </c>
      <c r="BM23" s="5" t="s">
        <v>155</v>
      </c>
      <c r="BO23" s="2">
        <v>19</v>
      </c>
      <c r="BP23" s="2">
        <f t="shared" si="21"/>
        <v>0.49428659984970358</v>
      </c>
      <c r="BQ23" s="2">
        <v>-3.0391075737754014E-5</v>
      </c>
      <c r="BR23" s="2">
        <f t="shared" si="22"/>
        <v>0.49429726580986932</v>
      </c>
      <c r="BS23" s="2">
        <v>3.1036782630805559E-5</v>
      </c>
      <c r="BT23" s="2">
        <f t="shared" si="7"/>
        <v>0.49429193282978645</v>
      </c>
      <c r="BU23" s="2">
        <v>3.229733923360012E-7</v>
      </c>
      <c r="BV23" s="2">
        <f t="shared" si="8"/>
        <v>-9.8155088277627535E-12</v>
      </c>
      <c r="BW23" s="2">
        <f t="shared" si="9"/>
        <v>1.0024054973466351E-11</v>
      </c>
      <c r="BX23" s="2">
        <f t="shared" si="10"/>
        <v>1.0665960165745503E-5</v>
      </c>
      <c r="BZ23" s="2">
        <v>19</v>
      </c>
      <c r="CA23" s="2">
        <f t="shared" si="23"/>
        <v>0.41924090412336446</v>
      </c>
      <c r="CB23" s="2">
        <v>-2.5169818996473303E-5</v>
      </c>
      <c r="CC23" s="2">
        <f t="shared" si="24"/>
        <v>0.4192515700835302</v>
      </c>
      <c r="CD23" s="2">
        <v>1.5476432386918315E-5</v>
      </c>
      <c r="CE23" s="2">
        <f t="shared" si="11"/>
        <v>0.41924623710344733</v>
      </c>
      <c r="CF23" s="2">
        <v>-4.8466309491290716E-6</v>
      </c>
      <c r="CG23" s="2">
        <f t="shared" si="12"/>
        <v>1.2198882373228434E-10</v>
      </c>
      <c r="CH23" s="2">
        <f t="shared" si="13"/>
        <v>-7.5008556188541812E-11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10.95317138760683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0.98655509948730469</v>
      </c>
      <c r="W24" s="2">
        <f t="shared" si="0"/>
        <v>2.5334243014540903E-7</v>
      </c>
      <c r="X24" s="2">
        <f t="shared" si="16"/>
        <v>0.98655605316162109</v>
      </c>
      <c r="Y24" s="2">
        <f t="shared" si="1"/>
        <v>-7.7034446277490787E-7</v>
      </c>
      <c r="Z24" s="2">
        <f t="shared" si="3"/>
        <v>0.98655557632446289</v>
      </c>
      <c r="AA24" s="2">
        <f t="shared" si="2"/>
        <v>-2.5850103302360594E-7</v>
      </c>
      <c r="AB24" s="2">
        <f t="shared" si="4"/>
        <v>-6.5489279901298958E-14</v>
      </c>
      <c r="AC24" s="2">
        <f t="shared" si="5"/>
        <v>1.9913483941132843E-13</v>
      </c>
      <c r="AD24" s="2">
        <f t="shared" si="6"/>
        <v>9.5367431640625E-7</v>
      </c>
      <c r="AF24" s="2">
        <v>20</v>
      </c>
      <c r="AG24" s="2">
        <f t="shared" si="25"/>
        <v>3327.0397186279297</v>
      </c>
      <c r="AH24" s="2">
        <v>-1.6278211205644766E-4</v>
      </c>
      <c r="AI24" s="2">
        <f t="shared" si="26"/>
        <v>3327.0483016967773</v>
      </c>
      <c r="AJ24" s="2">
        <v>2.6665742379918811E-3</v>
      </c>
      <c r="AK24" s="2">
        <f t="shared" si="17"/>
        <v>3327.0440101623535</v>
      </c>
      <c r="AL24" s="2">
        <v>1.2514427921814786E-3</v>
      </c>
      <c r="AM24" s="2">
        <f t="shared" si="18"/>
        <v>-2.0371250082911918E-7</v>
      </c>
      <c r="AN24" s="2">
        <f t="shared" si="19"/>
        <v>3.3370651099517581E-6</v>
      </c>
      <c r="AO24" s="2">
        <f t="shared" si="20"/>
        <v>8.58306884765625E-3</v>
      </c>
      <c r="AQ24" s="64"/>
      <c r="AR24" s="3">
        <f>0.753125*($AR$9/2)</f>
        <v>1.1477625</v>
      </c>
      <c r="AS24" s="26" t="s">
        <v>8</v>
      </c>
      <c r="AU24" s="63"/>
      <c r="AV24" s="64">
        <f>BL20</f>
        <v>5.9086911474715009E-9</v>
      </c>
      <c r="AW24" s="64"/>
      <c r="AY24" s="2" t="s">
        <v>163</v>
      </c>
      <c r="AZ24" s="2">
        <f>(1-$BH$57)*$AV$5*$AR$23</f>
        <v>66.917386495367893</v>
      </c>
      <c r="BA24" s="26" t="s">
        <v>10</v>
      </c>
      <c r="BC24" s="2" t="s">
        <v>163</v>
      </c>
      <c r="BD24" s="2">
        <f>(1-$BL$57)*$AV$5*$AR$24</f>
        <v>77.756010176004096</v>
      </c>
      <c r="BE24" s="26" t="s">
        <v>10</v>
      </c>
      <c r="BG24" s="2" t="s">
        <v>159</v>
      </c>
      <c r="BH24" s="2">
        <f>($AR$37+$AR$5)/180*PI()</f>
        <v>0.52004403737969074</v>
      </c>
      <c r="BI24" s="2" t="s">
        <v>155</v>
      </c>
      <c r="BJ24" s="2"/>
      <c r="BK24" s="2" t="s">
        <v>159</v>
      </c>
      <c r="BL24" s="2">
        <f>($AR$38+$AR$5)/180*PI()</f>
        <v>0.49419134783452473</v>
      </c>
      <c r="BM24" s="2" t="s">
        <v>155</v>
      </c>
      <c r="BO24" s="2">
        <v>20</v>
      </c>
      <c r="BP24" s="2">
        <f t="shared" si="21"/>
        <v>0.49428659984970358</v>
      </c>
      <c r="BQ24" s="2">
        <v>-3.0391075737754014E-5</v>
      </c>
      <c r="BR24" s="2">
        <f t="shared" si="22"/>
        <v>0.49429193282978645</v>
      </c>
      <c r="BS24" s="2">
        <v>3.229733923360012E-7</v>
      </c>
      <c r="BT24" s="2">
        <f t="shared" si="7"/>
        <v>0.49428926633974501</v>
      </c>
      <c r="BU24" s="2">
        <v>-1.5034021186605129E-5</v>
      </c>
      <c r="BV24" s="2">
        <f t="shared" si="8"/>
        <v>4.5690007652511494E-10</v>
      </c>
      <c r="BW24" s="2">
        <f t="shared" si="9"/>
        <v>-4.8555888230891728E-12</v>
      </c>
      <c r="BX24" s="2">
        <f t="shared" si="10"/>
        <v>5.3329800828727514E-6</v>
      </c>
      <c r="BZ24" s="2">
        <v>20</v>
      </c>
      <c r="CA24" s="2">
        <f t="shared" si="23"/>
        <v>0.41924623710344733</v>
      </c>
      <c r="CB24" s="2">
        <v>-4.8466309491290716E-6</v>
      </c>
      <c r="CC24" s="2">
        <f t="shared" si="24"/>
        <v>0.4192515700835302</v>
      </c>
      <c r="CD24" s="2">
        <v>1.5476432386918315E-5</v>
      </c>
      <c r="CE24" s="2">
        <f t="shared" si="11"/>
        <v>0.41924890359348876</v>
      </c>
      <c r="CF24" s="2">
        <v>5.3149163082299999E-6</v>
      </c>
      <c r="CG24" s="2">
        <f t="shared" si="12"/>
        <v>-2.5759437871498347E-11</v>
      </c>
      <c r="CH24" s="2">
        <f t="shared" si="13"/>
        <v>8.2255942886451094E-11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67.18604962497119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938.23155934791282</v>
      </c>
      <c r="P25" s="6" t="s">
        <v>20</v>
      </c>
      <c r="U25" s="2">
        <v>21</v>
      </c>
      <c r="V25" s="2">
        <f t="shared" si="15"/>
        <v>0.98655509948730469</v>
      </c>
      <c r="W25" s="2">
        <f t="shared" si="0"/>
        <v>2.5334243014540903E-7</v>
      </c>
      <c r="X25" s="2">
        <f t="shared" si="16"/>
        <v>0.98655557632446289</v>
      </c>
      <c r="Y25" s="2">
        <f t="shared" si="1"/>
        <v>-2.5850103302360594E-7</v>
      </c>
      <c r="Z25" s="2">
        <f t="shared" si="3"/>
        <v>0.98655533790588379</v>
      </c>
      <c r="AA25" s="2">
        <f t="shared" si="2"/>
        <v>-2.5793056579459517E-9</v>
      </c>
      <c r="AB25" s="2">
        <f t="shared" si="4"/>
        <v>-6.5344756347183053E-16</v>
      </c>
      <c r="AC25" s="2">
        <f t="shared" si="5"/>
        <v>6.6675317706266011E-16</v>
      </c>
      <c r="AD25" s="2">
        <f t="shared" si="6"/>
        <v>4.76837158203125E-7</v>
      </c>
      <c r="AF25" s="2">
        <v>21</v>
      </c>
      <c r="AG25" s="2">
        <f t="shared" si="25"/>
        <v>3327.0397186279297</v>
      </c>
      <c r="AH25" s="2">
        <v>-1.6278211205644766E-4</v>
      </c>
      <c r="AI25" s="2">
        <f t="shared" si="26"/>
        <v>3327.0440101623535</v>
      </c>
      <c r="AJ25" s="2">
        <v>1.2514427921814786E-3</v>
      </c>
      <c r="AK25" s="2">
        <f t="shared" si="17"/>
        <v>3327.0418643951416</v>
      </c>
      <c r="AL25" s="2">
        <v>5.4433059722214239E-4</v>
      </c>
      <c r="AM25" s="2">
        <f t="shared" si="18"/>
        <v>-8.8607284272767855E-8</v>
      </c>
      <c r="AN25" s="2">
        <f t="shared" si="19"/>
        <v>6.8119860245748964E-7</v>
      </c>
      <c r="AO25" s="2">
        <f t="shared" si="20"/>
        <v>4.291534423828125E-3</v>
      </c>
      <c r="AQ25" s="64"/>
      <c r="AR25" s="3">
        <f>0.851875*($AR$9/2)</f>
        <v>1.2982575000000001</v>
      </c>
      <c r="AS25" s="26" t="s">
        <v>8</v>
      </c>
      <c r="AU25" s="63"/>
      <c r="AV25" s="64">
        <f>BH39</f>
        <v>3.7158728524722129E-9</v>
      </c>
      <c r="AW25" s="64"/>
      <c r="AY25" s="2" t="s">
        <v>167</v>
      </c>
      <c r="AZ25" s="2">
        <f>SQRT(AZ23^2 + AZ24^2)</f>
        <v>70.16028237873897</v>
      </c>
      <c r="BA25" s="26" t="s">
        <v>10</v>
      </c>
      <c r="BC25" s="2" t="s">
        <v>167</v>
      </c>
      <c r="BD25" s="2">
        <f>SQRT(BD23^2 + BD24^2)</f>
        <v>81.059581678091121</v>
      </c>
      <c r="BE25" s="26" t="s">
        <v>10</v>
      </c>
      <c r="BG25" s="2" t="s">
        <v>28</v>
      </c>
      <c r="BH25" s="2">
        <f>BH24-BH23</f>
        <v>0.15064371468619825</v>
      </c>
      <c r="BI25" s="2" t="s">
        <v>155</v>
      </c>
      <c r="BJ25" s="2"/>
      <c r="BK25" s="2" t="s">
        <v>28</v>
      </c>
      <c r="BL25" s="2">
        <f>BL24-BL23</f>
        <v>0.1616346679939582</v>
      </c>
      <c r="BM25" s="2" t="s">
        <v>155</v>
      </c>
      <c r="BO25" s="2">
        <v>21</v>
      </c>
      <c r="BP25" s="2">
        <f t="shared" si="21"/>
        <v>0.49428926633974501</v>
      </c>
      <c r="BQ25" s="2">
        <v>-1.5034021186605129E-5</v>
      </c>
      <c r="BR25" s="2">
        <f t="shared" si="22"/>
        <v>0.49429193282978645</v>
      </c>
      <c r="BS25" s="2">
        <v>3.229733923360012E-7</v>
      </c>
      <c r="BT25" s="2">
        <f t="shared" si="7"/>
        <v>0.49429059958476573</v>
      </c>
      <c r="BU25" s="2">
        <v>-7.3555164005201235E-6</v>
      </c>
      <c r="BV25" s="2">
        <f t="shared" si="8"/>
        <v>1.1058298940384103E-10</v>
      </c>
      <c r="BW25" s="2">
        <f t="shared" si="9"/>
        <v>-2.3756360842590772E-12</v>
      </c>
      <c r="BX25" s="2">
        <f t="shared" si="10"/>
        <v>2.6664900414363757E-6</v>
      </c>
      <c r="BZ25" s="2">
        <v>21</v>
      </c>
      <c r="CA25" s="2">
        <f t="shared" si="23"/>
        <v>0.41924623710344733</v>
      </c>
      <c r="CB25" s="2">
        <v>-4.8466309491290716E-6</v>
      </c>
      <c r="CC25" s="2">
        <f t="shared" si="24"/>
        <v>0.41924890359348876</v>
      </c>
      <c r="CD25" s="2">
        <v>5.3149163082299999E-6</v>
      </c>
      <c r="CE25" s="2">
        <f t="shared" si="11"/>
        <v>0.41924757034846805</v>
      </c>
      <c r="CF25" s="2">
        <v>2.3414657687736984E-7</v>
      </c>
      <c r="CG25" s="2">
        <f t="shared" si="12"/>
        <v>-1.1348220461264901E-12</v>
      </c>
      <c r="CH25" s="2">
        <f t="shared" si="13"/>
        <v>1.2444694599617623E-12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4075.8740067580247</v>
      </c>
      <c r="H26" s="6" t="s">
        <v>22</v>
      </c>
      <c r="J26" s="15" t="s">
        <v>67</v>
      </c>
      <c r="K26" s="6">
        <f xml:space="preserve"> $C$81 * (0.0268 * $C$5)</f>
        <v>71.325260199299208</v>
      </c>
      <c r="L26" s="6" t="s">
        <v>7</v>
      </c>
      <c r="N26" s="6" t="s">
        <v>34</v>
      </c>
      <c r="O26" s="18">
        <f>Z34</f>
        <v>0.98655533557757735</v>
      </c>
      <c r="U26" s="2">
        <v>22</v>
      </c>
      <c r="V26" s="2">
        <f t="shared" si="15"/>
        <v>0.98655509948730469</v>
      </c>
      <c r="W26" s="2">
        <f t="shared" si="0"/>
        <v>2.5334243014540903E-7</v>
      </c>
      <c r="X26" s="2">
        <f t="shared" si="16"/>
        <v>0.98655533790588379</v>
      </c>
      <c r="Y26" s="2">
        <f t="shared" si="1"/>
        <v>-2.5793056579459517E-9</v>
      </c>
      <c r="Z26" s="2">
        <f t="shared" si="3"/>
        <v>0.98655521869659424</v>
      </c>
      <c r="AA26" s="2">
        <f t="shared" si="2"/>
        <v>1.2538156124453081E-7</v>
      </c>
      <c r="AB26" s="2">
        <f t="shared" si="4"/>
        <v>3.176446942111487E-14</v>
      </c>
      <c r="AC26" s="2">
        <f t="shared" si="5"/>
        <v>-3.2339737032011519E-16</v>
      </c>
      <c r="AD26" s="2">
        <f t="shared" si="6"/>
        <v>2.384185791015625E-7</v>
      </c>
      <c r="AF26" s="2">
        <v>22</v>
      </c>
      <c r="AG26" s="2">
        <f t="shared" si="25"/>
        <v>3327.0397186279297</v>
      </c>
      <c r="AH26" s="2">
        <v>-1.6278211205644766E-4</v>
      </c>
      <c r="AI26" s="2">
        <f t="shared" si="26"/>
        <v>3327.0418643951416</v>
      </c>
      <c r="AJ26" s="2">
        <v>5.4433059722214239E-4</v>
      </c>
      <c r="AK26" s="2">
        <f t="shared" si="17"/>
        <v>3327.0407915115356</v>
      </c>
      <c r="AL26" s="2">
        <v>1.9122860521747498E-4</v>
      </c>
      <c r="AM26" s="2">
        <f t="shared" si="18"/>
        <v>-3.1128596242909201E-8</v>
      </c>
      <c r="AN26" s="2">
        <f t="shared" si="19"/>
        <v>1.0409158088398545E-7</v>
      </c>
      <c r="AO26" s="2">
        <f t="shared" si="20"/>
        <v>2.1457672119140625E-3</v>
      </c>
      <c r="AQ26" s="64"/>
      <c r="AR26" s="3">
        <f>0.950625*($AR$9/2)</f>
        <v>1.4487525000000001</v>
      </c>
      <c r="AS26" s="6" t="s">
        <v>8</v>
      </c>
      <c r="AU26" s="63"/>
      <c r="AV26" s="64">
        <f>BL39</f>
        <v>1.3610837526489838E-9</v>
      </c>
      <c r="AW26" s="64"/>
      <c r="AY26" s="2" t="s">
        <v>170</v>
      </c>
      <c r="AZ26" s="37">
        <f>$AR$45*AZ25*$AR$27/$AR$46</f>
        <v>3510648.2725011674</v>
      </c>
      <c r="BA26" s="26"/>
      <c r="BC26" s="2" t="s">
        <v>170</v>
      </c>
      <c r="BD26" s="37">
        <f>$AR$45*BD25*$AR$27/$AR$46</f>
        <v>4056022.4494491639</v>
      </c>
      <c r="BE26" s="26"/>
      <c r="BG26" s="2" t="s">
        <v>168</v>
      </c>
      <c r="BH26" s="2">
        <f>BH25/PI()*180</f>
        <v>8.6312490616920972</v>
      </c>
      <c r="BI26" s="2" t="s">
        <v>43</v>
      </c>
      <c r="BJ26" s="2"/>
      <c r="BK26" s="2" t="s">
        <v>168</v>
      </c>
      <c r="BL26" s="2">
        <f>BL25/PI()*180</f>
        <v>9.2609842990520939</v>
      </c>
      <c r="BM26" s="2" t="s">
        <v>43</v>
      </c>
      <c r="BO26" s="2">
        <v>22</v>
      </c>
      <c r="BP26" s="2">
        <f t="shared" si="21"/>
        <v>0.49429059958476573</v>
      </c>
      <c r="BQ26" s="2">
        <v>-7.3555164005201235E-6</v>
      </c>
      <c r="BR26" s="2">
        <f t="shared" si="22"/>
        <v>0.49429193282978645</v>
      </c>
      <c r="BS26" s="2">
        <v>3.229733923360012E-7</v>
      </c>
      <c r="BT26" s="2">
        <f t="shared" si="7"/>
        <v>0.49429126620727609</v>
      </c>
      <c r="BU26" s="2">
        <v>-3.5162696299245733E-6</v>
      </c>
      <c r="BV26" s="2">
        <f t="shared" si="8"/>
        <v>2.5863978931561023E-11</v>
      </c>
      <c r="BW26" s="2">
        <f t="shared" si="9"/>
        <v>-1.1356615307447949E-12</v>
      </c>
      <c r="BX26" s="2">
        <f t="shared" si="10"/>
        <v>1.3332450207181878E-6</v>
      </c>
      <c r="BZ26" s="2">
        <v>22</v>
      </c>
      <c r="CA26" s="2">
        <f t="shared" si="23"/>
        <v>0.41924623710344733</v>
      </c>
      <c r="CB26" s="2">
        <v>-4.8466309491290716E-6</v>
      </c>
      <c r="CC26" s="2">
        <f t="shared" si="24"/>
        <v>0.41924757034846805</v>
      </c>
      <c r="CD26" s="2">
        <v>2.3414657687736984E-7</v>
      </c>
      <c r="CE26" s="2">
        <f t="shared" si="11"/>
        <v>0.41924690372595769</v>
      </c>
      <c r="CF26" s="2">
        <v>-2.3062412118357578E-6</v>
      </c>
      <c r="CG26" s="2">
        <f t="shared" si="12"/>
        <v>1.1177500033440119E-11</v>
      </c>
      <c r="CH26" s="2">
        <f t="shared" si="13"/>
        <v>-5.3999848520485982E-13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712.55629732574903</v>
      </c>
      <c r="H27" s="43" t="s">
        <v>104</v>
      </c>
      <c r="J27" s="15" t="s">
        <v>68</v>
      </c>
      <c r="K27" s="6">
        <f xml:space="preserve"> $C$81 * (11.5 * ($C$5*2.20462/1000)^0.4 * 0.453592)</f>
        <v>9.259640894487811</v>
      </c>
      <c r="L27" s="6" t="s">
        <v>7</v>
      </c>
      <c r="N27" s="6" t="s">
        <v>35</v>
      </c>
      <c r="O27" s="6">
        <f xml:space="preserve"> O21 * $C$11 * O26 - $C$8 * SIN(O19/180*PI())</f>
        <v>3.9744054352173279</v>
      </c>
      <c r="P27" s="6" t="s">
        <v>10</v>
      </c>
      <c r="U27" s="2">
        <v>23</v>
      </c>
      <c r="V27" s="2">
        <f t="shared" si="15"/>
        <v>0.98655521869659424</v>
      </c>
      <c r="W27" s="2">
        <f t="shared" si="0"/>
        <v>1.2538156124453081E-7</v>
      </c>
      <c r="X27" s="2">
        <f t="shared" si="16"/>
        <v>0.98655533790588379</v>
      </c>
      <c r="Y27" s="2">
        <f t="shared" si="1"/>
        <v>-2.5793056579459517E-9</v>
      </c>
      <c r="Z27" s="2">
        <f t="shared" si="3"/>
        <v>0.98655527830123901</v>
      </c>
      <c r="AA27" s="2">
        <f t="shared" si="2"/>
        <v>6.1401127515736675E-8</v>
      </c>
      <c r="AB27" s="2">
        <f t="shared" si="4"/>
        <v>7.6985692300975838E-15</v>
      </c>
      <c r="AC27" s="2">
        <f t="shared" si="5"/>
        <v>-1.5837227560560046E-16</v>
      </c>
      <c r="AD27" s="2">
        <f t="shared" si="6"/>
        <v>1.1920928955078125E-7</v>
      </c>
      <c r="AF27" s="2">
        <v>23</v>
      </c>
      <c r="AG27" s="2">
        <f t="shared" si="25"/>
        <v>3327.0397186279297</v>
      </c>
      <c r="AH27" s="2">
        <v>-1.6278211205644766E-4</v>
      </c>
      <c r="AI27" s="2">
        <f t="shared" si="26"/>
        <v>3327.0407915115356</v>
      </c>
      <c r="AJ27" s="2">
        <v>1.9122860521747498E-4</v>
      </c>
      <c r="AK27" s="2">
        <f t="shared" si="17"/>
        <v>3327.0402550697327</v>
      </c>
      <c r="AL27" s="2">
        <v>1.467756101192208E-5</v>
      </c>
      <c r="AM27" s="2">
        <f t="shared" si="18"/>
        <v>-2.3892443813580473E-9</v>
      </c>
      <c r="AN27" s="2">
        <f t="shared" si="19"/>
        <v>2.80676952030425E-9</v>
      </c>
      <c r="AO27" s="2">
        <f t="shared" si="20"/>
        <v>1.0728836059570312E-3</v>
      </c>
      <c r="AQ27" s="64" t="s">
        <v>204</v>
      </c>
      <c r="AR27" s="3">
        <f>0.548288*($AR$9/2)</f>
        <v>0.83559091200000002</v>
      </c>
      <c r="AS27" s="26" t="s">
        <v>8</v>
      </c>
      <c r="AU27" s="63"/>
      <c r="AV27" s="64">
        <f>BH58</f>
        <v>-5.6457712810376037E-9</v>
      </c>
      <c r="AW27" s="64"/>
      <c r="AY27" s="2" t="s">
        <v>174</v>
      </c>
      <c r="AZ27" s="2">
        <f xml:space="preserve"> $BH$46 * PI() * $AR$45 * AZ25^2 * $BH$52 * $AR$23 * AZ22</f>
        <v>636.69356087062306</v>
      </c>
      <c r="BA27" s="26" t="s">
        <v>22</v>
      </c>
      <c r="BC27" s="2" t="s">
        <v>174</v>
      </c>
      <c r="BD27" s="2">
        <f xml:space="preserve"> $BL$46 * PI() * $AR$45 * BD25^2 * $BL$52 * $AR$24 * BD22</f>
        <v>797.43677550406903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0.49429126620727609</v>
      </c>
      <c r="BQ27" s="2">
        <v>-3.5162696299245733E-6</v>
      </c>
      <c r="BR27" s="2">
        <f t="shared" si="22"/>
        <v>0.49429193282978645</v>
      </c>
      <c r="BS27" s="2">
        <v>3.229733923360012E-7</v>
      </c>
      <c r="BT27" s="2">
        <f t="shared" si="7"/>
        <v>0.4942915995185313</v>
      </c>
      <c r="BU27" s="2">
        <v>-1.5966476501066973E-6</v>
      </c>
      <c r="BV27" s="2">
        <f t="shared" si="8"/>
        <v>5.6142436417606157E-12</v>
      </c>
      <c r="BW27" s="2">
        <f t="shared" si="9"/>
        <v>-5.1567470792026471E-13</v>
      </c>
      <c r="BX27" s="2">
        <f t="shared" si="10"/>
        <v>6.6662251035909392E-7</v>
      </c>
      <c r="BZ27" s="2">
        <v>23</v>
      </c>
      <c r="CA27" s="2">
        <f t="shared" si="23"/>
        <v>0.41924690372595769</v>
      </c>
      <c r="CB27" s="2">
        <v>-2.3062412118357578E-6</v>
      </c>
      <c r="CC27" s="2">
        <f t="shared" si="24"/>
        <v>0.41924757034846805</v>
      </c>
      <c r="CD27" s="2">
        <v>2.3414657687736984E-7</v>
      </c>
      <c r="CE27" s="2">
        <f t="shared" si="11"/>
        <v>0.41924723703721289</v>
      </c>
      <c r="CF27" s="2">
        <v>-1.0360470738407512E-6</v>
      </c>
      <c r="CG27" s="2">
        <f t="shared" si="12"/>
        <v>2.3893744590933848E-12</v>
      </c>
      <c r="CH27" s="2">
        <f t="shared" si="13"/>
        <v>-2.4258687582362753E-13</v>
      </c>
      <c r="CI27" s="2">
        <f t="shared" si="14"/>
        <v>6.6662251035909392E-7</v>
      </c>
    </row>
    <row r="28" spans="2:87" x14ac:dyDescent="0.2">
      <c r="B28" s="58" t="s">
        <v>243</v>
      </c>
      <c r="C28" s="58"/>
      <c r="D28" s="58"/>
      <c r="J28" s="15" t="s">
        <v>69</v>
      </c>
      <c r="K28" s="6">
        <f xml:space="preserve"> $C$81 * (8 * ($C$5/1000))</f>
        <v>21.291122447551999</v>
      </c>
      <c r="L28" s="6" t="s">
        <v>7</v>
      </c>
      <c r="N28" s="6" t="s">
        <v>36</v>
      </c>
      <c r="O28" s="6">
        <f xml:space="preserve"> 1/$C$32 - O25 * SQRT( (2*$C$72*PI()*$C$11^2) / O20^3 )</f>
        <v>1.3082160275087462</v>
      </c>
      <c r="U28" s="2">
        <v>24</v>
      </c>
      <c r="V28" s="2">
        <f t="shared" si="15"/>
        <v>0.98655527830123901</v>
      </c>
      <c r="W28" s="2">
        <f t="shared" si="0"/>
        <v>6.1401127515736675E-8</v>
      </c>
      <c r="X28" s="2">
        <f t="shared" si="16"/>
        <v>0.98655533790588379</v>
      </c>
      <c r="Y28" s="2">
        <f t="shared" si="1"/>
        <v>-2.5793056579459517E-9</v>
      </c>
      <c r="Z28" s="2">
        <f t="shared" si="3"/>
        <v>0.9865553081035614</v>
      </c>
      <c r="AA28" s="2">
        <f t="shared" si="2"/>
        <v>2.9410910817873059E-8</v>
      </c>
      <c r="AB28" s="2">
        <f t="shared" si="4"/>
        <v>1.8058630854821829E-15</v>
      </c>
      <c r="AC28" s="2">
        <f t="shared" si="5"/>
        <v>-7.5859728677883779E-17</v>
      </c>
      <c r="AD28" s="2">
        <f t="shared" si="6"/>
        <v>5.9604644775390625E-8</v>
      </c>
      <c r="AF28" s="2">
        <v>24</v>
      </c>
      <c r="AG28" s="2">
        <f t="shared" si="25"/>
        <v>3327.0397186279297</v>
      </c>
      <c r="AH28" s="2">
        <v>-1.6278211205644766E-4</v>
      </c>
      <c r="AI28" s="2">
        <f t="shared" si="26"/>
        <v>3327.0402550697327</v>
      </c>
      <c r="AJ28" s="2">
        <v>1.467756101192208E-5</v>
      </c>
      <c r="AK28" s="2">
        <f t="shared" si="17"/>
        <v>3327.0399868488312</v>
      </c>
      <c r="AL28" s="2">
        <v>-7.3597972459538141E-5</v>
      </c>
      <c r="AM28" s="2">
        <f t="shared" si="18"/>
        <v>1.1980433400035886E-8</v>
      </c>
      <c r="AN28" s="2">
        <f t="shared" si="19"/>
        <v>-1.080238731128632E-9</v>
      </c>
      <c r="AO28" s="2">
        <f t="shared" si="20"/>
        <v>5.3644180297851562E-4</v>
      </c>
      <c r="AQ28" s="64"/>
      <c r="AR28" s="3">
        <f>0.530863*($AR$9/2)</f>
        <v>0.80903521199999995</v>
      </c>
      <c r="AS28" s="26" t="s">
        <v>8</v>
      </c>
      <c r="AU28" s="63"/>
      <c r="AV28" s="64">
        <f>BL58</f>
        <v>-3.968280197497176E-9</v>
      </c>
      <c r="AW28" s="64"/>
      <c r="AY28" s="2" t="s">
        <v>178</v>
      </c>
      <c r="AZ28" s="2">
        <f xml:space="preserve"> $BH$46 * PI() * $AR$45 * AZ25^2 * $BH$53 * $AR$23^2 * AZ22</f>
        <v>228.41688927185587</v>
      </c>
      <c r="BA28" s="26" t="s">
        <v>179</v>
      </c>
      <c r="BC28" s="2" t="s">
        <v>178</v>
      </c>
      <c r="BD28" s="2">
        <f xml:space="preserve"> $BL$46 * PI() * $AR$45 * BD25^2 * $BL$53 * $AR$24^2 * BD22</f>
        <v>311.77853873307993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0.97633754116187133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0.94498631949356593</v>
      </c>
      <c r="BM28" s="2"/>
      <c r="BO28" s="2">
        <v>24</v>
      </c>
      <c r="BP28" s="2">
        <f t="shared" si="21"/>
        <v>0.4942915995185313</v>
      </c>
      <c r="BQ28" s="2">
        <v>-1.5966476501066973E-6</v>
      </c>
      <c r="BR28" s="2">
        <f t="shared" si="22"/>
        <v>0.49429193282978645</v>
      </c>
      <c r="BS28" s="2">
        <v>3.229733923360012E-7</v>
      </c>
      <c r="BT28" s="2">
        <f t="shared" si="7"/>
        <v>0.49429176617415888</v>
      </c>
      <c r="BU28" s="2">
        <v>-6.3683701161110218E-7</v>
      </c>
      <c r="BV28" s="2">
        <f t="shared" si="8"/>
        <v>1.0168043180898377E-12</v>
      </c>
      <c r="BW28" s="2">
        <f t="shared" si="9"/>
        <v>-2.0568141000515905E-13</v>
      </c>
      <c r="BX28" s="2">
        <f t="shared" si="10"/>
        <v>3.3331125515179139E-7</v>
      </c>
      <c r="BZ28" s="2">
        <v>24</v>
      </c>
      <c r="CA28" s="2">
        <f t="shared" si="23"/>
        <v>0.41924723703721289</v>
      </c>
      <c r="CB28" s="2">
        <v>-1.0360470738407512E-6</v>
      </c>
      <c r="CC28" s="2">
        <f t="shared" si="24"/>
        <v>0.41924757034846805</v>
      </c>
      <c r="CD28" s="2">
        <v>2.3414657687736984E-7</v>
      </c>
      <c r="CE28" s="2">
        <f t="shared" si="11"/>
        <v>0.41924740369284047</v>
      </c>
      <c r="CF28" s="2">
        <v>-4.0095018753738554E-7</v>
      </c>
      <c r="CG28" s="2">
        <f t="shared" si="12"/>
        <v>4.1540326855400873E-13</v>
      </c>
      <c r="CH28" s="2">
        <f t="shared" si="13"/>
        <v>-9.3881113910218303E-14</v>
      </c>
      <c r="CI28" s="2">
        <f t="shared" si="14"/>
        <v>3.3331125515179139E-7</v>
      </c>
    </row>
    <row r="29" spans="2:87" x14ac:dyDescent="0.2">
      <c r="B29" s="6" t="s">
        <v>244</v>
      </c>
      <c r="C29" s="17">
        <v>1</v>
      </c>
      <c r="F29" s="54" t="s">
        <v>289</v>
      </c>
      <c r="G29" s="57"/>
      <c r="H29" s="57"/>
      <c r="J29" s="15" t="s">
        <v>70</v>
      </c>
      <c r="K29" s="6">
        <f xml:space="preserve"> $C$81 * (13 * ($C$5*2.20462/1000)^1.3 * 0.453592)</f>
        <v>62.900884171016628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0.9865553081035614</v>
      </c>
      <c r="W29" s="2">
        <f t="shared" si="0"/>
        <v>2.9410910817873059E-8</v>
      </c>
      <c r="X29" s="2">
        <f t="shared" si="16"/>
        <v>0.98655533790588379</v>
      </c>
      <c r="Y29" s="2">
        <f t="shared" si="1"/>
        <v>-2.5793056579459517E-9</v>
      </c>
      <c r="Z29" s="2">
        <f t="shared" si="3"/>
        <v>0.9865553230047226</v>
      </c>
      <c r="AA29" s="2">
        <f t="shared" si="2"/>
        <v>1.3415802579963554E-8</v>
      </c>
      <c r="AB29" s="2">
        <f t="shared" si="4"/>
        <v>3.9457097322949936E-16</v>
      </c>
      <c r="AC29" s="2">
        <f t="shared" si="5"/>
        <v>-3.460345550038589E-17</v>
      </c>
      <c r="AD29" s="2">
        <f t="shared" si="6"/>
        <v>2.9802322387695312E-8</v>
      </c>
      <c r="AF29" s="2">
        <v>25</v>
      </c>
      <c r="AG29" s="2">
        <f t="shared" si="25"/>
        <v>3327.0399868488312</v>
      </c>
      <c r="AH29" s="2">
        <v>-7.3597972459538141E-5</v>
      </c>
      <c r="AI29" s="2">
        <f t="shared" si="26"/>
        <v>3327.0402550697327</v>
      </c>
      <c r="AJ29" s="2">
        <v>1.467756101192208E-5</v>
      </c>
      <c r="AK29" s="2">
        <f t="shared" si="17"/>
        <v>3327.0401209592819</v>
      </c>
      <c r="AL29" s="2">
        <v>-2.9460204132192302E-5</v>
      </c>
      <c r="AM29" s="2">
        <f t="shared" si="18"/>
        <v>2.1682112923734608E-9</v>
      </c>
      <c r="AN29" s="2">
        <f t="shared" si="19"/>
        <v>-4.324039435739315E-10</v>
      </c>
      <c r="AO29" s="2">
        <f t="shared" si="20"/>
        <v>2.6822090148925781E-4</v>
      </c>
      <c r="AQ29" s="64"/>
      <c r="AR29" s="3">
        <f>0.513438*($AR$9/2)</f>
        <v>0.78247951199999999</v>
      </c>
      <c r="AS29" s="26" t="s">
        <v>8</v>
      </c>
      <c r="AU29" s="63"/>
      <c r="AV29" s="64">
        <f>BH77</f>
        <v>-1.4129099626392083E-10</v>
      </c>
      <c r="AW29" s="64"/>
      <c r="BG29" s="2" t="s">
        <v>180</v>
      </c>
      <c r="BH29" s="2">
        <f>IF(-$AR$8*($AR$21-$AR$10)/(2*$AR$21*SIN(BH23))&gt;500, 1, 2*ACOS(MIN(1, EXP(-$AR$8*($AR$21-$AR$10)/(2*$AR$21*SIN(BH23)))))/PI() )</f>
        <v>0.85624820234204269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0.904944265940821</v>
      </c>
      <c r="BM29" s="2"/>
      <c r="BO29" s="2">
        <v>25</v>
      </c>
      <c r="BP29" s="2">
        <f t="shared" si="21"/>
        <v>0.49429176617415888</v>
      </c>
      <c r="BQ29" s="2">
        <v>-6.3683701161110218E-7</v>
      </c>
      <c r="BR29" s="2">
        <f t="shared" si="22"/>
        <v>0.49429193282978645</v>
      </c>
      <c r="BS29" s="2">
        <v>3.229733923360012E-7</v>
      </c>
      <c r="BT29" s="2">
        <f t="shared" si="7"/>
        <v>0.49429184950197269</v>
      </c>
      <c r="BU29" s="2">
        <v>-1.5693178015419029E-7</v>
      </c>
      <c r="BV29" s="2">
        <f t="shared" si="8"/>
        <v>9.9939965900205013E-14</v>
      </c>
      <c r="BW29" s="2">
        <f t="shared" si="9"/>
        <v>-5.0684789401726388E-14</v>
      </c>
      <c r="BX29" s="2">
        <f t="shared" si="10"/>
        <v>1.6665562757589569E-7</v>
      </c>
      <c r="BZ29" s="2">
        <v>25</v>
      </c>
      <c r="CA29" s="2">
        <f t="shared" si="23"/>
        <v>0.41924740369284047</v>
      </c>
      <c r="CB29" s="2">
        <v>-4.0095018753738554E-7</v>
      </c>
      <c r="CC29" s="2">
        <f t="shared" si="24"/>
        <v>0.41924757034846805</v>
      </c>
      <c r="CD29" s="2">
        <v>2.3414657687736984E-7</v>
      </c>
      <c r="CE29" s="2">
        <f t="shared" si="11"/>
        <v>0.41924748702065429</v>
      </c>
      <c r="CF29" s="2">
        <v>-8.3401790113013519E-8</v>
      </c>
      <c r="CG29" s="2">
        <f t="shared" si="12"/>
        <v>3.3439963386766436E-14</v>
      </c>
      <c r="CH29" s="2">
        <f t="shared" si="13"/>
        <v>-1.9528243660406983E-14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-9.9639933276648662E-2</v>
      </c>
      <c r="L30" s="10" t="s">
        <v>7</v>
      </c>
      <c r="N30" s="6" t="s">
        <v>38</v>
      </c>
      <c r="O30" s="6">
        <f xml:space="preserve"> 1/$C$78 * LN( EXP($C$78 * O28) + EXP($C$78 * O29) )</f>
        <v>1.3085041849138015</v>
      </c>
      <c r="U30" s="2">
        <v>26</v>
      </c>
      <c r="V30" s="2">
        <f>IF(AB29&gt;0, Z29, V29)</f>
        <v>0.9865553230047226</v>
      </c>
      <c r="W30" s="2">
        <f t="shared" si="0"/>
        <v>1.3415802579963554E-8</v>
      </c>
      <c r="X30" s="2">
        <f t="shared" si="16"/>
        <v>0.98655533790588379</v>
      </c>
      <c r="Y30" s="2">
        <f t="shared" si="1"/>
        <v>-2.5793056579459517E-9</v>
      </c>
      <c r="Z30" s="2">
        <f t="shared" si="3"/>
        <v>0.98655533045530319</v>
      </c>
      <c r="AA30" s="2">
        <f t="shared" si="2"/>
        <v>5.4182485165199523E-9</v>
      </c>
      <c r="AB30" s="2">
        <f t="shared" si="4"/>
        <v>7.2690152426812075E-17</v>
      </c>
      <c r="AC30" s="2">
        <f t="shared" si="5"/>
        <v>-1.3975319054817172E-17</v>
      </c>
      <c r="AD30" s="2">
        <f t="shared" si="6"/>
        <v>1.4901161193847656E-8</v>
      </c>
      <c r="AF30" s="2">
        <v>26</v>
      </c>
      <c r="AG30" s="2">
        <f t="shared" si="25"/>
        <v>3327.0401209592819</v>
      </c>
      <c r="AH30" s="2">
        <v>-2.9460204132192302E-5</v>
      </c>
      <c r="AI30" s="2">
        <f t="shared" si="26"/>
        <v>3327.0402550697327</v>
      </c>
      <c r="AJ30" s="2">
        <v>1.467756101192208E-5</v>
      </c>
      <c r="AK30" s="2">
        <f t="shared" si="17"/>
        <v>3327.0401880145073</v>
      </c>
      <c r="AL30" s="2">
        <v>-7.3913211053877603E-6</v>
      </c>
      <c r="AM30" s="2">
        <f t="shared" si="18"/>
        <v>2.1774982857130467E-10</v>
      </c>
      <c r="AN30" s="2">
        <f t="shared" si="19"/>
        <v>-1.084865664830362E-10</v>
      </c>
      <c r="AO30" s="2">
        <f t="shared" si="20"/>
        <v>1.3411045074462891E-4</v>
      </c>
      <c r="AQ30" s="64"/>
      <c r="AR30" s="3">
        <f>0.496013*($AR$9/2)</f>
        <v>0.75592381200000003</v>
      </c>
      <c r="AS30" s="26" t="s">
        <v>8</v>
      </c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Y30" s="62" t="s">
        <v>206</v>
      </c>
      <c r="AZ30" s="62"/>
      <c r="BA30" s="62"/>
      <c r="BC30" s="62" t="s">
        <v>220</v>
      </c>
      <c r="BD30" s="62"/>
      <c r="BE30" s="62"/>
      <c r="BG30" s="2" t="s">
        <v>183</v>
      </c>
      <c r="BH30" s="2">
        <f>IF(BH23=0,1,BH28*BH29)</f>
        <v>0.83598726449890248</v>
      </c>
      <c r="BI30" s="2"/>
      <c r="BJ30" s="2"/>
      <c r="BK30" s="2" t="s">
        <v>183</v>
      </c>
      <c r="BL30" s="2">
        <f>IF(BL23=0,1,BL28*BL29)</f>
        <v>0.85515995121822319</v>
      </c>
      <c r="BM30" s="2"/>
      <c r="BO30" s="2">
        <v>26</v>
      </c>
      <c r="BP30" s="2">
        <f t="shared" si="21"/>
        <v>0.49429184950197269</v>
      </c>
      <c r="BQ30" s="2">
        <v>-1.5693178015419029E-7</v>
      </c>
      <c r="BR30" s="2">
        <f t="shared" si="22"/>
        <v>0.49429193282978645</v>
      </c>
      <c r="BS30" s="2">
        <v>3.229733923360012E-7</v>
      </c>
      <c r="BT30" s="2">
        <f t="shared" si="7"/>
        <v>0.49429189116587957</v>
      </c>
      <c r="BU30" s="2">
        <v>8.3020813390621839E-8</v>
      </c>
      <c r="BV30" s="2">
        <f t="shared" si="8"/>
        <v>-1.3028604035239125E-14</v>
      </c>
      <c r="BW30" s="2">
        <f t="shared" si="9"/>
        <v>2.681351373526325E-14</v>
      </c>
      <c r="BX30" s="2">
        <f t="shared" si="10"/>
        <v>8.3327813760192271E-8</v>
      </c>
      <c r="BZ30" s="2">
        <v>26</v>
      </c>
      <c r="CA30" s="2">
        <f t="shared" si="23"/>
        <v>0.41924748702065429</v>
      </c>
      <c r="CB30" s="2">
        <v>-8.3401790113013519E-8</v>
      </c>
      <c r="CC30" s="2">
        <f t="shared" si="24"/>
        <v>0.41924757034846805</v>
      </c>
      <c r="CD30" s="2">
        <v>2.3414657687736984E-7</v>
      </c>
      <c r="CE30" s="2">
        <f t="shared" si="11"/>
        <v>0.41924752868456117</v>
      </c>
      <c r="CF30" s="2">
        <v>7.5372397254080958E-8</v>
      </c>
      <c r="CG30" s="2">
        <f t="shared" si="12"/>
        <v>-6.2861928560995364E-15</v>
      </c>
      <c r="CH30" s="2">
        <f t="shared" si="13"/>
        <v>1.7648188808084326E-14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141.25418511869509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0.98655533045530319</v>
      </c>
      <c r="W31" s="2">
        <f t="shared" si="0"/>
        <v>5.4182485165199523E-9</v>
      </c>
      <c r="X31" s="2">
        <f t="shared" si="16"/>
        <v>0.98655533790588379</v>
      </c>
      <c r="Y31" s="2">
        <f t="shared" si="1"/>
        <v>-2.5793056579459517E-9</v>
      </c>
      <c r="Z31" s="2">
        <f t="shared" si="3"/>
        <v>0.98655533418059349</v>
      </c>
      <c r="AA31" s="2">
        <f t="shared" si="2"/>
        <v>1.4194714292870003E-9</v>
      </c>
      <c r="AB31" s="2">
        <f t="shared" si="4"/>
        <v>7.6910489659767459E-18</v>
      </c>
      <c r="AC31" s="2">
        <f t="shared" si="5"/>
        <v>-3.6612506888525868E-18</v>
      </c>
      <c r="AD31" s="2">
        <f t="shared" si="6"/>
        <v>7.4505805969238281E-9</v>
      </c>
      <c r="AF31" s="2">
        <v>27</v>
      </c>
      <c r="AG31" s="2">
        <f t="shared" si="25"/>
        <v>3327.0401880145073</v>
      </c>
      <c r="AH31" s="2">
        <v>-7.3913211053877603E-6</v>
      </c>
      <c r="AI31" s="2">
        <f t="shared" si="26"/>
        <v>3327.0402550697327</v>
      </c>
      <c r="AJ31" s="2">
        <v>1.467756101192208E-5</v>
      </c>
      <c r="AK31" s="2">
        <f t="shared" si="17"/>
        <v>3327.04022154212</v>
      </c>
      <c r="AL31" s="2">
        <v>3.6431201806408353E-6</v>
      </c>
      <c r="AM31" s="2">
        <f t="shared" si="18"/>
        <v>-2.6927471080634676E-11</v>
      </c>
      <c r="AN31" s="2">
        <f t="shared" si="19"/>
        <v>5.347211872512045E-11</v>
      </c>
      <c r="AO31" s="2">
        <f t="shared" si="20"/>
        <v>6.7055225372314453E-5</v>
      </c>
      <c r="AQ31" s="64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1.13482432035019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1.195510709500081</v>
      </c>
      <c r="BM31" s="2"/>
      <c r="BO31" s="2">
        <v>27</v>
      </c>
      <c r="BP31" s="2">
        <f t="shared" si="21"/>
        <v>0.49429184950197269</v>
      </c>
      <c r="BQ31" s="2">
        <v>-1.5693178015419029E-7</v>
      </c>
      <c r="BR31" s="2">
        <f t="shared" si="22"/>
        <v>0.49429189116587957</v>
      </c>
      <c r="BS31" s="2">
        <v>8.3020813390621839E-8</v>
      </c>
      <c r="BT31" s="2">
        <f t="shared" si="7"/>
        <v>0.49429187033392613</v>
      </c>
      <c r="BU31" s="2">
        <v>-3.6955481549916236E-8</v>
      </c>
      <c r="BV31" s="2">
        <f t="shared" si="8"/>
        <v>5.7994895060836906E-15</v>
      </c>
      <c r="BW31" s="2">
        <f t="shared" si="9"/>
        <v>-3.068074137516164E-15</v>
      </c>
      <c r="BX31" s="2">
        <f t="shared" si="10"/>
        <v>4.1663906880096135E-8</v>
      </c>
      <c r="BZ31" s="2">
        <v>27</v>
      </c>
      <c r="CA31" s="2">
        <f t="shared" si="23"/>
        <v>0.41924748702065429</v>
      </c>
      <c r="CB31" s="2">
        <v>-8.3401790113013519E-8</v>
      </c>
      <c r="CC31" s="2">
        <f t="shared" si="24"/>
        <v>0.41924752868456117</v>
      </c>
      <c r="CD31" s="2">
        <v>7.5372397254080958E-8</v>
      </c>
      <c r="CE31" s="2">
        <f t="shared" si="11"/>
        <v>0.41924750785260773</v>
      </c>
      <c r="CF31" s="2">
        <v>-4.0146954927156031E-9</v>
      </c>
      <c r="CG31" s="2">
        <f t="shared" si="12"/>
        <v>3.3483279085112811E-16</v>
      </c>
      <c r="CH31" s="2">
        <f t="shared" si="13"/>
        <v>-3.025972235311287E-16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0.98655533418059349</v>
      </c>
      <c r="W32" s="2">
        <f t="shared" si="0"/>
        <v>1.4194714292870003E-9</v>
      </c>
      <c r="X32" s="2">
        <f t="shared" si="16"/>
        <v>0.98655533790588379</v>
      </c>
      <c r="Y32" s="2">
        <f t="shared" si="1"/>
        <v>-2.5793056579459517E-9</v>
      </c>
      <c r="Z32" s="2">
        <f t="shared" si="3"/>
        <v>0.98655533604323864</v>
      </c>
      <c r="AA32" s="2">
        <f t="shared" si="2"/>
        <v>-5.7991711432947568E-10</v>
      </c>
      <c r="AB32" s="2">
        <f t="shared" si="4"/>
        <v>-8.2317577514525362E-19</v>
      </c>
      <c r="AC32" s="2">
        <f t="shared" si="5"/>
        <v>1.495783494129706E-18</v>
      </c>
      <c r="AD32" s="2">
        <f t="shared" si="6"/>
        <v>3.7252902984619141E-9</v>
      </c>
      <c r="AF32" s="2">
        <v>28</v>
      </c>
      <c r="AG32" s="2">
        <f t="shared" si="25"/>
        <v>3327.0401880145073</v>
      </c>
      <c r="AH32" s="2">
        <v>-7.3913211053877603E-6</v>
      </c>
      <c r="AI32" s="2">
        <f t="shared" si="26"/>
        <v>3327.04022154212</v>
      </c>
      <c r="AJ32" s="2">
        <v>3.6431201806408353E-6</v>
      </c>
      <c r="AK32" s="2">
        <f t="shared" si="17"/>
        <v>3327.0402047783136</v>
      </c>
      <c r="AL32" s="2">
        <v>-2.328399659745628E-6</v>
      </c>
      <c r="AM32" s="2">
        <f t="shared" si="18"/>
        <v>1.720994954685554E-11</v>
      </c>
      <c r="AN32" s="2">
        <f t="shared" si="19"/>
        <v>-8.4826397890165518E-12</v>
      </c>
      <c r="AO32" s="2">
        <f t="shared" si="20"/>
        <v>3.3527612686157227E-5</v>
      </c>
      <c r="AQ32" s="64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25.172685434091569</v>
      </c>
      <c r="BA32" s="26" t="s">
        <v>10</v>
      </c>
      <c r="BC32" s="2" t="s">
        <v>158</v>
      </c>
      <c r="BD32" s="2">
        <f>(1+$BL$75)*$AR$3</f>
        <v>29.180639070911681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4.9250118473813068E-2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4.8363414332961811E-2</v>
      </c>
      <c r="BM32" s="2"/>
      <c r="BO32" s="2">
        <v>28</v>
      </c>
      <c r="BP32" s="2">
        <f t="shared" si="21"/>
        <v>0.49429187033392613</v>
      </c>
      <c r="BQ32" s="2">
        <v>-3.6955481549916236E-8</v>
      </c>
      <c r="BR32" s="2">
        <f t="shared" si="22"/>
        <v>0.49429189116587957</v>
      </c>
      <c r="BS32" s="2">
        <v>8.3020813390621839E-8</v>
      </c>
      <c r="BT32" s="2">
        <f t="shared" si="7"/>
        <v>0.49429188074990282</v>
      </c>
      <c r="BU32" s="2">
        <v>2.3032666288114179E-8</v>
      </c>
      <c r="BV32" s="2">
        <f t="shared" si="8"/>
        <v>-8.5118327405578118E-16</v>
      </c>
      <c r="BW32" s="2">
        <f t="shared" si="9"/>
        <v>1.912190689793994E-15</v>
      </c>
      <c r="BX32" s="2">
        <f t="shared" si="10"/>
        <v>2.0831953440048068E-8</v>
      </c>
      <c r="BZ32" s="2">
        <v>28</v>
      </c>
      <c r="CA32" s="2">
        <f t="shared" si="23"/>
        <v>0.41924750785260773</v>
      </c>
      <c r="CB32" s="2">
        <v>-4.0146954927156031E-9</v>
      </c>
      <c r="CC32" s="2">
        <f t="shared" si="24"/>
        <v>0.41924752868456117</v>
      </c>
      <c r="CD32" s="2">
        <v>7.5372397254080958E-8</v>
      </c>
      <c r="CE32" s="2">
        <f t="shared" si="11"/>
        <v>0.41924751826858442</v>
      </c>
      <c r="CF32" s="2">
        <v>3.5678850887621572E-8</v>
      </c>
      <c r="CG32" s="2">
        <f t="shared" si="12"/>
        <v>-1.4323972184380643E-16</v>
      </c>
      <c r="CH32" s="2">
        <f t="shared" si="13"/>
        <v>2.6892005226709323E-15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0.98655533418059349</v>
      </c>
      <c r="W33" s="2">
        <f t="shared" si="0"/>
        <v>1.4194714292870003E-9</v>
      </c>
      <c r="X33" s="2">
        <f t="shared" si="16"/>
        <v>0.98655533604323864</v>
      </c>
      <c r="Y33" s="2">
        <f t="shared" si="1"/>
        <v>-5.7991711432947568E-10</v>
      </c>
      <c r="Z33" s="2">
        <f t="shared" si="3"/>
        <v>0.98655533511191607</v>
      </c>
      <c r="AA33" s="2">
        <f t="shared" si="2"/>
        <v>4.1977710196761109E-10</v>
      </c>
      <c r="AB33" s="2">
        <f t="shared" si="4"/>
        <v>5.9586160291191979E-19</v>
      </c>
      <c r="AC33" s="2">
        <f t="shared" si="5"/>
        <v>-2.4343592563464709E-19</v>
      </c>
      <c r="AD33" s="2">
        <f t="shared" si="6"/>
        <v>1.862645149230957E-9</v>
      </c>
      <c r="AF33" s="2">
        <v>29</v>
      </c>
      <c r="AG33" s="2">
        <f t="shared" si="25"/>
        <v>3327.0402047783136</v>
      </c>
      <c r="AH33" s="2">
        <v>-2.328399659745628E-6</v>
      </c>
      <c r="AI33" s="2">
        <f t="shared" si="26"/>
        <v>3327.04022154212</v>
      </c>
      <c r="AJ33" s="2">
        <v>3.6431201806408353E-6</v>
      </c>
      <c r="AK33" s="2">
        <f t="shared" si="17"/>
        <v>3327.0402131602168</v>
      </c>
      <c r="AL33" s="2">
        <v>6.5736139731598087E-7</v>
      </c>
      <c r="AM33" s="2">
        <f t="shared" si="18"/>
        <v>-1.5306000538404404E-12</v>
      </c>
      <c r="AN33" s="2">
        <f t="shared" si="19"/>
        <v>2.3948465725361081E-12</v>
      </c>
      <c r="AO33" s="2">
        <f t="shared" si="20"/>
        <v>1.6763806343078613E-5</v>
      </c>
      <c r="AQ33" s="64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88.151553549151146</v>
      </c>
      <c r="BA33" s="26" t="s">
        <v>10</v>
      </c>
      <c r="BC33" s="2" t="s">
        <v>163</v>
      </c>
      <c r="BD33" s="2">
        <f>(1-$BL$76)*$AV$5*$AR$26</f>
        <v>96.64748308827734</v>
      </c>
      <c r="BE33" s="26" t="s">
        <v>10</v>
      </c>
      <c r="BG33" s="2" t="s">
        <v>190</v>
      </c>
      <c r="BH33" s="2">
        <f xml:space="preserve"> BH31*COS(BH23) - BH32*SIN(BH23)</f>
        <v>1.0404915814912248</v>
      </c>
      <c r="BI33" s="2"/>
      <c r="BK33" s="2" t="s">
        <v>190</v>
      </c>
      <c r="BL33" s="2">
        <f xml:space="preserve"> BL31*COS(BL23) - BL32*SIN(BL23)</f>
        <v>1.1142208542603833</v>
      </c>
      <c r="BM33" s="2"/>
      <c r="BO33" s="2">
        <v>29</v>
      </c>
      <c r="BP33" s="2">
        <f t="shared" si="21"/>
        <v>0.49429187033392613</v>
      </c>
      <c r="BQ33" s="2">
        <v>-3.6955481549916236E-8</v>
      </c>
      <c r="BR33" s="2">
        <f t="shared" si="22"/>
        <v>0.49429188074990282</v>
      </c>
      <c r="BS33" s="2">
        <v>2.3032666288114179E-8</v>
      </c>
      <c r="BT33" s="2">
        <f t="shared" si="7"/>
        <v>0.49429187554191445</v>
      </c>
      <c r="BU33" s="2">
        <v>-6.9614076170232408E-9</v>
      </c>
      <c r="BV33" s="2">
        <f t="shared" si="8"/>
        <v>2.5726217075234874E-16</v>
      </c>
      <c r="BW33" s="2">
        <f t="shared" si="9"/>
        <v>-1.6033977853843246E-16</v>
      </c>
      <c r="BX33" s="2">
        <f t="shared" si="10"/>
        <v>1.0415976692268458E-8</v>
      </c>
      <c r="BZ33" s="2">
        <v>29</v>
      </c>
      <c r="CA33" s="2">
        <f t="shared" si="23"/>
        <v>0.41924750785260773</v>
      </c>
      <c r="CB33" s="2">
        <v>-4.0146954927156031E-9</v>
      </c>
      <c r="CC33" s="2">
        <f t="shared" si="24"/>
        <v>0.41924751826858442</v>
      </c>
      <c r="CD33" s="2">
        <v>3.5678850887621572E-8</v>
      </c>
      <c r="CE33" s="2">
        <f t="shared" si="11"/>
        <v>0.41924751306059604</v>
      </c>
      <c r="CF33" s="2">
        <v>1.5832077635002939E-8</v>
      </c>
      <c r="CG33" s="2">
        <f t="shared" si="12"/>
        <v>-6.3560970721569802E-17</v>
      </c>
      <c r="CH33" s="2">
        <f t="shared" si="13"/>
        <v>5.6487033718051822E-16</v>
      </c>
      <c r="CI33" s="2">
        <f t="shared" si="14"/>
        <v>1.0415976692268458E-8</v>
      </c>
    </row>
    <row r="34" spans="2:87" x14ac:dyDescent="0.2">
      <c r="J34" s="6" t="s">
        <v>60</v>
      </c>
      <c r="K34" s="6">
        <f>ROUND($C$17/$C$5 * 100, 2)</f>
        <v>18.04</v>
      </c>
      <c r="L34" s="6" t="s">
        <v>61</v>
      </c>
      <c r="U34" s="2">
        <v>30</v>
      </c>
      <c r="V34" s="2">
        <f t="shared" si="15"/>
        <v>0.98655533511191607</v>
      </c>
      <c r="W34" s="2">
        <f t="shared" si="0"/>
        <v>4.1977710196761109E-10</v>
      </c>
      <c r="X34" s="2">
        <f t="shared" si="16"/>
        <v>0.98655533604323864</v>
      </c>
      <c r="Y34" s="2">
        <f t="shared" si="1"/>
        <v>-5.7991711432947568E-10</v>
      </c>
      <c r="Z34" s="2">
        <f t="shared" si="3"/>
        <v>0.98655533557757735</v>
      </c>
      <c r="AA34" s="2">
        <f t="shared" si="2"/>
        <v>-8.0069950669781065E-11</v>
      </c>
      <c r="AB34" s="2">
        <f t="shared" si="4"/>
        <v>-3.3611531846850276E-20</v>
      </c>
      <c r="AC34" s="2">
        <f t="shared" si="5"/>
        <v>4.6433934736922904E-20</v>
      </c>
      <c r="AD34" s="2">
        <f t="shared" si="6"/>
        <v>9.3132257461547852E-10</v>
      </c>
      <c r="AF34" s="2">
        <v>30</v>
      </c>
      <c r="AG34" s="2">
        <f t="shared" si="25"/>
        <v>3327.0402047783136</v>
      </c>
      <c r="AH34" s="2">
        <v>-2.328399659745628E-6</v>
      </c>
      <c r="AI34" s="2">
        <f t="shared" si="26"/>
        <v>3327.0402131602168</v>
      </c>
      <c r="AJ34" s="2">
        <v>6.5736139731598087E-7</v>
      </c>
      <c r="AK34" s="2">
        <f t="shared" si="17"/>
        <v>3327.0402089692652</v>
      </c>
      <c r="AL34" s="2">
        <v>-8.3551913121482357E-7</v>
      </c>
      <c r="AM34" s="2">
        <f t="shared" si="18"/>
        <v>1.9454224608315579E-12</v>
      </c>
      <c r="AN34" s="2">
        <f t="shared" si="19"/>
        <v>-5.4923802357961079E-13</v>
      </c>
      <c r="AO34" s="2">
        <f t="shared" si="20"/>
        <v>8.3819031715393066E-6</v>
      </c>
      <c r="AQ34" s="64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91.675299209179499</v>
      </c>
      <c r="BA34" s="26" t="s">
        <v>10</v>
      </c>
      <c r="BC34" s="2" t="s">
        <v>167</v>
      </c>
      <c r="BD34" s="2">
        <f>SQRT(BD32^2 + BD33^2)</f>
        <v>100.95665249940527</v>
      </c>
      <c r="BE34" s="26" t="s">
        <v>10</v>
      </c>
      <c r="BG34" s="2" t="s">
        <v>192</v>
      </c>
      <c r="BH34" s="2">
        <f xml:space="preserve"> BH31*SIN(BH23) + BH32*COS(BH23)</f>
        <v>0.45566334181481516</v>
      </c>
      <c r="BI34" s="2"/>
      <c r="BK34" s="2" t="s">
        <v>192</v>
      </c>
      <c r="BL34" s="2">
        <f xml:space="preserve"> BL31*SIN(BL23) + BL32*COS(BL23)</f>
        <v>0.43600087649750241</v>
      </c>
      <c r="BM34" s="2"/>
      <c r="BO34" s="2">
        <v>30</v>
      </c>
      <c r="BP34" s="2">
        <f t="shared" si="21"/>
        <v>0.49429187554191445</v>
      </c>
      <c r="BQ34" s="2">
        <v>-6.9614076170232408E-9</v>
      </c>
      <c r="BR34" s="2">
        <f t="shared" si="22"/>
        <v>0.49429188074990282</v>
      </c>
      <c r="BS34" s="2">
        <v>2.3032666288114179E-8</v>
      </c>
      <c r="BT34" s="5">
        <f t="shared" si="7"/>
        <v>0.49429187814590864</v>
      </c>
      <c r="BU34" s="2">
        <v>8.035629328606575E-9</v>
      </c>
      <c r="BV34" s="2">
        <f t="shared" si="8"/>
        <v>-5.5939291215737165E-17</v>
      </c>
      <c r="BW34" s="2">
        <f t="shared" si="9"/>
        <v>1.8508196874077822E-16</v>
      </c>
      <c r="BX34" s="2">
        <f t="shared" si="10"/>
        <v>5.2079883738898047E-9</v>
      </c>
      <c r="BZ34" s="2">
        <v>30</v>
      </c>
      <c r="CA34" s="2">
        <f t="shared" si="23"/>
        <v>0.41924750785260773</v>
      </c>
      <c r="CB34" s="2">
        <v>-4.0146954927156031E-9</v>
      </c>
      <c r="CC34" s="2">
        <f t="shared" si="24"/>
        <v>0.41924751306059604</v>
      </c>
      <c r="CD34" s="2">
        <v>1.5832077635002939E-8</v>
      </c>
      <c r="CE34" s="5">
        <f t="shared" si="11"/>
        <v>0.41924751045660191</v>
      </c>
      <c r="CF34" s="2">
        <v>5.9086911474715009E-9</v>
      </c>
      <c r="CG34" s="2">
        <f t="shared" si="12"/>
        <v>-2.3721595717602418E-17</v>
      </c>
      <c r="CH34" s="2">
        <f t="shared" si="13"/>
        <v>9.35468569680234E-17</v>
      </c>
      <c r="CI34" s="2">
        <f t="shared" si="14"/>
        <v>5.2079883183786535E-9</v>
      </c>
    </row>
    <row r="35" spans="2:87" x14ac:dyDescent="0.2">
      <c r="B35" s="58" t="s">
        <v>107</v>
      </c>
      <c r="C35" s="58"/>
      <c r="D35" s="58"/>
      <c r="J35" s="11" t="s">
        <v>55</v>
      </c>
      <c r="K35" s="6">
        <f>ROUND(K15/$C$5 * 100, 2)</f>
        <v>34.46</v>
      </c>
      <c r="L35" s="6" t="s">
        <v>61</v>
      </c>
      <c r="AF35" s="2">
        <v>31</v>
      </c>
      <c r="AG35" s="2">
        <f t="shared" si="25"/>
        <v>3327.0402089692652</v>
      </c>
      <c r="AH35" s="2">
        <v>-8.3551913121482357E-7</v>
      </c>
      <c r="AI35" s="2">
        <f t="shared" si="26"/>
        <v>3327.0402131602168</v>
      </c>
      <c r="AJ35" s="2">
        <v>6.5736139731598087E-7</v>
      </c>
      <c r="AK35" s="2">
        <f t="shared" si="17"/>
        <v>3327.040211064741</v>
      </c>
      <c r="AL35" s="2">
        <v>-8.907863957574591E-8</v>
      </c>
      <c r="AM35" s="2">
        <f t="shared" si="18"/>
        <v>7.4426907548125623E-14</v>
      </c>
      <c r="AN35" s="2">
        <f t="shared" si="19"/>
        <v>-5.8556858982518965E-14</v>
      </c>
      <c r="AO35" s="2">
        <f t="shared" si="20"/>
        <v>4.1909515857696533E-6</v>
      </c>
      <c r="AQ35" s="64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4587206.8909640303</v>
      </c>
      <c r="BA35" s="26"/>
      <c r="BC35" s="2" t="s">
        <v>170</v>
      </c>
      <c r="BD35" s="37">
        <f>$AR$45*BD34*$AR$27/$AR$46</f>
        <v>5051623.0220011258</v>
      </c>
      <c r="BE35" s="26"/>
      <c r="BG35" s="2" t="s">
        <v>38</v>
      </c>
      <c r="BH35" s="2">
        <f xml:space="preserve"> 4*BH30*SIN(BH23)*SIN(BH23) / (BH27*BH33)</f>
        <v>1.1711974734837718</v>
      </c>
      <c r="BI35" s="2"/>
      <c r="BK35" s="2" t="s">
        <v>38</v>
      </c>
      <c r="BL35" s="2">
        <f xml:space="preserve"> 4*BL30*SIN(BL23)*SIN(BL23) / (BL27*BL33)</f>
        <v>1.1514271183410159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16.53</v>
      </c>
      <c r="L36" s="6" t="s">
        <v>61</v>
      </c>
      <c r="AF36" s="2">
        <v>32</v>
      </c>
      <c r="AG36" s="2">
        <f t="shared" si="25"/>
        <v>3327.040211064741</v>
      </c>
      <c r="AH36" s="2">
        <v>-8.907863957574591E-8</v>
      </c>
      <c r="AI36" s="2">
        <f t="shared" si="26"/>
        <v>3327.0402131602168</v>
      </c>
      <c r="AJ36" s="2">
        <v>6.5736139731598087E-7</v>
      </c>
      <c r="AK36" s="2">
        <f t="shared" si="17"/>
        <v>3327.0402121124789</v>
      </c>
      <c r="AL36" s="2">
        <v>2.8414115149644203E-7</v>
      </c>
      <c r="AM36" s="2">
        <f t="shared" si="18"/>
        <v>-2.5310907222788976E-14</v>
      </c>
      <c r="AN36" s="2">
        <f t="shared" si="19"/>
        <v>1.8678342438267294E-13</v>
      </c>
      <c r="AO36" s="2">
        <f t="shared" si="20"/>
        <v>2.0954757928848267E-6</v>
      </c>
      <c r="AQ36" s="64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897.90538177614201</v>
      </c>
      <c r="BA36" s="26" t="s">
        <v>22</v>
      </c>
      <c r="BC36" s="2" t="s">
        <v>174</v>
      </c>
      <c r="BD36" s="2">
        <f xml:space="preserve"> $BL$65 * PI() * $AR$45 * BD34^2 * $BL$71 * $AR$26 * BD31</f>
        <v>784.85558911525993</v>
      </c>
      <c r="BE36" s="26" t="s">
        <v>22</v>
      </c>
      <c r="BG36" s="2" t="s">
        <v>194</v>
      </c>
      <c r="BH36" s="2">
        <f xml:space="preserve"> 4*BH30*SIN(BH23)*COS(BH23) / (BH27*BH34)</f>
        <v>6.9074708381910446</v>
      </c>
      <c r="BI36" s="2"/>
      <c r="BK36" s="2" t="s">
        <v>194</v>
      </c>
      <c r="BL36" s="2">
        <f xml:space="preserve"> 4*BL30*SIN(BL23)*COS(BL23) / (BL27*BL34)</f>
        <v>8.519579103036973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26.03</v>
      </c>
      <c r="L37" s="6" t="s">
        <v>61</v>
      </c>
      <c r="AF37" s="2">
        <v>33</v>
      </c>
      <c r="AG37" s="2">
        <f t="shared" si="25"/>
        <v>3327.040211064741</v>
      </c>
      <c r="AH37" s="2">
        <v>-8.907863957574591E-8</v>
      </c>
      <c r="AI37" s="2">
        <f t="shared" si="26"/>
        <v>3327.0402121124789</v>
      </c>
      <c r="AJ37" s="2">
        <v>2.8414115149644203E-7</v>
      </c>
      <c r="AK37" s="2">
        <f t="shared" si="17"/>
        <v>3327.04021158861</v>
      </c>
      <c r="AL37" s="2">
        <v>9.7531028586672619E-8</v>
      </c>
      <c r="AM37" s="2">
        <f t="shared" si="18"/>
        <v>-8.6879313429239813E-15</v>
      </c>
      <c r="AN37" s="2">
        <f t="shared" si="19"/>
        <v>2.7712578769249564E-14</v>
      </c>
      <c r="AO37" s="2">
        <f t="shared" si="20"/>
        <v>1.0477378964424133E-6</v>
      </c>
      <c r="AQ37" s="64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393.85324024915468</v>
      </c>
      <c r="BA37" s="26" t="s">
        <v>179</v>
      </c>
      <c r="BC37" s="2" t="s">
        <v>178</v>
      </c>
      <c r="BD37" s="2">
        <f xml:space="preserve"> $BL$65 * PI() * $AR$45 * BD34^2 * $BL$72 * $AR$26^2 * BD31</f>
        <v>437.7359447164668</v>
      </c>
      <c r="BE37" s="26" t="s">
        <v>179</v>
      </c>
      <c r="BG37" s="2" t="s">
        <v>45</v>
      </c>
      <c r="BH37" s="2">
        <f>1/(BH35-1)</f>
        <v>5.841207698049308</v>
      </c>
      <c r="BI37" s="2"/>
      <c r="BK37" s="2" t="s">
        <v>45</v>
      </c>
      <c r="BL37" s="2">
        <f>1/(BL35-1)</f>
        <v>6.6038369544085684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4.95</v>
      </c>
      <c r="L38" s="6" t="s">
        <v>61</v>
      </c>
      <c r="AF38" s="2">
        <v>34</v>
      </c>
      <c r="AG38" s="2">
        <f t="shared" si="25"/>
        <v>3327.040211064741</v>
      </c>
      <c r="AH38" s="2">
        <v>-8.907863957574591E-8</v>
      </c>
      <c r="AI38" s="2">
        <f t="shared" si="26"/>
        <v>3327.04021158861</v>
      </c>
      <c r="AJ38" s="2">
        <v>9.7531028586672619E-8</v>
      </c>
      <c r="AK38" s="2">
        <f t="shared" si="17"/>
        <v>3327.0402113266755</v>
      </c>
      <c r="AL38" s="2">
        <v>4.2259671317879111E-9</v>
      </c>
      <c r="AM38" s="2">
        <f t="shared" si="18"/>
        <v>-3.7644340299148405E-16</v>
      </c>
      <c r="AN38" s="2">
        <f t="shared" si="19"/>
        <v>4.1216292113674565E-16</v>
      </c>
      <c r="AO38" s="2">
        <f t="shared" si="20"/>
        <v>5.2386894822120667E-7</v>
      </c>
      <c r="AQ38" s="64"/>
      <c r="AR38" s="3">
        <v>2.9156249999999999</v>
      </c>
      <c r="AS38" s="26" t="s">
        <v>43</v>
      </c>
      <c r="BG38" s="2" t="s">
        <v>197</v>
      </c>
      <c r="BH38" s="2">
        <f>1/(BH36+1)</f>
        <v>0.12646268578952677</v>
      </c>
      <c r="BI38" s="2"/>
      <c r="BK38" s="2" t="s">
        <v>197</v>
      </c>
      <c r="BL38" s="2">
        <f>1/(BL36+1)</f>
        <v>0.10504666111561341</v>
      </c>
      <c r="BM38" s="2"/>
      <c r="BO38" s="30">
        <v>0</v>
      </c>
      <c r="BP38" s="30"/>
      <c r="BQ38" s="30">
        <f>$BH$39</f>
        <v>3.7158728524722129E-9</v>
      </c>
      <c r="BR38" s="30"/>
      <c r="BS38" s="30">
        <f>$BH$39</f>
        <v>3.7158728524722129E-9</v>
      </c>
      <c r="BT38" s="30"/>
      <c r="BU38" s="30">
        <f>$BH$39</f>
        <v>3.7158728524722129E-9</v>
      </c>
      <c r="BV38" s="30"/>
      <c r="BW38" s="30"/>
      <c r="BX38" s="30"/>
      <c r="BZ38" s="30">
        <v>0</v>
      </c>
      <c r="CA38" s="30"/>
      <c r="CB38" s="30">
        <f>$BL$39</f>
        <v>1.3610837526489838E-9</v>
      </c>
      <c r="CC38" s="30"/>
      <c r="CD38" s="30">
        <f>$BL$39</f>
        <v>1.3610837526489838E-9</v>
      </c>
      <c r="CE38" s="30"/>
      <c r="CF38" s="30">
        <f>$BL$39</f>
        <v>1.3610837526489838E-9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3327.040211064741</v>
      </c>
      <c r="AH39" s="2">
        <v>-8.907863957574591E-8</v>
      </c>
      <c r="AI39" s="2">
        <f t="shared" si="26"/>
        <v>3327.0402113266755</v>
      </c>
      <c r="AJ39" s="2">
        <v>4.2259671317879111E-9</v>
      </c>
      <c r="AK39" s="2">
        <f t="shared" si="17"/>
        <v>3327.0402111957083</v>
      </c>
      <c r="AL39" s="2">
        <v>-4.2426563595654443E-8</v>
      </c>
      <c r="AM39" s="2">
        <f t="shared" si="18"/>
        <v>3.7793005669747646E-15</v>
      </c>
      <c r="AN39" s="2">
        <f t="shared" si="19"/>
        <v>-1.7929326326994521E-16</v>
      </c>
      <c r="AO39" s="2">
        <f t="shared" si="20"/>
        <v>2.6193447411060333E-7</v>
      </c>
      <c r="AQ39" s="64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3.7158728524722129E-9</v>
      </c>
      <c r="BI39" s="40"/>
      <c r="BK39" s="7" t="s">
        <v>199</v>
      </c>
      <c r="BL39" s="40">
        <f>SIN(BL23)/(1+BL37) - $AR$3*COS(BL23)/($AV$5*$AR$22*(1-BL38))</f>
        <v>1.3610837526489838E-9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-3.2834366419172389</v>
      </c>
      <c r="BR39" s="3">
        <f>0.9*PI()</f>
        <v>2.8274333882308138</v>
      </c>
      <c r="BS39" s="2">
        <f t="dataTable" ref="BS39:BS68" dt2D="0" dtr="0" r1="BH23" ca="1"/>
        <v>0.57109706174980646</v>
      </c>
      <c r="BT39" s="2">
        <f t="shared" ref="BT39:BT68" si="27">(BP39+BR39)/2</f>
        <v>1.4294246573833558</v>
      </c>
      <c r="BU39" s="2">
        <f t="dataTable" ref="BU39:BU68" dt2D="0" dtr="0" r1="BH23"/>
        <v>1.1341842817627055</v>
      </c>
      <c r="BV39" s="2">
        <f t="shared" ref="BV39:BV68" si="28">BQ39*BU39</f>
        <v>-3.7240222294262533</v>
      </c>
      <c r="BW39" s="2">
        <f t="shared" ref="BW39:BW68" si="29">BS39*BU39</f>
        <v>0.64772931079749574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-2.6452396411593737</v>
      </c>
      <c r="CC39" s="3">
        <f>0.9*PI()</f>
        <v>2.8274333882308138</v>
      </c>
      <c r="CD39" s="2">
        <f t="dataTable" ref="CD39:CD68" dt2D="0" dtr="0" r1="BL23" ca="1"/>
        <v>0.51894246269049893</v>
      </c>
      <c r="CE39" s="2">
        <f t="shared" ref="CE39:CE68" si="31">(CA39+CC39)/2</f>
        <v>1.4294246573833558</v>
      </c>
      <c r="CF39" s="2">
        <f t="dataTable" ref="CF39:CF68" dt2D="0" dtr="0" r1="BL23"/>
        <v>1.1170593244003044</v>
      </c>
      <c r="CG39" s="2">
        <f t="shared" ref="CG39:CG68" si="32">CB39*CF39</f>
        <v>-2.9548896064303936</v>
      </c>
      <c r="CH39" s="2">
        <f t="shared" ref="CH39:CH68" si="33">CD39*CF39</f>
        <v>0.57968951677567893</v>
      </c>
      <c r="CI39" s="2">
        <f t="shared" ref="CI39:CI68" si="34">CC39-CA39</f>
        <v>2.7960174616949161</v>
      </c>
    </row>
    <row r="40" spans="2:87" x14ac:dyDescent="0.2">
      <c r="B40" s="58" t="s">
        <v>111</v>
      </c>
      <c r="C40" s="58"/>
      <c r="D40" s="58"/>
      <c r="AF40" s="2">
        <v>36</v>
      </c>
      <c r="AG40" s="2">
        <f t="shared" si="25"/>
        <v>3327.0402111957083</v>
      </c>
      <c r="AH40" s="2">
        <v>-4.2426563595654443E-8</v>
      </c>
      <c r="AI40" s="2">
        <f t="shared" si="26"/>
        <v>3327.0402113266755</v>
      </c>
      <c r="AJ40" s="2">
        <v>4.2259671317879111E-9</v>
      </c>
      <c r="AK40" s="2">
        <f t="shared" si="17"/>
        <v>3327.0402112611919</v>
      </c>
      <c r="AL40" s="2">
        <v>-1.9100298231933266E-8</v>
      </c>
      <c r="AM40" s="2">
        <f t="shared" si="18"/>
        <v>8.1036001763308282E-16</v>
      </c>
      <c r="AN40" s="2">
        <f t="shared" si="19"/>
        <v>-8.0717232535496733E-17</v>
      </c>
      <c r="AO40" s="2">
        <f t="shared" si="20"/>
        <v>1.3096723705530167E-7</v>
      </c>
      <c r="AQ40" s="64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-3.2834366419172389</v>
      </c>
      <c r="BR40" s="2">
        <f t="shared" ref="BR40:BR68" si="36">IF(BW39&gt;0,BT39,BR39)</f>
        <v>1.4294246573833558</v>
      </c>
      <c r="BS40" s="2">
        <v>1.1341842817627055</v>
      </c>
      <c r="BT40" s="2">
        <f t="shared" si="27"/>
        <v>0.73042029195962688</v>
      </c>
      <c r="BU40" s="2">
        <v>0.85922029984743908</v>
      </c>
      <c r="BV40" s="2">
        <f t="shared" si="28"/>
        <v>-2.8211954159981985</v>
      </c>
      <c r="BW40" s="2">
        <f t="shared" si="29"/>
        <v>0.97451415865840418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-2.6452396411593737</v>
      </c>
      <c r="CC40" s="2">
        <f t="shared" ref="CC40:CC68" si="38">IF(CH39&gt;0,CE39,CC39)</f>
        <v>1.4294246573833558</v>
      </c>
      <c r="CD40" s="2">
        <v>1.1170593244003044</v>
      </c>
      <c r="CE40" s="2">
        <f t="shared" si="31"/>
        <v>0.73042029195962688</v>
      </c>
      <c r="CF40" s="2">
        <v>0.79561589381088349</v>
      </c>
      <c r="CG40" s="2">
        <f t="shared" si="32"/>
        <v>-2.1045947014449959</v>
      </c>
      <c r="CH40" s="2">
        <f t="shared" si="33"/>
        <v>0.88875015282252989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8" t="s">
        <v>116</v>
      </c>
      <c r="K41" s="58"/>
      <c r="L41" s="58"/>
      <c r="AF41" s="2">
        <v>37</v>
      </c>
      <c r="AG41" s="2">
        <f t="shared" si="25"/>
        <v>3327.0402112611919</v>
      </c>
      <c r="AH41" s="2">
        <v>-1.9100298231933266E-8</v>
      </c>
      <c r="AI41" s="2">
        <f t="shared" si="26"/>
        <v>3327.0402113266755</v>
      </c>
      <c r="AJ41" s="2">
        <v>4.2259671317879111E-9</v>
      </c>
      <c r="AK41" s="2">
        <f t="shared" si="17"/>
        <v>3327.0402112939337</v>
      </c>
      <c r="AL41" s="2">
        <v>-7.4383024184498936E-9</v>
      </c>
      <c r="AM41" s="2">
        <f t="shared" si="18"/>
        <v>1.4207379453170344E-16</v>
      </c>
      <c r="AN41" s="2">
        <f t="shared" si="19"/>
        <v>-3.1434021536667779E-17</v>
      </c>
      <c r="AO41" s="2">
        <f t="shared" si="20"/>
        <v>6.5483618527650833E-8</v>
      </c>
      <c r="AQ41" s="64"/>
      <c r="AR41" s="3">
        <v>-1.528125</v>
      </c>
      <c r="AS41" s="26" t="s">
        <v>43</v>
      </c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G41" s="62" t="s">
        <v>200</v>
      </c>
      <c r="BH41" s="62"/>
      <c r="BI41" s="62"/>
      <c r="BJ41" s="2"/>
      <c r="BK41" s="62" t="s">
        <v>201</v>
      </c>
      <c r="BL41" s="62"/>
      <c r="BM41" s="62"/>
      <c r="BO41" s="2">
        <v>3</v>
      </c>
      <c r="BP41" s="2">
        <f t="shared" si="35"/>
        <v>3.1415926535897934E-2</v>
      </c>
      <c r="BQ41" s="2">
        <v>-3.2834366419172389</v>
      </c>
      <c r="BR41" s="2">
        <f t="shared" si="36"/>
        <v>0.73042029195962688</v>
      </c>
      <c r="BS41" s="2">
        <v>0.85922029984743908</v>
      </c>
      <c r="BT41" s="2">
        <f t="shared" si="27"/>
        <v>0.38091810924776243</v>
      </c>
      <c r="BU41" s="2">
        <v>3.6740746802369842E-2</v>
      </c>
      <c r="BV41" s="2">
        <f t="shared" si="28"/>
        <v>-0.12063591430230476</v>
      </c>
      <c r="BW41" s="2">
        <f t="shared" si="29"/>
        <v>3.1568395484151052E-2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-2.6452396411593737</v>
      </c>
      <c r="CC41" s="2">
        <f t="shared" si="38"/>
        <v>0.73042029195962688</v>
      </c>
      <c r="CD41" s="2">
        <v>0.79561589381088349</v>
      </c>
      <c r="CE41" s="2">
        <f t="shared" si="31"/>
        <v>0.38091810924776243</v>
      </c>
      <c r="CF41" s="2">
        <v>0.13695434307281934</v>
      </c>
      <c r="CG41" s="2">
        <f t="shared" si="32"/>
        <v>-0.36227705732516241</v>
      </c>
      <c r="CH41" s="2">
        <f t="shared" si="33"/>
        <v>0.10896305207516353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3327.0402112939337</v>
      </c>
      <c r="AH42" s="2">
        <v>-7.4383024184498936E-9</v>
      </c>
      <c r="AI42" s="2">
        <f t="shared" si="26"/>
        <v>3327.0402113266755</v>
      </c>
      <c r="AJ42" s="2">
        <v>4.2259671317879111E-9</v>
      </c>
      <c r="AK42" s="2">
        <f t="shared" si="17"/>
        <v>3327.0402113103046</v>
      </c>
      <c r="AL42" s="2">
        <v>-1.6052581486292183E-9</v>
      </c>
      <c r="AM42" s="2">
        <f t="shared" si="18"/>
        <v>1.1940395569185114E-17</v>
      </c>
      <c r="AN42" s="2">
        <f t="shared" si="19"/>
        <v>-6.7837681741417901E-18</v>
      </c>
      <c r="AO42" s="2">
        <f t="shared" si="20"/>
        <v>3.2741809263825417E-8</v>
      </c>
      <c r="AQ42" s="64"/>
      <c r="AR42" s="3">
        <v>-3.0093749999999999</v>
      </c>
      <c r="AS42" s="26" t="s">
        <v>43</v>
      </c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G42" s="28" t="s">
        <v>154</v>
      </c>
      <c r="BH42" s="29">
        <f>BT102</f>
        <v>0.30522699012769122</v>
      </c>
      <c r="BI42" s="5" t="s">
        <v>155</v>
      </c>
      <c r="BJ42" s="2"/>
      <c r="BK42" s="28" t="s">
        <v>154</v>
      </c>
      <c r="BL42" s="29">
        <f>CE102</f>
        <v>0.28647764352111832</v>
      </c>
      <c r="BM42" s="5" t="s">
        <v>155</v>
      </c>
      <c r="BO42" s="2">
        <v>4</v>
      </c>
      <c r="BP42" s="2">
        <f t="shared" si="35"/>
        <v>3.1415926535897934E-2</v>
      </c>
      <c r="BQ42" s="2">
        <v>-3.2834366419172389</v>
      </c>
      <c r="BR42" s="2">
        <f t="shared" si="36"/>
        <v>0.38091810924776243</v>
      </c>
      <c r="BS42" s="2">
        <v>3.6740746802369842E-2</v>
      </c>
      <c r="BT42" s="2">
        <f t="shared" si="27"/>
        <v>0.20616701789183017</v>
      </c>
      <c r="BU42" s="2">
        <v>-0.52711072557622873</v>
      </c>
      <c r="BV42" s="2">
        <f t="shared" si="28"/>
        <v>1.7307346707045717</v>
      </c>
      <c r="BW42" s="2">
        <f t="shared" si="29"/>
        <v>-1.9366441705209674E-2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-2.6452396411593737</v>
      </c>
      <c r="CC42" s="2">
        <f t="shared" si="38"/>
        <v>0.38091810924776243</v>
      </c>
      <c r="CD42" s="2">
        <v>0.13695434307281934</v>
      </c>
      <c r="CE42" s="2">
        <f t="shared" si="31"/>
        <v>0.20616701789183017</v>
      </c>
      <c r="CF42" s="2">
        <v>-0.38964341356609467</v>
      </c>
      <c r="CG42" s="2">
        <f t="shared" si="32"/>
        <v>1.0307002034816897</v>
      </c>
      <c r="CH42" s="2">
        <f t="shared" si="33"/>
        <v>-5.336335773759536E-2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1146.3499999999999</v>
      </c>
      <c r="L43" s="6" t="s">
        <v>7</v>
      </c>
      <c r="AF43" s="2">
        <v>39</v>
      </c>
      <c r="AG43" s="2">
        <f t="shared" si="25"/>
        <v>3327.0402113103046</v>
      </c>
      <c r="AH43" s="2">
        <v>-1.6052581486292183E-9</v>
      </c>
      <c r="AI43" s="2">
        <f t="shared" si="26"/>
        <v>3327.0402113266755</v>
      </c>
      <c r="AJ43" s="2">
        <v>4.2259671317879111E-9</v>
      </c>
      <c r="AK43" s="2">
        <f t="shared" si="17"/>
        <v>3327.04021131849</v>
      </c>
      <c r="AL43" s="2">
        <v>1.3105818652547896E-9</v>
      </c>
      <c r="AM43" s="2">
        <f t="shared" si="18"/>
        <v>-2.1038222186459312E-18</v>
      </c>
      <c r="AN43" s="2">
        <f t="shared" si="19"/>
        <v>5.5384758860840337E-18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0.46833865828935867</v>
      </c>
      <c r="BI43" s="2" t="s">
        <v>155</v>
      </c>
      <c r="BJ43" s="2"/>
      <c r="BK43" s="2" t="s">
        <v>159</v>
      </c>
      <c r="BL43" s="2">
        <f>($AR$40+$AR$5)/180*PI()</f>
        <v>0.44248596874419271</v>
      </c>
      <c r="BM43" s="2" t="s">
        <v>155</v>
      </c>
      <c r="BO43" s="2">
        <v>5</v>
      </c>
      <c r="BP43" s="2">
        <f t="shared" si="35"/>
        <v>0.20616701789183017</v>
      </c>
      <c r="BQ43" s="2">
        <v>-0.52711072557622873</v>
      </c>
      <c r="BR43" s="2">
        <f t="shared" si="36"/>
        <v>0.38091810924776243</v>
      </c>
      <c r="BS43" s="2">
        <v>3.6740746802369842E-2</v>
      </c>
      <c r="BT43" s="2">
        <f t="shared" si="27"/>
        <v>0.2935425635697963</v>
      </c>
      <c r="BU43" s="2">
        <v>-0.25098151746070496</v>
      </c>
      <c r="BV43" s="2">
        <f t="shared" si="28"/>
        <v>0.13229504977493511</v>
      </c>
      <c r="BW43" s="2">
        <f t="shared" si="29"/>
        <v>-9.2212483850983261E-3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-0.38964341356609467</v>
      </c>
      <c r="CC43" s="2">
        <f t="shared" si="38"/>
        <v>0.38091810924776243</v>
      </c>
      <c r="CD43" s="2">
        <v>0.13695434307281934</v>
      </c>
      <c r="CE43" s="2">
        <f t="shared" si="31"/>
        <v>0.2935425635697963</v>
      </c>
      <c r="CF43" s="2">
        <v>-0.11658439240091253</v>
      </c>
      <c r="CG43" s="2">
        <f t="shared" si="32"/>
        <v>4.542634062362063E-2</v>
      </c>
      <c r="CH43" s="2">
        <f t="shared" si="33"/>
        <v>-1.5966738873810768E-2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549.79</v>
      </c>
      <c r="L44" s="6" t="s">
        <v>7</v>
      </c>
      <c r="AF44" s="2">
        <v>40</v>
      </c>
      <c r="AG44" s="2">
        <f t="shared" si="25"/>
        <v>3327.0402113103046</v>
      </c>
      <c r="AH44" s="2">
        <v>-1.6052581486292183E-9</v>
      </c>
      <c r="AI44" s="2">
        <f t="shared" si="26"/>
        <v>3327.04021131849</v>
      </c>
      <c r="AJ44" s="2">
        <v>1.3105818652547896E-9</v>
      </c>
      <c r="AK44" s="5">
        <f t="shared" si="17"/>
        <v>3327.0402113143973</v>
      </c>
      <c r="AL44" s="2">
        <v>-1.4733814168721437E-10</v>
      </c>
      <c r="AM44" s="2">
        <f t="shared" si="18"/>
        <v>2.365157525472872E-19</v>
      </c>
      <c r="AN44" s="2">
        <f t="shared" si="19"/>
        <v>-1.9309869655560389E-19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0.16311166816166744</v>
      </c>
      <c r="BI44" s="2" t="s">
        <v>155</v>
      </c>
      <c r="BJ44" s="2"/>
      <c r="BK44" s="2" t="s">
        <v>28</v>
      </c>
      <c r="BL44" s="2">
        <f>BL43-BL42</f>
        <v>0.1560083252230744</v>
      </c>
      <c r="BM44" s="2" t="s">
        <v>155</v>
      </c>
      <c r="BO44" s="2">
        <v>6</v>
      </c>
      <c r="BP44" s="2">
        <f t="shared" si="35"/>
        <v>0.2935425635697963</v>
      </c>
      <c r="BQ44" s="2">
        <v>-0.25098151746070496</v>
      </c>
      <c r="BR44" s="2">
        <f t="shared" si="36"/>
        <v>0.38091810924776243</v>
      </c>
      <c r="BS44" s="2">
        <v>3.6740746802369842E-2</v>
      </c>
      <c r="BT44" s="2">
        <f t="shared" si="27"/>
        <v>0.33723033640877936</v>
      </c>
      <c r="BU44" s="2">
        <v>-0.10498155753443424</v>
      </c>
      <c r="BV44" s="2">
        <f t="shared" si="28"/>
        <v>2.634843061538061E-2</v>
      </c>
      <c r="BW44" s="2">
        <f t="shared" si="29"/>
        <v>-3.8571008242910703E-3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-0.11658439240091253</v>
      </c>
      <c r="CC44" s="2">
        <f t="shared" si="38"/>
        <v>0.38091810924776243</v>
      </c>
      <c r="CD44" s="2">
        <v>0.13695434307281934</v>
      </c>
      <c r="CE44" s="2">
        <f t="shared" si="31"/>
        <v>0.33723033640877936</v>
      </c>
      <c r="CF44" s="2">
        <v>1.3620616481491189E-2</v>
      </c>
      <c r="CG44" s="2">
        <f t="shared" si="32"/>
        <v>-1.5879512966205055E-3</v>
      </c>
      <c r="CH44" s="2">
        <f t="shared" si="33"/>
        <v>1.8654025824694418E-3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865.92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9.3456101750019478</v>
      </c>
      <c r="BI45" s="2" t="s">
        <v>43</v>
      </c>
      <c r="BJ45" s="2"/>
      <c r="BK45" s="2" t="s">
        <v>168</v>
      </c>
      <c r="BL45" s="2">
        <f>BL44/PI()*180</f>
        <v>8.9386186041865106</v>
      </c>
      <c r="BM45" s="2" t="s">
        <v>43</v>
      </c>
      <c r="BO45" s="2">
        <v>7</v>
      </c>
      <c r="BP45" s="2">
        <f t="shared" si="35"/>
        <v>0.33723033640877936</v>
      </c>
      <c r="BQ45" s="2">
        <v>-0.10498155753443424</v>
      </c>
      <c r="BR45" s="2">
        <f t="shared" si="36"/>
        <v>0.38091810924776243</v>
      </c>
      <c r="BS45" s="2">
        <v>3.6740746802369842E-2</v>
      </c>
      <c r="BT45" s="2">
        <f t="shared" si="27"/>
        <v>0.35907422282827089</v>
      </c>
      <c r="BU45" s="2">
        <v>-3.3346367858818407E-2</v>
      </c>
      <c r="BV45" s="2">
        <f t="shared" si="28"/>
        <v>3.5007536359349532E-3</v>
      </c>
      <c r="BW45" s="2">
        <f t="shared" si="29"/>
        <v>-1.2251704582795309E-3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-0.11658439240091253</v>
      </c>
      <c r="CC45" s="2">
        <f t="shared" si="38"/>
        <v>0.33723033640877936</v>
      </c>
      <c r="CD45" s="2">
        <v>1.3620616481491189E-2</v>
      </c>
      <c r="CE45" s="2">
        <f t="shared" si="31"/>
        <v>0.31538644998928783</v>
      </c>
      <c r="CF45" s="2">
        <v>-5.0697899980181135E-2</v>
      </c>
      <c r="CG45" s="2">
        <f t="shared" si="32"/>
        <v>5.9105838651916532E-3</v>
      </c>
      <c r="CH45" s="2">
        <f t="shared" si="33"/>
        <v>-6.9053665204704706E-4</v>
      </c>
      <c r="CI45" s="2">
        <f t="shared" si="34"/>
        <v>4.3687772838983063E-2</v>
      </c>
    </row>
    <row r="46" spans="2:87" x14ac:dyDescent="0.2">
      <c r="B46" s="58" t="s">
        <v>248</v>
      </c>
      <c r="C46" s="58"/>
      <c r="D46" s="58"/>
      <c r="J46" s="15" t="s">
        <v>73</v>
      </c>
      <c r="K46" s="6">
        <f>ROUND(SUM(K26:K29), 2)</f>
        <v>164.78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0.35907422282827089</v>
      </c>
      <c r="BQ46" s="2">
        <v>-3.3346367858818407E-2</v>
      </c>
      <c r="BR46" s="2">
        <f t="shared" si="36"/>
        <v>0.38091810924776243</v>
      </c>
      <c r="BS46" s="2">
        <v>3.6740746802369842E-2</v>
      </c>
      <c r="BT46" s="2">
        <f t="shared" si="27"/>
        <v>0.36999616603801666</v>
      </c>
      <c r="BU46" s="2">
        <v>1.9127870085159718E-3</v>
      </c>
      <c r="BV46" s="2">
        <f t="shared" si="28"/>
        <v>-6.3784499221542412E-5</v>
      </c>
      <c r="BW46" s="2">
        <f t="shared" si="29"/>
        <v>7.0277223166747768E-5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-5.0697899980181135E-2</v>
      </c>
      <c r="CC46" s="2">
        <f t="shared" si="38"/>
        <v>0.33723033640877936</v>
      </c>
      <c r="CD46" s="2">
        <v>1.3620616481491189E-2</v>
      </c>
      <c r="CE46" s="2">
        <f t="shared" si="31"/>
        <v>0.3263083931990336</v>
      </c>
      <c r="CF46" s="2">
        <v>-1.8331221014219783E-2</v>
      </c>
      <c r="CG46" s="2">
        <f t="shared" si="32"/>
        <v>9.2935440949350916E-4</v>
      </c>
      <c r="CH46" s="2">
        <f t="shared" si="33"/>
        <v>-2.4968253107213959E-4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3326.84</v>
      </c>
      <c r="L47" s="6" t="s">
        <v>7</v>
      </c>
      <c r="AF47" s="63" t="s">
        <v>222</v>
      </c>
      <c r="AG47" s="63"/>
      <c r="AH47" s="63"/>
      <c r="AI47" s="63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0.88965798547728991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0.79701623916655906</v>
      </c>
      <c r="BM47" s="2"/>
      <c r="BO47" s="2">
        <v>9</v>
      </c>
      <c r="BP47" s="2">
        <f t="shared" si="35"/>
        <v>0.35907422282827089</v>
      </c>
      <c r="BQ47" s="2">
        <v>-3.3346367858818407E-2</v>
      </c>
      <c r="BR47" s="2">
        <f t="shared" si="36"/>
        <v>0.36999616603801666</v>
      </c>
      <c r="BS47" s="2">
        <v>1.9127870085159718E-3</v>
      </c>
      <c r="BT47" s="2">
        <f t="shared" si="27"/>
        <v>0.36453519443314375</v>
      </c>
      <c r="BU47" s="2">
        <v>-1.5665358532545991E-2</v>
      </c>
      <c r="BV47" s="2">
        <f t="shared" si="28"/>
        <v>5.2238280826655834E-4</v>
      </c>
      <c r="BW47" s="2">
        <f t="shared" si="29"/>
        <v>-2.99644942847988E-5</v>
      </c>
      <c r="BX47" s="2">
        <f t="shared" si="30"/>
        <v>1.0921943209745766E-2</v>
      </c>
      <c r="BZ47" s="2">
        <v>9</v>
      </c>
      <c r="CA47" s="2">
        <f t="shared" si="37"/>
        <v>0.3263083931990336</v>
      </c>
      <c r="CB47" s="2">
        <v>-1.8331221014219783E-2</v>
      </c>
      <c r="CC47" s="2">
        <f t="shared" si="38"/>
        <v>0.33723033640877936</v>
      </c>
      <c r="CD47" s="2">
        <v>1.3620616481491189E-2</v>
      </c>
      <c r="CE47" s="2">
        <f t="shared" si="31"/>
        <v>0.33176936480390651</v>
      </c>
      <c r="CF47" s="2">
        <v>-2.3022172767446364E-3</v>
      </c>
      <c r="CG47" s="2">
        <f t="shared" si="32"/>
        <v>4.2202453722761124E-5</v>
      </c>
      <c r="CH47" s="2">
        <f t="shared" si="33"/>
        <v>-3.1357618583601759E-5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5"/>
      <c r="BG48" s="2" t="s">
        <v>180</v>
      </c>
      <c r="BH48" s="2">
        <f>IF(-$AR$8*($AR$23-$AR$10)/(2*$AR$23*SIN(BH42))&gt;500, 1, 2*ACOS(MIN(1, EXP(-$AR$8*($AR$23-$AR$10)/(2*$AR$23*SIN(BH42)))))/PI() )</f>
        <v>0.93343196990902522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0.95034591541182556</v>
      </c>
      <c r="BM48" s="2"/>
      <c r="BO48" s="2">
        <v>10</v>
      </c>
      <c r="BP48" s="2">
        <f t="shared" si="35"/>
        <v>0.36453519443314375</v>
      </c>
      <c r="BQ48" s="2">
        <v>-1.5665358532545991E-2</v>
      </c>
      <c r="BR48" s="2">
        <f t="shared" si="36"/>
        <v>0.36999616603801666</v>
      </c>
      <c r="BS48" s="2">
        <v>1.9127870085159718E-3</v>
      </c>
      <c r="BT48" s="2">
        <f t="shared" si="27"/>
        <v>0.36726568023558021</v>
      </c>
      <c r="BU48" s="2">
        <v>-6.8631022021245977E-3</v>
      </c>
      <c r="BV48" s="2">
        <f t="shared" si="28"/>
        <v>1.0751295664178774E-4</v>
      </c>
      <c r="BW48" s="2">
        <f t="shared" si="29"/>
        <v>-1.3127652730341287E-5</v>
      </c>
      <c r="BX48" s="2">
        <f t="shared" si="30"/>
        <v>5.4609716048729107E-3</v>
      </c>
      <c r="BZ48" s="2">
        <v>10</v>
      </c>
      <c r="CA48" s="2">
        <f t="shared" si="37"/>
        <v>0.33176936480390651</v>
      </c>
      <c r="CB48" s="2">
        <v>-2.3022172767446364E-3</v>
      </c>
      <c r="CC48" s="2">
        <f t="shared" si="38"/>
        <v>0.33723033640877936</v>
      </c>
      <c r="CD48" s="2">
        <v>1.3620616481491189E-2</v>
      </c>
      <c r="CE48" s="2">
        <f t="shared" si="31"/>
        <v>0.33449985060634291</v>
      </c>
      <c r="CF48" s="2">
        <v>5.672613300863931E-3</v>
      </c>
      <c r="CG48" s="2">
        <f t="shared" si="32"/>
        <v>-1.3059588345540362E-5</v>
      </c>
      <c r="CH48" s="2">
        <f t="shared" si="33"/>
        <v>7.72644902188734E-5</v>
      </c>
      <c r="CI48" s="2">
        <f t="shared" si="34"/>
        <v>5.4609716048728552E-3</v>
      </c>
    </row>
    <row r="49" spans="2:87" x14ac:dyDescent="0.2">
      <c r="B49" s="58" t="s">
        <v>249</v>
      </c>
      <c r="C49" s="58"/>
      <c r="D49" s="58"/>
      <c r="AF49" s="2">
        <v>0</v>
      </c>
      <c r="AH49" s="2">
        <f>$G$11</f>
        <v>-0.31253338417218401</v>
      </c>
      <c r="AJ49" s="2">
        <f>$G$11</f>
        <v>-0.31253338417218401</v>
      </c>
      <c r="AL49" s="2">
        <f>$G$11</f>
        <v>-0.31253338417218401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0.83043520592936171</v>
      </c>
      <c r="BI49" s="2"/>
      <c r="BJ49" s="2"/>
      <c r="BK49" s="2" t="s">
        <v>183</v>
      </c>
      <c r="BL49" s="2">
        <f>IF(BL42=0,1,BL47*BL48)</f>
        <v>0.75744112740883407</v>
      </c>
      <c r="BM49" s="2"/>
      <c r="BO49" s="2">
        <v>11</v>
      </c>
      <c r="BP49" s="2">
        <f t="shared" si="35"/>
        <v>0.36726568023558021</v>
      </c>
      <c r="BQ49" s="2">
        <v>-6.8631022021245977E-3</v>
      </c>
      <c r="BR49" s="2">
        <f t="shared" si="36"/>
        <v>0.36999616603801666</v>
      </c>
      <c r="BS49" s="2">
        <v>1.9127870085159718E-3</v>
      </c>
      <c r="BT49" s="2">
        <f t="shared" si="27"/>
        <v>0.36863092313679846</v>
      </c>
      <c r="BU49" s="2">
        <v>-2.4718225486619963E-3</v>
      </c>
      <c r="BV49" s="2">
        <f t="shared" si="28"/>
        <v>1.6964370776983381E-5</v>
      </c>
      <c r="BW49" s="2">
        <f t="shared" si="29"/>
        <v>-4.7280700584375053E-6</v>
      </c>
      <c r="BX49" s="2">
        <f t="shared" si="30"/>
        <v>2.7304858024364553E-3</v>
      </c>
      <c r="BZ49" s="2">
        <v>11</v>
      </c>
      <c r="CA49" s="2">
        <f t="shared" si="37"/>
        <v>0.33176936480390651</v>
      </c>
      <c r="CB49" s="2">
        <v>-2.3022172767446364E-3</v>
      </c>
      <c r="CC49" s="2">
        <f t="shared" si="38"/>
        <v>0.33449985060634291</v>
      </c>
      <c r="CD49" s="2">
        <v>5.672613300863931E-3</v>
      </c>
      <c r="CE49" s="2">
        <f t="shared" si="31"/>
        <v>0.33313460770512471</v>
      </c>
      <c r="CF49" s="2">
        <v>1.6885341156477954E-3</v>
      </c>
      <c r="CG49" s="2">
        <f t="shared" si="32"/>
        <v>-3.8873724134170807E-6</v>
      </c>
      <c r="CH49" s="2">
        <f t="shared" si="33"/>
        <v>9.5784010833861999E-6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3678.6621067485148</v>
      </c>
      <c r="AI50" s="3">
        <v>1500</v>
      </c>
      <c r="AJ50" s="2">
        <f t="dataTable" ref="AJ50:AJ79" dt2D="0" dtr="0" r1="C6" ca="1"/>
        <v>-13058.492827182123</v>
      </c>
      <c r="AK50" s="2">
        <f t="shared" ref="AK50:AK79" si="39">(AG50+AI50)/2</f>
        <v>775</v>
      </c>
      <c r="AL50" s="2">
        <f t="dataTable" ref="AL50:AL79" dt2D="0" dtr="0" r1="C6" ca="1"/>
        <v>-775.58073857173622</v>
      </c>
      <c r="AM50" s="2">
        <f t="shared" ref="AM50:AM79" si="40">AH50*AL50</f>
        <v>-2853099.4737078724</v>
      </c>
      <c r="AN50" s="2">
        <f t="shared" ref="AN50:AN79" si="41">AJ50*AL50</f>
        <v>10127915.511539631</v>
      </c>
      <c r="AO50" s="2">
        <f t="shared" ref="AO50:AO79" si="42">AI50-AG50</f>
        <v>1450</v>
      </c>
      <c r="AU50" s="70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1.2034395559976367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1.1648060231249113</v>
      </c>
      <c r="BM50" s="2"/>
      <c r="BO50" s="2">
        <v>12</v>
      </c>
      <c r="BP50" s="2">
        <f t="shared" si="35"/>
        <v>0.36863092313679846</v>
      </c>
      <c r="BQ50" s="2">
        <v>-2.4718225486619963E-3</v>
      </c>
      <c r="BR50" s="2">
        <f t="shared" si="36"/>
        <v>0.36999616603801666</v>
      </c>
      <c r="BS50" s="2">
        <v>1.9127870085159718E-3</v>
      </c>
      <c r="BT50" s="2">
        <f t="shared" si="27"/>
        <v>0.36931354458740756</v>
      </c>
      <c r="BU50" s="2">
        <v>-2.7867920741253549E-4</v>
      </c>
      <c r="BV50" s="2">
        <f t="shared" si="28"/>
        <v>6.888455487255586E-7</v>
      </c>
      <c r="BW50" s="2">
        <f t="shared" si="29"/>
        <v>-5.3305396748222583E-7</v>
      </c>
      <c r="BX50" s="2">
        <f t="shared" si="30"/>
        <v>1.3652429012181999E-3</v>
      </c>
      <c r="BZ50" s="2">
        <v>12</v>
      </c>
      <c r="CA50" s="2">
        <f t="shared" si="37"/>
        <v>0.33176936480390651</v>
      </c>
      <c r="CB50" s="2">
        <v>-2.3022172767446364E-3</v>
      </c>
      <c r="CC50" s="2">
        <f t="shared" si="38"/>
        <v>0.33313460770512471</v>
      </c>
      <c r="CD50" s="2">
        <v>1.6885341156477954E-3</v>
      </c>
      <c r="CE50" s="2">
        <f t="shared" si="31"/>
        <v>0.33245198625451561</v>
      </c>
      <c r="CF50" s="2">
        <v>-3.0600976174143674E-4</v>
      </c>
      <c r="CG50" s="2">
        <f t="shared" si="32"/>
        <v>7.0450096033364551E-7</v>
      </c>
      <c r="CH50" s="2">
        <f t="shared" si="33"/>
        <v>-5.1670792242166942E-7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3678.6621067485148</v>
      </c>
      <c r="AI51" s="2">
        <f t="shared" ref="AI51:AI79" si="44">IF(AN50&gt;0, AK50, AI50)</f>
        <v>775</v>
      </c>
      <c r="AJ51" s="2">
        <v>-775.58073857173622</v>
      </c>
      <c r="AK51" s="2">
        <f t="shared" si="39"/>
        <v>412.5</v>
      </c>
      <c r="AL51" s="2">
        <v>2430.1243394996568</v>
      </c>
      <c r="AM51" s="2">
        <f t="shared" si="40"/>
        <v>8939606.322404651</v>
      </c>
      <c r="AN51" s="2">
        <f t="shared" si="41"/>
        <v>-1884757.6300502964</v>
      </c>
      <c r="AO51" s="2">
        <f t="shared" si="42"/>
        <v>725</v>
      </c>
      <c r="AU51" s="70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4.8279547322416475E-2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4.875931851265617E-2</v>
      </c>
      <c r="BM51" s="2"/>
      <c r="BO51" s="2">
        <v>13</v>
      </c>
      <c r="BP51" s="2">
        <f t="shared" si="35"/>
        <v>0.36931354458740756</v>
      </c>
      <c r="BQ51" s="2">
        <v>-2.7867920741253549E-4</v>
      </c>
      <c r="BR51" s="2">
        <f t="shared" si="36"/>
        <v>0.36999616603801666</v>
      </c>
      <c r="BS51" s="2">
        <v>1.9127870085159718E-3</v>
      </c>
      <c r="BT51" s="2">
        <f t="shared" si="27"/>
        <v>0.36965485531271214</v>
      </c>
      <c r="BU51" s="2">
        <v>8.1726413547533738E-4</v>
      </c>
      <c r="BV51" s="2">
        <f t="shared" si="28"/>
        <v>-2.2775452152095806E-7</v>
      </c>
      <c r="BW51" s="2">
        <f t="shared" si="29"/>
        <v>1.5632522208632626E-6</v>
      </c>
      <c r="BX51" s="2">
        <f t="shared" si="30"/>
        <v>6.8262145060909996E-4</v>
      </c>
      <c r="BZ51" s="2">
        <v>13</v>
      </c>
      <c r="CA51" s="2">
        <f t="shared" si="37"/>
        <v>0.33245198625451561</v>
      </c>
      <c r="CB51" s="2">
        <v>-3.0600976174143674E-4</v>
      </c>
      <c r="CC51" s="2">
        <f t="shared" si="38"/>
        <v>0.33313460770512471</v>
      </c>
      <c r="CD51" s="2">
        <v>1.6885341156477954E-3</v>
      </c>
      <c r="CE51" s="2">
        <f t="shared" si="31"/>
        <v>0.33279329697982019</v>
      </c>
      <c r="CF51" s="2">
        <v>6.9147040943041971E-4</v>
      </c>
      <c r="CG51" s="2">
        <f t="shared" si="32"/>
        <v>-2.1159669524105644E-7</v>
      </c>
      <c r="CH51" s="2">
        <f t="shared" si="33"/>
        <v>1.1675713762842128E-6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2430.1243394996568</v>
      </c>
      <c r="AI52" s="2">
        <f t="shared" si="44"/>
        <v>775</v>
      </c>
      <c r="AJ52" s="2">
        <v>-775.58073857173622</v>
      </c>
      <c r="AK52" s="2">
        <f t="shared" si="39"/>
        <v>593.75</v>
      </c>
      <c r="AL52" s="2">
        <v>1071.9177143167781</v>
      </c>
      <c r="AM52" s="2">
        <f t="shared" si="40"/>
        <v>2604893.3275020421</v>
      </c>
      <c r="AN52" s="2">
        <f t="shared" si="41"/>
        <v>-831358.73255793413</v>
      </c>
      <c r="AO52" s="2">
        <f t="shared" si="42"/>
        <v>362.5</v>
      </c>
      <c r="AU52" s="70"/>
      <c r="AV52" s="67">
        <v>-2.4012358386552801</v>
      </c>
      <c r="AW52" s="68"/>
      <c r="AX52" s="69"/>
      <c r="AY52" s="67">
        <v>0.149391545914075</v>
      </c>
      <c r="AZ52" s="68"/>
      <c r="BA52" s="69"/>
      <c r="BB52" s="67">
        <v>3.65120250353774</v>
      </c>
      <c r="BC52" s="68"/>
      <c r="BD52" s="69"/>
      <c r="BG52" s="2" t="s">
        <v>190</v>
      </c>
      <c r="BH52" s="2">
        <f xml:space="preserve"> BH50*COS(BH42) - BH51*SIN(BH42)</f>
        <v>1.1333066213804084</v>
      </c>
      <c r="BI52" s="2"/>
      <c r="BJ52" s="2"/>
      <c r="BK52" s="2" t="s">
        <v>190</v>
      </c>
      <c r="BL52" s="2">
        <f xml:space="preserve"> BL50*COS(BL42) - BL51*SIN(BL42)</f>
        <v>1.1035563604978975</v>
      </c>
      <c r="BM52" s="2"/>
      <c r="BO52" s="2">
        <v>14</v>
      </c>
      <c r="BP52" s="2">
        <f t="shared" si="35"/>
        <v>0.36931354458740756</v>
      </c>
      <c r="BQ52" s="2">
        <v>-2.7867920741253549E-4</v>
      </c>
      <c r="BR52" s="2">
        <f t="shared" si="36"/>
        <v>0.36965485531271214</v>
      </c>
      <c r="BS52" s="2">
        <v>8.1726413547533738E-4</v>
      </c>
      <c r="BT52" s="2">
        <f t="shared" si="27"/>
        <v>0.36948419995005988</v>
      </c>
      <c r="BU52" s="2">
        <v>2.6934494873854381E-4</v>
      </c>
      <c r="BV52" s="2">
        <f t="shared" si="28"/>
        <v>-7.5060836835027394E-8</v>
      </c>
      <c r="BW52" s="2">
        <f t="shared" si="29"/>
        <v>2.2012596667545507E-7</v>
      </c>
      <c r="BX52" s="2">
        <f t="shared" si="30"/>
        <v>3.4131072530457773E-4</v>
      </c>
      <c r="BZ52" s="2">
        <v>14</v>
      </c>
      <c r="CA52" s="2">
        <f t="shared" si="37"/>
        <v>0.33245198625451561</v>
      </c>
      <c r="CB52" s="2">
        <v>-3.0600976174143674E-4</v>
      </c>
      <c r="CC52" s="2">
        <f t="shared" si="38"/>
        <v>0.33279329697982019</v>
      </c>
      <c r="CD52" s="2">
        <v>6.9147040943041971E-4</v>
      </c>
      <c r="CE52" s="2">
        <f t="shared" si="31"/>
        <v>0.33262264161716792</v>
      </c>
      <c r="CF52" s="2">
        <v>1.9278234736047617E-4</v>
      </c>
      <c r="CG52" s="2">
        <f t="shared" si="32"/>
        <v>-5.8993280183734206E-8</v>
      </c>
      <c r="CH52" s="2">
        <f t="shared" si="33"/>
        <v>1.3330328866030586E-7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1071.9177143167781</v>
      </c>
      <c r="AI53" s="2">
        <f t="shared" si="44"/>
        <v>775</v>
      </c>
      <c r="AJ53" s="2">
        <v>-775.58073857173622</v>
      </c>
      <c r="AK53" s="2">
        <f t="shared" si="39"/>
        <v>684.375</v>
      </c>
      <c r="AL53" s="2">
        <v>209.32996633572611</v>
      </c>
      <c r="AM53" s="2">
        <f t="shared" si="40"/>
        <v>224384.49905259963</v>
      </c>
      <c r="AN53" s="2">
        <f t="shared" si="41"/>
        <v>-162352.28989585914</v>
      </c>
      <c r="AO53" s="2">
        <f t="shared" si="42"/>
        <v>181.25</v>
      </c>
      <c r="AU53" s="70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0.40769324444338079</v>
      </c>
      <c r="BI53" s="2"/>
      <c r="BJ53" s="2"/>
      <c r="BK53" s="2" t="s">
        <v>192</v>
      </c>
      <c r="BL53" s="2">
        <f xml:space="preserve"> BL50*SIN(BL42) + BL51*COS(BL42)</f>
        <v>0.37591741360905889</v>
      </c>
      <c r="BM53" s="2"/>
      <c r="BO53" s="2">
        <v>15</v>
      </c>
      <c r="BP53" s="2">
        <f t="shared" si="35"/>
        <v>0.36931354458740756</v>
      </c>
      <c r="BQ53" s="2">
        <v>-2.7867920741253549E-4</v>
      </c>
      <c r="BR53" s="2">
        <f t="shared" si="36"/>
        <v>0.36948419995005988</v>
      </c>
      <c r="BS53" s="2">
        <v>2.6934494873854381E-4</v>
      </c>
      <c r="BT53" s="2">
        <f t="shared" si="27"/>
        <v>0.36939887226873369</v>
      </c>
      <c r="BU53" s="2">
        <v>-4.6540174359899211E-6</v>
      </c>
      <c r="BV53" s="2">
        <f t="shared" si="28"/>
        <v>1.2969778903457918E-9</v>
      </c>
      <c r="BW53" s="2">
        <f t="shared" si="29"/>
        <v>-1.2535360877249944E-9</v>
      </c>
      <c r="BX53" s="2">
        <f t="shared" si="30"/>
        <v>1.7065536265231662E-4</v>
      </c>
      <c r="BZ53" s="2">
        <v>15</v>
      </c>
      <c r="CA53" s="2">
        <f t="shared" si="37"/>
        <v>0.33245198625451561</v>
      </c>
      <c r="CB53" s="2">
        <v>-3.0600976174143674E-4</v>
      </c>
      <c r="CC53" s="2">
        <f t="shared" si="38"/>
        <v>0.33262264161716792</v>
      </c>
      <c r="CD53" s="2">
        <v>1.9278234736047617E-4</v>
      </c>
      <c r="CE53" s="2">
        <f t="shared" si="31"/>
        <v>0.33253731393584174</v>
      </c>
      <c r="CF53" s="2">
        <v>-5.6600705647405491E-5</v>
      </c>
      <c r="CG53" s="2">
        <f t="shared" si="32"/>
        <v>1.7320368449559746E-8</v>
      </c>
      <c r="CH53" s="2">
        <f t="shared" si="33"/>
        <v>-1.091161689696619E-8</v>
      </c>
      <c r="CI53" s="2">
        <f t="shared" si="34"/>
        <v>1.7065536265231662E-4</v>
      </c>
    </row>
    <row r="54" spans="2:87" x14ac:dyDescent="0.2">
      <c r="B54" s="58" t="s">
        <v>253</v>
      </c>
      <c r="C54" s="58"/>
      <c r="D54" s="58"/>
      <c r="AF54" s="2">
        <v>5</v>
      </c>
      <c r="AG54" s="2">
        <f t="shared" si="43"/>
        <v>684.375</v>
      </c>
      <c r="AH54" s="2">
        <v>209.32996633572611</v>
      </c>
      <c r="AI54" s="2">
        <f t="shared" si="44"/>
        <v>775</v>
      </c>
      <c r="AJ54" s="2">
        <v>-775.58073857173622</v>
      </c>
      <c r="AK54" s="2">
        <f t="shared" si="39"/>
        <v>729.6875</v>
      </c>
      <c r="AL54" s="2">
        <v>-267.83501650220387</v>
      </c>
      <c r="AM54" s="2">
        <f t="shared" si="40"/>
        <v>-56065.894987934982</v>
      </c>
      <c r="AN54" s="2">
        <f t="shared" si="41"/>
        <v>207727.67991415242</v>
      </c>
      <c r="AO54" s="2">
        <f t="shared" si="42"/>
        <v>90.625</v>
      </c>
      <c r="AU54" s="70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1.1369726566304843</v>
      </c>
      <c r="BI54" s="2"/>
      <c r="BJ54" s="2"/>
      <c r="BK54" s="2" t="s">
        <v>38</v>
      </c>
      <c r="BL54" s="2">
        <f xml:space="preserve"> 4*BL49*SIN(BL42)*SIN(BL42) / (BL46*BL52)</f>
        <v>1.1247211654139433</v>
      </c>
      <c r="BM54" s="2"/>
      <c r="BO54" s="2">
        <v>16</v>
      </c>
      <c r="BP54" s="2">
        <f t="shared" si="35"/>
        <v>0.36939887226873369</v>
      </c>
      <c r="BQ54" s="2">
        <v>-4.6540174359899211E-6</v>
      </c>
      <c r="BR54" s="2">
        <f t="shared" si="36"/>
        <v>0.36948419995005988</v>
      </c>
      <c r="BS54" s="2">
        <v>2.6934494873854381E-4</v>
      </c>
      <c r="BT54" s="2">
        <f t="shared" si="27"/>
        <v>0.36944153610939678</v>
      </c>
      <c r="BU54" s="2">
        <v>1.3234874478709052E-4</v>
      </c>
      <c r="BV54" s="2">
        <f t="shared" si="28"/>
        <v>-6.1595336587049947E-10</v>
      </c>
      <c r="BW54" s="2">
        <f t="shared" si="29"/>
        <v>3.5647465880289513E-8</v>
      </c>
      <c r="BX54" s="2">
        <f t="shared" si="30"/>
        <v>8.5327681326186067E-5</v>
      </c>
      <c r="BZ54" s="2">
        <v>16</v>
      </c>
      <c r="CA54" s="2">
        <f t="shared" si="37"/>
        <v>0.33253731393584174</v>
      </c>
      <c r="CB54" s="2">
        <v>-5.6600705647405491E-5</v>
      </c>
      <c r="CC54" s="2">
        <f t="shared" si="38"/>
        <v>0.33262264161716792</v>
      </c>
      <c r="CD54" s="2">
        <v>1.9278234736047617E-4</v>
      </c>
      <c r="CE54" s="2">
        <f t="shared" si="31"/>
        <v>0.33257997777650483</v>
      </c>
      <c r="CF54" s="2">
        <v>6.8094071784749466E-5</v>
      </c>
      <c r="CG54" s="2">
        <f t="shared" si="32"/>
        <v>-3.8541725134219043E-9</v>
      </c>
      <c r="CH54" s="2">
        <f t="shared" si="33"/>
        <v>1.3127334999996771E-8</v>
      </c>
      <c r="CI54" s="2">
        <f t="shared" si="34"/>
        <v>8.5327681326186067E-5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684.375</v>
      </c>
      <c r="AH55" s="2">
        <v>209.32996633572611</v>
      </c>
      <c r="AI55" s="2">
        <f t="shared" si="44"/>
        <v>729.6875</v>
      </c>
      <c r="AJ55" s="2">
        <v>-267.83501650220387</v>
      </c>
      <c r="AK55" s="2">
        <f t="shared" si="39"/>
        <v>707.03125</v>
      </c>
      <c r="AL55" s="2">
        <v>-25.429932679288868</v>
      </c>
      <c r="AM55" s="2">
        <f t="shared" si="40"/>
        <v>-5323.2469516753199</v>
      </c>
      <c r="AN55" s="2">
        <f t="shared" si="41"/>
        <v>6811.0264388072674</v>
      </c>
      <c r="AO55" s="2">
        <f t="shared" si="42"/>
        <v>45.3125</v>
      </c>
      <c r="AU55" s="71"/>
      <c r="AV55" s="67">
        <v>-1.5880058514071E-2</v>
      </c>
      <c r="AW55" s="68"/>
      <c r="AX55" s="69"/>
      <c r="AY55" s="68">
        <v>0.110802661807325</v>
      </c>
      <c r="AZ55" s="68"/>
      <c r="BA55" s="68"/>
      <c r="BB55" s="67">
        <v>7.4721088420790002E-3</v>
      </c>
      <c r="BC55" s="68"/>
      <c r="BD55" s="69"/>
      <c r="BG55" s="2" t="s">
        <v>194</v>
      </c>
      <c r="BH55" s="2">
        <f xml:space="preserve"> 4*BH49*SIN(BH42)*COS(BH42) / (BH46*BH53)</f>
        <v>10.031205146247878</v>
      </c>
      <c r="BI55" s="2"/>
      <c r="BJ55" s="2"/>
      <c r="BK55" s="2" t="s">
        <v>194</v>
      </c>
      <c r="BL55" s="2">
        <f xml:space="preserve"> 4*BL49*SIN(BL42)*COS(BL42) / (BL46*BL53)</f>
        <v>11.208372111828742</v>
      </c>
      <c r="BM55" s="2"/>
      <c r="BO55" s="2">
        <v>17</v>
      </c>
      <c r="BP55" s="2">
        <f t="shared" si="35"/>
        <v>0.36939887226873369</v>
      </c>
      <c r="BQ55" s="2">
        <v>-4.6540174359899211E-6</v>
      </c>
      <c r="BR55" s="2">
        <f t="shared" si="36"/>
        <v>0.36944153610939678</v>
      </c>
      <c r="BS55" s="2">
        <v>1.3234874478709052E-4</v>
      </c>
      <c r="BT55" s="2">
        <f t="shared" si="27"/>
        <v>0.36942020418906524</v>
      </c>
      <c r="BU55" s="2">
        <v>6.3848183314597906E-5</v>
      </c>
      <c r="BV55" s="2">
        <f t="shared" si="28"/>
        <v>-2.9715055840241941E-10</v>
      </c>
      <c r="BW55" s="2">
        <f t="shared" si="29"/>
        <v>8.4502269186230905E-9</v>
      </c>
      <c r="BX55" s="2">
        <f t="shared" si="30"/>
        <v>4.2663840663093033E-5</v>
      </c>
      <c r="BZ55" s="2">
        <v>17</v>
      </c>
      <c r="CA55" s="2">
        <f t="shared" si="37"/>
        <v>0.33253731393584174</v>
      </c>
      <c r="CB55" s="2">
        <v>-5.6600705647405491E-5</v>
      </c>
      <c r="CC55" s="2">
        <f t="shared" si="38"/>
        <v>0.33257997777650483</v>
      </c>
      <c r="CD55" s="2">
        <v>6.8094071784749466E-5</v>
      </c>
      <c r="CE55" s="2">
        <f t="shared" si="31"/>
        <v>0.33255864585617328</v>
      </c>
      <c r="CF55" s="2">
        <v>5.7474957328024212E-6</v>
      </c>
      <c r="CG55" s="2">
        <f t="shared" si="32"/>
        <v>-3.2531231418206898E-10</v>
      </c>
      <c r="CH55" s="2">
        <f t="shared" si="33"/>
        <v>3.9137038701198932E-10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684.375</v>
      </c>
      <c r="AH56" s="2">
        <v>209.32996633572611</v>
      </c>
      <c r="AI56" s="2">
        <f t="shared" si="44"/>
        <v>707.03125</v>
      </c>
      <c r="AJ56" s="2">
        <v>-25.429932679288868</v>
      </c>
      <c r="AK56" s="2">
        <f t="shared" si="39"/>
        <v>695.703125</v>
      </c>
      <c r="AL56" s="2">
        <v>92.905664929205159</v>
      </c>
      <c r="AM56" s="2">
        <f t="shared" si="40"/>
        <v>19447.939712028765</v>
      </c>
      <c r="AN56" s="2">
        <f t="shared" si="41"/>
        <v>-2362.5848046742558</v>
      </c>
      <c r="AO56" s="2">
        <f t="shared" si="42"/>
        <v>22.65625</v>
      </c>
      <c r="BG56" s="2" t="s">
        <v>45</v>
      </c>
      <c r="BH56" s="2">
        <f>1/(BH54-1)</f>
        <v>7.3007272005954684</v>
      </c>
      <c r="BI56" s="2"/>
      <c r="BJ56" s="2"/>
      <c r="BK56" s="2" t="s">
        <v>45</v>
      </c>
      <c r="BL56" s="2">
        <f>1/(BL54-1)</f>
        <v>8.0178853098513798</v>
      </c>
      <c r="BM56" s="2"/>
      <c r="BO56" s="2">
        <v>18</v>
      </c>
      <c r="BP56" s="2">
        <f t="shared" si="35"/>
        <v>0.36939887226873369</v>
      </c>
      <c r="BQ56" s="2">
        <v>-4.6540174359899211E-6</v>
      </c>
      <c r="BR56" s="2">
        <f t="shared" si="36"/>
        <v>0.36942020418906524</v>
      </c>
      <c r="BS56" s="2">
        <v>6.3848183314597906E-5</v>
      </c>
      <c r="BT56" s="2">
        <f t="shared" si="27"/>
        <v>0.36940953822889944</v>
      </c>
      <c r="BU56" s="2">
        <v>2.9597287830876451E-5</v>
      </c>
      <c r="BV56" s="2">
        <f t="shared" si="28"/>
        <v>-1.3774629362291132E-10</v>
      </c>
      <c r="BW56" s="2">
        <f t="shared" si="29"/>
        <v>1.8897330590407176E-9</v>
      </c>
      <c r="BX56" s="2">
        <f t="shared" si="30"/>
        <v>2.1331920331546517E-5</v>
      </c>
      <c r="BZ56" s="2">
        <v>18</v>
      </c>
      <c r="CA56" s="2">
        <f t="shared" si="37"/>
        <v>0.33253731393584174</v>
      </c>
      <c r="CB56" s="2">
        <v>-5.6600705647405491E-5</v>
      </c>
      <c r="CC56" s="2">
        <f t="shared" si="38"/>
        <v>0.33255864585617328</v>
      </c>
      <c r="CD56" s="2">
        <v>5.7474957328024212E-6</v>
      </c>
      <c r="CE56" s="2">
        <f t="shared" si="31"/>
        <v>0.33254797989600748</v>
      </c>
      <c r="CF56" s="2">
        <v>-2.5426401799748255E-5</v>
      </c>
      <c r="CG56" s="2">
        <f t="shared" si="32"/>
        <v>1.4391522839402121E-9</v>
      </c>
      <c r="CH56" s="2">
        <f t="shared" si="33"/>
        <v>-1.461381358445729E-10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695.703125</v>
      </c>
      <c r="AH57" s="2">
        <v>92.905664929205159</v>
      </c>
      <c r="AI57" s="2">
        <f t="shared" si="44"/>
        <v>707.03125</v>
      </c>
      <c r="AJ57" s="2">
        <v>-25.429932679288868</v>
      </c>
      <c r="AK57" s="2">
        <f t="shared" si="39"/>
        <v>701.3671875</v>
      </c>
      <c r="AL57" s="2">
        <v>33.976778150205519</v>
      </c>
      <c r="AM57" s="2">
        <f t="shared" si="40"/>
        <v>3156.6351661969329</v>
      </c>
      <c r="AN57" s="2">
        <f t="shared" si="41"/>
        <v>-864.02718101885932</v>
      </c>
      <c r="AO57" s="2">
        <f t="shared" si="42"/>
        <v>11.328125</v>
      </c>
      <c r="BG57" s="2" t="s">
        <v>197</v>
      </c>
      <c r="BH57" s="2">
        <f>1/(BH55+1)</f>
        <v>9.0651926670055366E-2</v>
      </c>
      <c r="BI57" s="2"/>
      <c r="BJ57" s="2"/>
      <c r="BK57" s="2" t="s">
        <v>197</v>
      </c>
      <c r="BL57" s="2">
        <f>1/(BL55+1)</f>
        <v>8.1911002616892367E-2</v>
      </c>
      <c r="BM57" s="2"/>
      <c r="BO57" s="2">
        <v>19</v>
      </c>
      <c r="BP57" s="2">
        <f t="shared" si="35"/>
        <v>0.36939887226873369</v>
      </c>
      <c r="BQ57" s="2">
        <v>-4.6540174359899211E-6</v>
      </c>
      <c r="BR57" s="2">
        <f t="shared" si="36"/>
        <v>0.36940953822889944</v>
      </c>
      <c r="BS57" s="2">
        <v>2.9597287830876451E-5</v>
      </c>
      <c r="BT57" s="2">
        <f t="shared" si="27"/>
        <v>0.36940420524881656</v>
      </c>
      <c r="BU57" s="2">
        <v>1.247168641818619E-5</v>
      </c>
      <c r="BV57" s="2">
        <f t="shared" si="28"/>
        <v>-5.8043446046437215E-11</v>
      </c>
      <c r="BW57" s="2">
        <f t="shared" si="29"/>
        <v>3.691280926554892E-10</v>
      </c>
      <c r="BX57" s="2">
        <f t="shared" si="30"/>
        <v>1.0665960165745503E-5</v>
      </c>
      <c r="BZ57" s="2">
        <v>19</v>
      </c>
      <c r="CA57" s="2">
        <f t="shared" si="37"/>
        <v>0.33254797989600748</v>
      </c>
      <c r="CB57" s="2">
        <v>-2.5426401799748255E-5</v>
      </c>
      <c r="CC57" s="2">
        <f t="shared" si="38"/>
        <v>0.33255864585617328</v>
      </c>
      <c r="CD57" s="2">
        <v>5.7474957328024212E-6</v>
      </c>
      <c r="CE57" s="2">
        <f t="shared" si="31"/>
        <v>0.33255331287609036</v>
      </c>
      <c r="CF57" s="2">
        <v>-9.8394022429587613E-6</v>
      </c>
      <c r="CG57" s="2">
        <f t="shared" si="32"/>
        <v>2.5018059489881365E-10</v>
      </c>
      <c r="CH57" s="2">
        <f t="shared" si="33"/>
        <v>-5.6551922404732054E-11</v>
      </c>
      <c r="CI57" s="2">
        <f t="shared" si="34"/>
        <v>1.0665960165801014E-5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701.3671875</v>
      </c>
      <c r="AH58" s="2">
        <v>33.976778150205519</v>
      </c>
      <c r="AI58" s="2">
        <f t="shared" si="44"/>
        <v>707.03125</v>
      </c>
      <c r="AJ58" s="2">
        <v>-25.429932679288868</v>
      </c>
      <c r="AK58" s="2">
        <f t="shared" si="39"/>
        <v>704.19921875</v>
      </c>
      <c r="AL58" s="2">
        <v>4.3331507417697139</v>
      </c>
      <c r="AM58" s="2">
        <f t="shared" si="40"/>
        <v>147.22650144450805</v>
      </c>
      <c r="AN58" s="2">
        <f t="shared" si="41"/>
        <v>-110.19173165241445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-5.6457712810376037E-9</v>
      </c>
      <c r="BI58" s="40"/>
      <c r="BJ58" s="2"/>
      <c r="BK58" s="7" t="s">
        <v>199</v>
      </c>
      <c r="BL58" s="40">
        <f>SIN(BL42)/(1+BL56) - $AR$3*COS(BL42)/($AV$5*$AR$24*(1-BL57))</f>
        <v>-3.968280197497176E-9</v>
      </c>
      <c r="BM58" s="40"/>
      <c r="BO58" s="2">
        <v>20</v>
      </c>
      <c r="BP58" s="2">
        <f t="shared" si="35"/>
        <v>0.36939887226873369</v>
      </c>
      <c r="BQ58" s="2">
        <v>-4.6540174359899211E-6</v>
      </c>
      <c r="BR58" s="2">
        <f t="shared" si="36"/>
        <v>0.36940420524881656</v>
      </c>
      <c r="BS58" s="2">
        <v>1.247168641818619E-5</v>
      </c>
      <c r="BT58" s="2">
        <f t="shared" si="27"/>
        <v>0.36940153875877513</v>
      </c>
      <c r="BU58" s="2">
        <v>3.908847296105189E-6</v>
      </c>
      <c r="BV58" s="2">
        <f t="shared" si="28"/>
        <v>-1.8191843470695607E-11</v>
      </c>
      <c r="BW58" s="2">
        <f t="shared" si="29"/>
        <v>4.8749917733598895E-11</v>
      </c>
      <c r="BX58" s="2">
        <f t="shared" si="30"/>
        <v>5.3329800828727514E-6</v>
      </c>
      <c r="BZ58" s="2">
        <v>20</v>
      </c>
      <c r="CA58" s="2">
        <f t="shared" si="37"/>
        <v>0.33255331287609036</v>
      </c>
      <c r="CB58" s="2">
        <v>-9.8394022429587613E-6</v>
      </c>
      <c r="CC58" s="2">
        <f t="shared" si="38"/>
        <v>0.33255864585617328</v>
      </c>
      <c r="CD58" s="2">
        <v>5.7474957328024212E-6</v>
      </c>
      <c r="CE58" s="2">
        <f t="shared" si="31"/>
        <v>0.33255597936613179</v>
      </c>
      <c r="CF58" s="2">
        <v>-2.045940557353354E-6</v>
      </c>
      <c r="CG58" s="2">
        <f t="shared" si="32"/>
        <v>2.0130832108982889E-11</v>
      </c>
      <c r="CH58" s="2">
        <f t="shared" si="33"/>
        <v>-1.175903462295581E-11</v>
      </c>
      <c r="CI58" s="2">
        <f t="shared" si="34"/>
        <v>5.3329800829282625E-6</v>
      </c>
    </row>
    <row r="59" spans="2:87" x14ac:dyDescent="0.2">
      <c r="AF59" s="2">
        <v>10</v>
      </c>
      <c r="AG59" s="2">
        <f t="shared" si="43"/>
        <v>704.19921875</v>
      </c>
      <c r="AH59" s="2">
        <v>4.3331507417697139</v>
      </c>
      <c r="AI59" s="2">
        <f t="shared" si="44"/>
        <v>707.03125</v>
      </c>
      <c r="AJ59" s="2">
        <v>-25.429932679288868</v>
      </c>
      <c r="AK59" s="2">
        <f t="shared" si="39"/>
        <v>705.615234375</v>
      </c>
      <c r="AL59" s="2">
        <v>-10.533458967181105</v>
      </c>
      <c r="AM59" s="2">
        <f t="shared" si="40"/>
        <v>-45.64306553704165</v>
      </c>
      <c r="AN59" s="2">
        <f t="shared" si="41"/>
        <v>267.86515241546715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0.36939887226873369</v>
      </c>
      <c r="BQ59" s="2">
        <v>-4.6540174359899211E-6</v>
      </c>
      <c r="BR59" s="2">
        <f t="shared" si="36"/>
        <v>0.36940153875877513</v>
      </c>
      <c r="BS59" s="2">
        <v>3.908847296105189E-6</v>
      </c>
      <c r="BT59" s="2">
        <f t="shared" si="27"/>
        <v>0.36940020551375441</v>
      </c>
      <c r="BU59" s="2">
        <v>-3.7258186872529686E-7</v>
      </c>
      <c r="BV59" s="2">
        <f t="shared" si="28"/>
        <v>1.7340025133812395E-12</v>
      </c>
      <c r="BW59" s="2">
        <f t="shared" si="29"/>
        <v>-1.4563656301446951E-12</v>
      </c>
      <c r="BX59" s="2">
        <f t="shared" si="30"/>
        <v>2.6664900414363757E-6</v>
      </c>
      <c r="BZ59" s="2">
        <v>21</v>
      </c>
      <c r="CA59" s="2">
        <f t="shared" si="37"/>
        <v>0.33255597936613179</v>
      </c>
      <c r="CB59" s="2">
        <v>-2.045940557353354E-6</v>
      </c>
      <c r="CC59" s="2">
        <f t="shared" si="38"/>
        <v>0.33255864585617328</v>
      </c>
      <c r="CD59" s="2">
        <v>5.7474957328024212E-6</v>
      </c>
      <c r="CE59" s="2">
        <f t="shared" si="31"/>
        <v>0.33255731261115251</v>
      </c>
      <c r="CF59" s="2">
        <v>1.8507807622442085E-6</v>
      </c>
      <c r="CG59" s="2">
        <f t="shared" si="32"/>
        <v>-3.7865874242447817E-12</v>
      </c>
      <c r="CH59" s="2">
        <f t="shared" si="33"/>
        <v>1.0637354533351402E-11</v>
      </c>
      <c r="CI59" s="2">
        <f t="shared" si="34"/>
        <v>2.6664900414918868E-6</v>
      </c>
    </row>
    <row r="60" spans="2:87" x14ac:dyDescent="0.2">
      <c r="B60" s="54" t="s">
        <v>2</v>
      </c>
      <c r="C60" s="57"/>
      <c r="D60" s="57"/>
      <c r="AF60" s="2">
        <v>11</v>
      </c>
      <c r="AG60" s="2">
        <f t="shared" si="43"/>
        <v>704.19921875</v>
      </c>
      <c r="AH60" s="2">
        <v>4.3331507417697139</v>
      </c>
      <c r="AI60" s="2">
        <f t="shared" si="44"/>
        <v>705.615234375</v>
      </c>
      <c r="AJ60" s="2">
        <v>-10.533458967181105</v>
      </c>
      <c r="AK60" s="2">
        <f t="shared" si="39"/>
        <v>704.9072265625</v>
      </c>
      <c r="AL60" s="2">
        <v>-3.0964211123109635</v>
      </c>
      <c r="AM60" s="2">
        <f t="shared" si="40"/>
        <v>-13.417259439641654</v>
      </c>
      <c r="AN60" s="2">
        <f t="shared" si="41"/>
        <v>32.616024731640806</v>
      </c>
      <c r="AO60" s="2">
        <f t="shared" si="42"/>
        <v>1.416015625</v>
      </c>
      <c r="BG60" s="62" t="s">
        <v>206</v>
      </c>
      <c r="BH60" s="62"/>
      <c r="BI60" s="62"/>
      <c r="BJ60" s="2"/>
      <c r="BK60" s="62" t="s">
        <v>220</v>
      </c>
      <c r="BL60" s="62"/>
      <c r="BM60" s="62"/>
      <c r="BO60" s="2">
        <v>22</v>
      </c>
      <c r="BP60" s="2">
        <f t="shared" si="35"/>
        <v>0.36940020551375441</v>
      </c>
      <c r="BQ60" s="2">
        <v>-3.7258186872529686E-7</v>
      </c>
      <c r="BR60" s="2">
        <f t="shared" si="36"/>
        <v>0.36940153875877513</v>
      </c>
      <c r="BS60" s="2">
        <v>3.908847296105189E-6</v>
      </c>
      <c r="BT60" s="2">
        <f t="shared" si="27"/>
        <v>0.36940087213626477</v>
      </c>
      <c r="BU60" s="2">
        <v>1.7681335138935994E-6</v>
      </c>
      <c r="BV60" s="2">
        <f t="shared" si="28"/>
        <v>-6.5877448876230295E-13</v>
      </c>
      <c r="BW60" s="2">
        <f t="shared" si="29"/>
        <v>6.9113639049359628E-12</v>
      </c>
      <c r="BX60" s="2">
        <f t="shared" si="30"/>
        <v>1.3332450207181878E-6</v>
      </c>
      <c r="BZ60" s="2">
        <v>22</v>
      </c>
      <c r="CA60" s="2">
        <f t="shared" si="37"/>
        <v>0.33255597936613179</v>
      </c>
      <c r="CB60" s="2">
        <v>-2.045940557353354E-6</v>
      </c>
      <c r="CC60" s="2">
        <f t="shared" si="38"/>
        <v>0.33255731261115251</v>
      </c>
      <c r="CD60" s="2">
        <v>1.8507807622442085E-6</v>
      </c>
      <c r="CE60" s="2">
        <f t="shared" si="31"/>
        <v>0.33255664598864215</v>
      </c>
      <c r="CF60" s="2">
        <v>-9.7579103922051935E-8</v>
      </c>
      <c r="CG60" s="2">
        <f t="shared" si="32"/>
        <v>1.9964104626432378E-13</v>
      </c>
      <c r="CH60" s="2">
        <f t="shared" si="33"/>
        <v>-1.8059752833596213E-13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704.19921875</v>
      </c>
      <c r="AH61" s="2">
        <v>4.3331507417697139</v>
      </c>
      <c r="AI61" s="2">
        <f t="shared" si="44"/>
        <v>704.9072265625</v>
      </c>
      <c r="AJ61" s="2">
        <v>-3.0964211123109635</v>
      </c>
      <c r="AK61" s="2">
        <f t="shared" si="39"/>
        <v>704.55322265625</v>
      </c>
      <c r="AL61" s="2">
        <v>0.61929806482794447</v>
      </c>
      <c r="AM61" s="2">
        <f t="shared" si="40"/>
        <v>2.683511868985756</v>
      </c>
      <c r="AN61" s="2">
        <f t="shared" si="41"/>
        <v>-1.9176076027465709</v>
      </c>
      <c r="AO61" s="2">
        <f t="shared" si="42"/>
        <v>0.7080078125</v>
      </c>
      <c r="BG61" s="28" t="s">
        <v>154</v>
      </c>
      <c r="BH61" s="29">
        <f>BT136</f>
        <v>0.27815835083147056</v>
      </c>
      <c r="BI61" s="5" t="s">
        <v>155</v>
      </c>
      <c r="BJ61" s="2"/>
      <c r="BK61" s="28" t="s">
        <v>154</v>
      </c>
      <c r="BL61" s="29">
        <f>CE136</f>
        <v>0.29322512886713831</v>
      </c>
      <c r="BM61" s="5" t="s">
        <v>155</v>
      </c>
      <c r="BO61" s="2">
        <v>23</v>
      </c>
      <c r="BP61" s="2">
        <f t="shared" si="35"/>
        <v>0.36940020551375441</v>
      </c>
      <c r="BQ61" s="2">
        <v>-3.7258186872529686E-7</v>
      </c>
      <c r="BR61" s="2">
        <f t="shared" si="36"/>
        <v>0.36940087213626477</v>
      </c>
      <c r="BS61" s="2">
        <v>1.7681335138935994E-6</v>
      </c>
      <c r="BT61" s="2">
        <f t="shared" si="27"/>
        <v>0.36940053882500956</v>
      </c>
      <c r="BU61" s="2">
        <v>6.9777602267756533E-7</v>
      </c>
      <c r="BV61" s="2">
        <f t="shared" si="28"/>
        <v>-2.5997869448091239E-13</v>
      </c>
      <c r="BW61" s="2">
        <f t="shared" si="29"/>
        <v>1.2337611708875836E-12</v>
      </c>
      <c r="BX61" s="2">
        <f t="shared" si="30"/>
        <v>6.6662251035909392E-7</v>
      </c>
      <c r="BZ61" s="2">
        <v>23</v>
      </c>
      <c r="CA61" s="2">
        <f t="shared" si="37"/>
        <v>0.33255664598864215</v>
      </c>
      <c r="CB61" s="2">
        <v>-9.7579103922051935E-8</v>
      </c>
      <c r="CC61" s="2">
        <f t="shared" si="38"/>
        <v>0.33255731261115251</v>
      </c>
      <c r="CD61" s="2">
        <v>1.8507807622442085E-6</v>
      </c>
      <c r="CE61" s="2">
        <f t="shared" si="31"/>
        <v>0.33255697929989736</v>
      </c>
      <c r="CF61" s="2">
        <v>8.7660102755793279E-7</v>
      </c>
      <c r="CG61" s="2">
        <f t="shared" si="32"/>
        <v>-8.5537942766253034E-14</v>
      </c>
      <c r="CH61" s="2">
        <f t="shared" si="33"/>
        <v>1.6223963179677272E-12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704.55322265625</v>
      </c>
      <c r="AH62" s="2">
        <v>0.61929806482794447</v>
      </c>
      <c r="AI62" s="2">
        <f t="shared" si="44"/>
        <v>704.9072265625</v>
      </c>
      <c r="AJ62" s="2">
        <v>-3.0964211123109635</v>
      </c>
      <c r="AK62" s="2">
        <f t="shared" si="39"/>
        <v>704.730224609375</v>
      </c>
      <c r="AL62" s="2">
        <v>-1.2383282112168672</v>
      </c>
      <c r="AM62" s="2">
        <f t="shared" si="40"/>
        <v>-0.76689426482845591</v>
      </c>
      <c r="AN62" s="2">
        <f t="shared" si="41"/>
        <v>3.8343856171821775</v>
      </c>
      <c r="AO62" s="2">
        <f t="shared" si="42"/>
        <v>0.35400390625</v>
      </c>
      <c r="BG62" s="2" t="s">
        <v>159</v>
      </c>
      <c r="BH62" s="2">
        <f>($AR$41+$AR$5)/180*PI()</f>
        <v>0.41663327919902671</v>
      </c>
      <c r="BI62" s="2" t="s">
        <v>155</v>
      </c>
      <c r="BJ62" s="2"/>
      <c r="BK62" s="2" t="s">
        <v>159</v>
      </c>
      <c r="BL62" s="2">
        <f>($AR$42+$AR$5)/180*PI()</f>
        <v>0.3907805896538607</v>
      </c>
      <c r="BM62" s="2" t="s">
        <v>155</v>
      </c>
      <c r="BO62" s="2">
        <v>24</v>
      </c>
      <c r="BP62" s="2">
        <f t="shared" si="35"/>
        <v>0.36940020551375441</v>
      </c>
      <c r="BQ62" s="2">
        <v>-3.7258186872529686E-7</v>
      </c>
      <c r="BR62" s="2">
        <f t="shared" si="36"/>
        <v>0.36940053882500956</v>
      </c>
      <c r="BS62" s="2">
        <v>6.9777602267756533E-7</v>
      </c>
      <c r="BT62" s="2">
        <f t="shared" si="27"/>
        <v>0.36940037216938199</v>
      </c>
      <c r="BU62" s="2">
        <v>1.6259712692923145E-7</v>
      </c>
      <c r="BV62" s="2">
        <f t="shared" si="28"/>
        <v>-6.0580741400657346E-14</v>
      </c>
      <c r="BW62" s="2">
        <f t="shared" si="29"/>
        <v>1.1345637652747837E-13</v>
      </c>
      <c r="BX62" s="2">
        <f t="shared" si="30"/>
        <v>3.3331125515179139E-7</v>
      </c>
      <c r="BZ62" s="2">
        <v>24</v>
      </c>
      <c r="CA62" s="2">
        <f t="shared" si="37"/>
        <v>0.33255664598864215</v>
      </c>
      <c r="CB62" s="2">
        <v>-9.7579103922051935E-8</v>
      </c>
      <c r="CC62" s="2">
        <f t="shared" si="38"/>
        <v>0.33255697929989736</v>
      </c>
      <c r="CD62" s="2">
        <v>8.7660102755793279E-7</v>
      </c>
      <c r="CE62" s="2">
        <f t="shared" si="31"/>
        <v>0.33255681264426973</v>
      </c>
      <c r="CF62" s="2">
        <v>3.8951101130613175E-7</v>
      </c>
      <c r="CG62" s="2">
        <f t="shared" si="32"/>
        <v>-3.8008135451024579E-14</v>
      </c>
      <c r="CH62" s="2">
        <f t="shared" si="33"/>
        <v>3.4144575275608466E-13</v>
      </c>
      <c r="CI62" s="2">
        <f t="shared" si="34"/>
        <v>3.3331125520730254E-7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704.55322265625</v>
      </c>
      <c r="AH63" s="2">
        <v>0.61929806482794447</v>
      </c>
      <c r="AI63" s="2">
        <f t="shared" si="44"/>
        <v>704.730224609375</v>
      </c>
      <c r="AJ63" s="2">
        <v>-1.2383282112168672</v>
      </c>
      <c r="AK63" s="2">
        <f t="shared" si="39"/>
        <v>704.6417236328125</v>
      </c>
      <c r="AL63" s="2">
        <v>-0.30945674506438081</v>
      </c>
      <c r="AM63" s="2">
        <f t="shared" si="40"/>
        <v>-0.19164596336632558</v>
      </c>
      <c r="AN63" s="2">
        <f t="shared" si="41"/>
        <v>0.38320901756456877</v>
      </c>
      <c r="AO63" s="2">
        <f t="shared" si="42"/>
        <v>0.177001953125</v>
      </c>
      <c r="BG63" s="2" t="s">
        <v>28</v>
      </c>
      <c r="BH63" s="2">
        <f>BH62-BH61</f>
        <v>0.13847492836755615</v>
      </c>
      <c r="BI63" s="2" t="s">
        <v>155</v>
      </c>
      <c r="BJ63" s="2"/>
      <c r="BK63" s="2" t="s">
        <v>28</v>
      </c>
      <c r="BL63" s="2">
        <f>BL62-BL61</f>
        <v>9.7555460786722392E-2</v>
      </c>
      <c r="BM63" s="2" t="s">
        <v>155</v>
      </c>
      <c r="BO63" s="2">
        <v>25</v>
      </c>
      <c r="BP63" s="2">
        <f t="shared" si="35"/>
        <v>0.36940020551375441</v>
      </c>
      <c r="BQ63" s="2">
        <v>-3.7258186872529686E-7</v>
      </c>
      <c r="BR63" s="2">
        <f t="shared" si="36"/>
        <v>0.36940037216938199</v>
      </c>
      <c r="BS63" s="2">
        <v>1.6259712692923145E-7</v>
      </c>
      <c r="BT63" s="2">
        <f t="shared" si="27"/>
        <v>0.36940028884156817</v>
      </c>
      <c r="BU63" s="2">
        <v>-1.0499235839067644E-7</v>
      </c>
      <c r="BV63" s="2">
        <f t="shared" si="28"/>
        <v>3.9118249091074333E-14</v>
      </c>
      <c r="BW63" s="2">
        <f t="shared" si="29"/>
        <v>-1.7071455823848177E-14</v>
      </c>
      <c r="BX63" s="2">
        <f t="shared" si="30"/>
        <v>1.6665562757589569E-7</v>
      </c>
      <c r="BZ63" s="2">
        <v>25</v>
      </c>
      <c r="CA63" s="2">
        <f t="shared" si="37"/>
        <v>0.33255664598864215</v>
      </c>
      <c r="CB63" s="2">
        <v>-9.7579103922051935E-8</v>
      </c>
      <c r="CC63" s="2">
        <f t="shared" si="38"/>
        <v>0.33255681264426973</v>
      </c>
      <c r="CD63" s="2">
        <v>3.8951101130613175E-7</v>
      </c>
      <c r="CE63" s="2">
        <f t="shared" si="31"/>
        <v>0.33255672931645597</v>
      </c>
      <c r="CF63" s="2">
        <v>1.459659661057211E-7</v>
      </c>
      <c r="CG63" s="2">
        <f t="shared" si="32"/>
        <v>-1.424322817571287E-14</v>
      </c>
      <c r="CH63" s="2">
        <f t="shared" si="33"/>
        <v>5.6855351074115976E-14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704.55322265625</v>
      </c>
      <c r="AH64" s="2">
        <v>0.61929806482794447</v>
      </c>
      <c r="AI64" s="2">
        <f t="shared" si="44"/>
        <v>704.6417236328125</v>
      </c>
      <c r="AJ64" s="2">
        <v>-0.30945674506438081</v>
      </c>
      <c r="AK64" s="2">
        <f t="shared" si="39"/>
        <v>704.59747314453125</v>
      </c>
      <c r="AL64" s="2">
        <v>0.15493524191560937</v>
      </c>
      <c r="AM64" s="2">
        <f t="shared" si="40"/>
        <v>9.5951095491986313E-2</v>
      </c>
      <c r="AN64" s="2">
        <f t="shared" si="41"/>
        <v>-4.7945755658966895E-2</v>
      </c>
      <c r="AO64" s="2">
        <f t="shared" si="42"/>
        <v>8.85009765625E-2</v>
      </c>
      <c r="BG64" s="2" t="s">
        <v>168</v>
      </c>
      <c r="BH64" s="2">
        <f>BH63/PI()*180</f>
        <v>7.934028963837366</v>
      </c>
      <c r="BI64" s="2" t="s">
        <v>43</v>
      </c>
      <c r="BJ64" s="2"/>
      <c r="BK64" s="2" t="s">
        <v>168</v>
      </c>
      <c r="BL64" s="2">
        <f>BL63/PI()*180</f>
        <v>5.5895161715331945</v>
      </c>
      <c r="BM64" s="2" t="s">
        <v>43</v>
      </c>
      <c r="BO64" s="2">
        <v>26</v>
      </c>
      <c r="BP64" s="2">
        <f t="shared" si="35"/>
        <v>0.36940028884156817</v>
      </c>
      <c r="BQ64" s="2">
        <v>-1.0499235839067644E-7</v>
      </c>
      <c r="BR64" s="2">
        <f t="shared" si="36"/>
        <v>0.36940037216938199</v>
      </c>
      <c r="BS64" s="2">
        <v>1.6259712692923145E-7</v>
      </c>
      <c r="BT64" s="2">
        <f t="shared" si="27"/>
        <v>0.36940033050547505</v>
      </c>
      <c r="BU64" s="2">
        <v>2.8802387384840866E-8</v>
      </c>
      <c r="BV64" s="2">
        <f t="shared" si="28"/>
        <v>-3.0240305788163101E-15</v>
      </c>
      <c r="BW64" s="2">
        <f t="shared" si="29"/>
        <v>4.6831854374778653E-15</v>
      </c>
      <c r="BX64" s="2">
        <f t="shared" si="30"/>
        <v>8.3327813815703422E-8</v>
      </c>
      <c r="BZ64" s="2">
        <v>26</v>
      </c>
      <c r="CA64" s="2">
        <f t="shared" si="37"/>
        <v>0.33255664598864215</v>
      </c>
      <c r="CB64" s="2">
        <v>-9.7579103922051935E-8</v>
      </c>
      <c r="CC64" s="2">
        <f t="shared" si="38"/>
        <v>0.33255672931645597</v>
      </c>
      <c r="CD64" s="2">
        <v>1.459659661057211E-7</v>
      </c>
      <c r="CE64" s="2">
        <f t="shared" si="31"/>
        <v>0.33255668765254909</v>
      </c>
      <c r="CF64" s="2">
        <v>2.419343421433684E-8</v>
      </c>
      <c r="CG64" s="2">
        <f t="shared" si="32"/>
        <v>-2.3607736314321013E-15</v>
      </c>
      <c r="CH64" s="2">
        <f t="shared" si="33"/>
        <v>3.5314179985108843E-15</v>
      </c>
      <c r="CI64" s="2">
        <f t="shared" si="34"/>
        <v>8.3327813815703422E-8</v>
      </c>
    </row>
    <row r="65" spans="2:87" x14ac:dyDescent="0.2">
      <c r="B65" s="58" t="s">
        <v>272</v>
      </c>
      <c r="C65" s="60"/>
      <c r="D65" s="60"/>
      <c r="AF65" s="2">
        <v>16</v>
      </c>
      <c r="AG65" s="2">
        <f t="shared" si="43"/>
        <v>704.59747314453125</v>
      </c>
      <c r="AH65" s="2">
        <v>0.15493524191560937</v>
      </c>
      <c r="AI65" s="2">
        <f t="shared" si="44"/>
        <v>704.6417236328125</v>
      </c>
      <c r="AJ65" s="2">
        <v>-0.30945674506438081</v>
      </c>
      <c r="AK65" s="2">
        <f t="shared" si="39"/>
        <v>704.61959838867188</v>
      </c>
      <c r="AL65" s="2">
        <v>-7.7257106065644621E-2</v>
      </c>
      <c r="AM65" s="2">
        <f t="shared" si="40"/>
        <v>-1.1969848417980541E-2</v>
      </c>
      <c r="AN65" s="2">
        <f t="shared" si="41"/>
        <v>2.3907732576168017E-2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0.36940028884156817</v>
      </c>
      <c r="BQ65" s="2">
        <v>-1.0499235839067644E-7</v>
      </c>
      <c r="BR65" s="2">
        <f t="shared" si="36"/>
        <v>0.36940033050547505</v>
      </c>
      <c r="BS65" s="2">
        <v>2.8802387384840866E-8</v>
      </c>
      <c r="BT65" s="2">
        <f t="shared" si="27"/>
        <v>0.36940030967352161</v>
      </c>
      <c r="BU65" s="2">
        <v>-3.8094984847192315E-8</v>
      </c>
      <c r="BV65" s="2">
        <f t="shared" si="28"/>
        <v>3.9996823019638037E-15</v>
      </c>
      <c r="BW65" s="2">
        <f t="shared" si="29"/>
        <v>-1.097226510988476E-15</v>
      </c>
      <c r="BX65" s="2">
        <f t="shared" si="30"/>
        <v>4.1663906880096135E-8</v>
      </c>
      <c r="BZ65" s="2">
        <v>27</v>
      </c>
      <c r="CA65" s="2">
        <f t="shared" si="37"/>
        <v>0.33255664598864215</v>
      </c>
      <c r="CB65" s="2">
        <v>-9.7579103922051935E-8</v>
      </c>
      <c r="CC65" s="2">
        <f t="shared" si="38"/>
        <v>0.33255668765254909</v>
      </c>
      <c r="CD65" s="2">
        <v>2.419343421433684E-8</v>
      </c>
      <c r="CE65" s="2">
        <f t="shared" si="31"/>
        <v>0.33255666682059559</v>
      </c>
      <c r="CF65" s="2">
        <v>-3.6692834284868248E-8</v>
      </c>
      <c r="CG65" s="2">
        <f t="shared" si="32"/>
        <v>3.580453889877789E-15</v>
      </c>
      <c r="CH65" s="2">
        <f t="shared" si="33"/>
        <v>-8.8772567240852332E-16</v>
      </c>
      <c r="CI65" s="2">
        <f t="shared" si="34"/>
        <v>4.1663906935607287E-8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704.59747314453125</v>
      </c>
      <c r="AH66" s="2">
        <v>0.15493524191560937</v>
      </c>
      <c r="AI66" s="2">
        <f t="shared" si="44"/>
        <v>704.61959838867188</v>
      </c>
      <c r="AJ66" s="2">
        <v>-7.7257106065644621E-2</v>
      </c>
      <c r="AK66" s="2">
        <f t="shared" si="39"/>
        <v>704.60853576660156</v>
      </c>
      <c r="AL66" s="2">
        <v>3.8839979300973937E-2</v>
      </c>
      <c r="AM66" s="2">
        <f t="shared" si="40"/>
        <v>6.0176815889936572E-3</v>
      </c>
      <c r="AN66" s="2">
        <f t="shared" si="41"/>
        <v>-3.0006644004427849E-3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0.64373527721540369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0.37032813403362835</v>
      </c>
      <c r="BM66" s="2"/>
      <c r="BO66" s="2">
        <v>28</v>
      </c>
      <c r="BP66" s="2">
        <f t="shared" si="35"/>
        <v>0.36940030967352161</v>
      </c>
      <c r="BQ66" s="2">
        <v>-3.8094984847192315E-8</v>
      </c>
      <c r="BR66" s="2">
        <f t="shared" si="36"/>
        <v>0.36940033050547505</v>
      </c>
      <c r="BS66" s="2">
        <v>2.8802387384840866E-8</v>
      </c>
      <c r="BT66" s="2">
        <f t="shared" si="27"/>
        <v>0.3694003200894983</v>
      </c>
      <c r="BU66" s="2">
        <v>-4.646298672195126E-9</v>
      </c>
      <c r="BV66" s="2">
        <f t="shared" si="28"/>
        <v>1.7700067751280311E-16</v>
      </c>
      <c r="BW66" s="2">
        <f t="shared" si="29"/>
        <v>-1.3382449426223576E-16</v>
      </c>
      <c r="BX66" s="2">
        <f t="shared" si="30"/>
        <v>2.0831953440048068E-8</v>
      </c>
      <c r="BZ66" s="2">
        <v>28</v>
      </c>
      <c r="CA66" s="2">
        <f t="shared" si="37"/>
        <v>0.33255666682059559</v>
      </c>
      <c r="CB66" s="2">
        <v>-3.6692834284868248E-8</v>
      </c>
      <c r="CC66" s="2">
        <f t="shared" si="38"/>
        <v>0.33255668765254909</v>
      </c>
      <c r="CD66" s="2">
        <v>2.419343421433684E-8</v>
      </c>
      <c r="CE66" s="2">
        <f t="shared" si="31"/>
        <v>0.33255667723657234</v>
      </c>
      <c r="CF66" s="2">
        <v>-6.2496998270988868E-9</v>
      </c>
      <c r="CG66" s="2">
        <f t="shared" si="32"/>
        <v>2.2931920008590921E-16</v>
      </c>
      <c r="CH66" s="2">
        <f t="shared" si="33"/>
        <v>-1.5120170162626923E-16</v>
      </c>
      <c r="CI66" s="2">
        <f t="shared" si="34"/>
        <v>2.0831953495559219E-8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704.60853576660156</v>
      </c>
      <c r="AH67" s="2">
        <v>3.8839979300973937E-2</v>
      </c>
      <c r="AI67" s="2">
        <f t="shared" si="44"/>
        <v>704.61959838867188</v>
      </c>
      <c r="AJ67" s="2">
        <v>-7.7257106065644621E-2</v>
      </c>
      <c r="AK67" s="2">
        <f t="shared" si="39"/>
        <v>704.61406707763672</v>
      </c>
      <c r="AL67" s="2">
        <v>-1.9208335537314269E-2</v>
      </c>
      <c r="AM67" s="2">
        <f t="shared" si="40"/>
        <v>-7.4605135467544826E-4</v>
      </c>
      <c r="AN67" s="2">
        <f t="shared" si="41"/>
        <v>1.4839804159507794E-3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0.95903250238138804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0.95698730932151355</v>
      </c>
      <c r="BM67" s="2"/>
      <c r="BO67" s="2">
        <v>29</v>
      </c>
      <c r="BP67" s="2">
        <f t="shared" si="35"/>
        <v>0.3694003200894983</v>
      </c>
      <c r="BQ67" s="2">
        <v>-4.646298672195126E-9</v>
      </c>
      <c r="BR67" s="2">
        <f t="shared" si="36"/>
        <v>0.36940033050547505</v>
      </c>
      <c r="BS67" s="2">
        <v>2.8802387384840866E-8</v>
      </c>
      <c r="BT67" s="2">
        <f t="shared" si="27"/>
        <v>0.36940032529748668</v>
      </c>
      <c r="BU67" s="2">
        <v>1.207804448122296E-8</v>
      </c>
      <c r="BV67" s="2">
        <f t="shared" si="28"/>
        <v>-5.6118202035819912E-17</v>
      </c>
      <c r="BW67" s="2">
        <f t="shared" si="29"/>
        <v>3.4787651599952304E-16</v>
      </c>
      <c r="BX67" s="2">
        <f t="shared" si="30"/>
        <v>1.0415976747779609E-8</v>
      </c>
      <c r="BZ67" s="2">
        <v>29</v>
      </c>
      <c r="CA67" s="2">
        <f t="shared" si="37"/>
        <v>0.33255667723657234</v>
      </c>
      <c r="CB67" s="2">
        <v>-6.2496998270988868E-9</v>
      </c>
      <c r="CC67" s="2">
        <f t="shared" si="38"/>
        <v>0.33255668765254909</v>
      </c>
      <c r="CD67" s="2">
        <v>2.419343421433684E-8</v>
      </c>
      <c r="CE67" s="2">
        <f t="shared" si="31"/>
        <v>0.33255668244456071</v>
      </c>
      <c r="CF67" s="2">
        <v>8.9718673115801728E-9</v>
      </c>
      <c r="CG67" s="2">
        <f t="shared" si="32"/>
        <v>-5.6071477585936766E-17</v>
      </c>
      <c r="CH67" s="2">
        <f t="shared" si="33"/>
        <v>2.1706028158247403E-16</v>
      </c>
      <c r="CI67" s="2">
        <f t="shared" si="34"/>
        <v>1.0415976747779609E-8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704.60853576660156</v>
      </c>
      <c r="AH68" s="2">
        <v>3.8839979300973937E-2</v>
      </c>
      <c r="AI68" s="2">
        <f t="shared" si="44"/>
        <v>704.61406707763672</v>
      </c>
      <c r="AJ68" s="2">
        <v>-1.9208335537314269E-2</v>
      </c>
      <c r="AK68" s="2">
        <f t="shared" si="39"/>
        <v>704.61130142211914</v>
      </c>
      <c r="AL68" s="2">
        <v>9.8158788428008847E-3</v>
      </c>
      <c r="AM68" s="2">
        <f t="shared" si="40"/>
        <v>3.8124853107525435E-4</v>
      </c>
      <c r="AN68" s="2">
        <f t="shared" si="41"/>
        <v>-1.885466944061435E-4</v>
      </c>
      <c r="AO68" s="2">
        <f t="shared" si="42"/>
        <v>5.53131103515625E-3</v>
      </c>
      <c r="BG68" s="2" t="s">
        <v>183</v>
      </c>
      <c r="BH68" s="2">
        <f>IF(BH61=0,1,BH66*BH67)</f>
        <v>0.61736305377906509</v>
      </c>
      <c r="BI68" s="2"/>
      <c r="BJ68" s="2"/>
      <c r="BK68" s="2" t="s">
        <v>183</v>
      </c>
      <c r="BL68" s="2">
        <f>IF(BL61=0,1,BL66*BL67)</f>
        <v>0.35439932455489881</v>
      </c>
      <c r="BM68" s="2"/>
      <c r="BO68" s="2">
        <v>30</v>
      </c>
      <c r="BP68" s="2">
        <f t="shared" si="35"/>
        <v>0.3694003200894983</v>
      </c>
      <c r="BQ68" s="2">
        <v>-4.646298672195126E-9</v>
      </c>
      <c r="BR68" s="2">
        <f t="shared" si="36"/>
        <v>0.36940032529748668</v>
      </c>
      <c r="BS68" s="2">
        <v>1.207804448122296E-8</v>
      </c>
      <c r="BT68" s="5">
        <f t="shared" si="27"/>
        <v>0.36940032269349249</v>
      </c>
      <c r="BU68" s="2">
        <v>3.7158728524722129E-9</v>
      </c>
      <c r="BV68" s="2">
        <f t="shared" si="28"/>
        <v>-1.7265055100487559E-17</v>
      </c>
      <c r="BW68" s="2">
        <f t="shared" si="29"/>
        <v>4.4880477598728231E-17</v>
      </c>
      <c r="BX68" s="2">
        <f t="shared" si="30"/>
        <v>5.2079883738898047E-9</v>
      </c>
      <c r="BZ68" s="2">
        <v>30</v>
      </c>
      <c r="CA68" s="2">
        <f t="shared" si="37"/>
        <v>0.33255667723657234</v>
      </c>
      <c r="CB68" s="2">
        <v>-6.2496998270988868E-9</v>
      </c>
      <c r="CC68" s="2">
        <f t="shared" si="38"/>
        <v>0.33255668244456071</v>
      </c>
      <c r="CD68" s="2">
        <v>8.9718673115801728E-9</v>
      </c>
      <c r="CE68" s="5">
        <f t="shared" si="31"/>
        <v>0.33255667984056653</v>
      </c>
      <c r="CF68" s="2">
        <v>1.3610837526489838E-9</v>
      </c>
      <c r="CG68" s="2">
        <f t="shared" si="32"/>
        <v>-8.5063648935974579E-18</v>
      </c>
      <c r="CH68" s="2">
        <f t="shared" si="33"/>
        <v>1.2211462828714292E-17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704.61130142211914</v>
      </c>
      <c r="AH69" s="2">
        <v>9.8158788428008847E-3</v>
      </c>
      <c r="AI69" s="2">
        <f t="shared" si="44"/>
        <v>704.61406707763672</v>
      </c>
      <c r="AJ69" s="2">
        <v>-1.9208335537314269E-2</v>
      </c>
      <c r="AK69" s="2">
        <f t="shared" si="39"/>
        <v>704.61268424987793</v>
      </c>
      <c r="AL69" s="2">
        <v>-4.6962141086623888E-3</v>
      </c>
      <c r="AM69" s="2">
        <f t="shared" si="40"/>
        <v>-4.6097468710482159E-5</v>
      </c>
      <c r="AN69" s="2">
        <f t="shared" si="41"/>
        <v>9.0206456354256423E-5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1.0644849494292956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0.80940056969745588</v>
      </c>
      <c r="BM69" s="2"/>
    </row>
    <row r="70" spans="2:87" x14ac:dyDescent="0.2">
      <c r="AF70" s="2">
        <v>21</v>
      </c>
      <c r="AG70" s="2">
        <f t="shared" si="43"/>
        <v>704.61130142211914</v>
      </c>
      <c r="AH70" s="2">
        <v>9.8158788428008847E-3</v>
      </c>
      <c r="AI70" s="2">
        <f t="shared" si="44"/>
        <v>704.61268424987793</v>
      </c>
      <c r="AJ70" s="2">
        <v>-4.6962141086623888E-3</v>
      </c>
      <c r="AK70" s="2">
        <f t="shared" si="39"/>
        <v>704.61199283599854</v>
      </c>
      <c r="AL70" s="2">
        <v>2.5598359275136318E-3</v>
      </c>
      <c r="AM70" s="2">
        <f t="shared" si="40"/>
        <v>2.5127039321922636E-5</v>
      </c>
      <c r="AN70" s="2">
        <f t="shared" si="41"/>
        <v>-1.2021537598650389E-5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5.0777142202709048E-2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6.0215712065555996E-2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8" t="s">
        <v>273</v>
      </c>
      <c r="C71" s="60"/>
      <c r="D71" s="60"/>
      <c r="AF71" s="2">
        <v>22</v>
      </c>
      <c r="AG71" s="2">
        <f t="shared" si="43"/>
        <v>704.61199283599854</v>
      </c>
      <c r="AH71" s="2">
        <v>2.5598359275136318E-3</v>
      </c>
      <c r="AI71" s="2">
        <f t="shared" si="44"/>
        <v>704.61268424987793</v>
      </c>
      <c r="AJ71" s="2">
        <v>-4.6962141086623888E-3</v>
      </c>
      <c r="AK71" s="2">
        <f t="shared" si="39"/>
        <v>704.61233854293823</v>
      </c>
      <c r="AL71" s="2">
        <v>-1.0681881985874497E-3</v>
      </c>
      <c r="AM71" s="2">
        <f t="shared" si="40"/>
        <v>-2.7343865280902199E-6</v>
      </c>
      <c r="AN71" s="2">
        <f t="shared" si="41"/>
        <v>5.0164404889130434E-6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1.0096264297418209</v>
      </c>
      <c r="BI71" s="2"/>
      <c r="BJ71" s="2"/>
      <c r="BK71" s="2" t="s">
        <v>190</v>
      </c>
      <c r="BL71" s="2">
        <f xml:space="preserve"> BL69*COS(BL61) - BL70*SIN(BL61)</f>
        <v>0.7574478293843443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704.61199283599854</v>
      </c>
      <c r="AH72" s="2">
        <v>2.5598359275136318E-3</v>
      </c>
      <c r="AI72" s="2">
        <f t="shared" si="44"/>
        <v>704.61233854293823</v>
      </c>
      <c r="AJ72" s="2">
        <v>-1.0681881985874497E-3</v>
      </c>
      <c r="AK72" s="2">
        <f t="shared" si="39"/>
        <v>704.61216568946838</v>
      </c>
      <c r="AL72" s="2">
        <v>7.4582408706191927E-4</v>
      </c>
      <c r="AM72" s="2">
        <f t="shared" si="40"/>
        <v>1.9091872936661557E-6</v>
      </c>
      <c r="AN72" s="2">
        <f t="shared" si="41"/>
        <v>-7.9668048802180081E-7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0.34111727909701123</v>
      </c>
      <c r="BI72" s="2"/>
      <c r="BJ72" s="2"/>
      <c r="BK72" s="2" t="s">
        <v>192</v>
      </c>
      <c r="BL72" s="2">
        <f xml:space="preserve"> BL69*SIN(BL61) + BL70*COS(BL61)</f>
        <v>0.291595610335741</v>
      </c>
      <c r="BM72" s="2"/>
      <c r="BO72" s="30">
        <v>0</v>
      </c>
      <c r="BP72" s="30"/>
      <c r="BQ72" s="30">
        <f>$BH$58</f>
        <v>-5.6457712810376037E-9</v>
      </c>
      <c r="BR72" s="30"/>
      <c r="BS72" s="30">
        <f>$BH$58</f>
        <v>-5.6457712810376037E-9</v>
      </c>
      <c r="BT72" s="30"/>
      <c r="BU72" s="30">
        <f>$BH$58</f>
        <v>-5.6457712810376037E-9</v>
      </c>
      <c r="BV72" s="30"/>
      <c r="BW72" s="30"/>
      <c r="BX72" s="30"/>
      <c r="BZ72" s="30">
        <v>0</v>
      </c>
      <c r="CA72" s="30"/>
      <c r="CB72" s="30">
        <f>$BL$58</f>
        <v>-3.968280197497176E-9</v>
      </c>
      <c r="CC72" s="30"/>
      <c r="CD72" s="30">
        <f>$BL$58</f>
        <v>-3.968280197497176E-9</v>
      </c>
      <c r="CE72" s="30"/>
      <c r="CF72" s="30">
        <f>$BL$58</f>
        <v>-3.968280197497176E-9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704.61216568946838</v>
      </c>
      <c r="AH73" s="2">
        <v>7.4582408706191927E-4</v>
      </c>
      <c r="AI73" s="2">
        <f t="shared" si="44"/>
        <v>704.61233854293823</v>
      </c>
      <c r="AJ73" s="2">
        <v>-1.0681881985874497E-3</v>
      </c>
      <c r="AK73" s="2">
        <f t="shared" si="39"/>
        <v>704.61225211620331</v>
      </c>
      <c r="AL73" s="2">
        <v>-1.6118200073833577E-4</v>
      </c>
      <c r="AM73" s="2">
        <f t="shared" si="40"/>
        <v>-1.2021341855148288E-7</v>
      </c>
      <c r="AN73" s="2">
        <f t="shared" si="41"/>
        <v>1.7217271101340387E-7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1.1122270712150668</v>
      </c>
      <c r="BI73" s="2"/>
      <c r="BJ73" s="2"/>
      <c r="BK73" s="2" t="s">
        <v>38</v>
      </c>
      <c r="BL73" s="2">
        <f xml:space="preserve"> 4*BL68*SIN(BL61)*SIN(BL61) / (BL65*BL71)</f>
        <v>1.0953430581465806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-2.2235064976160945</v>
      </c>
      <c r="BR73" s="3">
        <f>0.9*PI()</f>
        <v>2.8274333882308138</v>
      </c>
      <c r="BS73" s="2">
        <f t="dataTable" ref="BS73:BS102" dt2D="0" dtr="0" r1="BH42"/>
        <v>0.49041073500955168</v>
      </c>
      <c r="BT73" s="2">
        <f t="shared" ref="BT73:BT102" si="45">(BP73+BR73)/2</f>
        <v>1.4294246573833558</v>
      </c>
      <c r="BU73" s="2">
        <f t="dataTable" ref="BU73:BU102" dt2D="0" dtr="0" r1="BH42" ca="1"/>
        <v>1.1118383357407486</v>
      </c>
      <c r="BV73" s="2">
        <f t="shared" ref="BV73:BV102" si="46">BQ73*BU73</f>
        <v>-2.4721797638182195</v>
      </c>
      <c r="BW73" s="2">
        <f t="shared" ref="BW73:BW102" si="47">BS73*BU73</f>
        <v>0.54525745544241722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-1.923658025900685</v>
      </c>
      <c r="CC73" s="3">
        <f>0.9*PI()</f>
        <v>2.8274333882308138</v>
      </c>
      <c r="CD73" s="2">
        <f t="dataTable" ref="CD73:CD102" dt2D="0" dtr="0" r1="BL42"/>
        <v>0.47817345363749991</v>
      </c>
      <c r="CE73" s="2">
        <f t="shared" ref="CE73:CE102" si="49">(CA73+CC73)/2</f>
        <v>1.4294246573833558</v>
      </c>
      <c r="CF73" s="2">
        <f t="dataTable" ref="CF73:CF102" dt2D="0" dtr="0" r1="BL42" ca="1"/>
        <v>1.1162112792863177</v>
      </c>
      <c r="CG73" s="2">
        <f t="shared" ref="CG73:CG102" si="50">CB73*CF73</f>
        <v>-2.1472087859999962</v>
      </c>
      <c r="CH73" s="2">
        <f t="shared" ref="CH73:CH102" si="51">CD73*CF73</f>
        <v>0.53374260240547045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704.61216568946838</v>
      </c>
      <c r="AH74" s="2">
        <v>7.4582408706191927E-4</v>
      </c>
      <c r="AI74" s="2">
        <f t="shared" si="44"/>
        <v>704.61225211620331</v>
      </c>
      <c r="AJ74" s="2">
        <v>-1.6118200073833577E-4</v>
      </c>
      <c r="AK74" s="2">
        <f t="shared" si="39"/>
        <v>704.61220890283585</v>
      </c>
      <c r="AL74" s="2">
        <v>2.9232105725895963E-4</v>
      </c>
      <c r="AM74" s="2">
        <f t="shared" si="40"/>
        <v>2.180200856591386E-7</v>
      </c>
      <c r="AN74" s="2">
        <f t="shared" si="41"/>
        <v>-4.7116892866944723E-8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11.527917968960116</v>
      </c>
      <c r="BI74" s="2"/>
      <c r="BJ74" s="2"/>
      <c r="BK74" s="2" t="s">
        <v>194</v>
      </c>
      <c r="BL74" s="2">
        <f xml:space="preserve"> 4*BL68*SIN(BL61)*COS(BL61) / (BL65*BL72)</f>
        <v>9.42362033281381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-2.2235064976160945</v>
      </c>
      <c r="BR74" s="2">
        <f t="shared" ref="BR74:BR102" si="54">IF(BW73&gt;0,BT73,BR73)</f>
        <v>1.4294246573833558</v>
      </c>
      <c r="BS74" s="2">
        <v>1.1118383357407486</v>
      </c>
      <c r="BT74" s="2">
        <f t="shared" si="45"/>
        <v>0.73042029195962688</v>
      </c>
      <c r="BU74" s="2">
        <v>0.77928485503774314</v>
      </c>
      <c r="BV74" s="2">
        <f t="shared" si="46"/>
        <v>-1.7327449386702383</v>
      </c>
      <c r="BW74" s="2">
        <f t="shared" si="47"/>
        <v>0.86643877629313493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-1.923658025900685</v>
      </c>
      <c r="CC74" s="2">
        <f t="shared" ref="CC74:CC102" si="56">IF(CH73&gt;0,CE73,CC73)</f>
        <v>1.4294246573833558</v>
      </c>
      <c r="CD74" s="2">
        <v>1.1162112792863177</v>
      </c>
      <c r="CE74" s="2">
        <f t="shared" si="49"/>
        <v>0.73042029195962688</v>
      </c>
      <c r="CF74" s="2">
        <v>0.7757784889177366</v>
      </c>
      <c r="CG74" s="2">
        <f t="shared" si="50"/>
        <v>-1.4923325165277097</v>
      </c>
      <c r="CH74" s="2">
        <f t="shared" si="51"/>
        <v>0.86593269955767316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704.61220890283585</v>
      </c>
      <c r="AH75" s="2">
        <v>2.9232105725895963E-4</v>
      </c>
      <c r="AI75" s="2">
        <f t="shared" si="44"/>
        <v>704.61225211620331</v>
      </c>
      <c r="AJ75" s="2">
        <v>-1.6118200073833577E-4</v>
      </c>
      <c r="AK75" s="2">
        <f t="shared" si="39"/>
        <v>704.61223050951958</v>
      </c>
      <c r="AL75" s="2">
        <v>6.5569533035159111E-5</v>
      </c>
      <c r="AM75" s="2">
        <f t="shared" si="40"/>
        <v>1.9167355220813991E-8</v>
      </c>
      <c r="AN75" s="2">
        <f t="shared" si="41"/>
        <v>-1.0568628522085348E-8</v>
      </c>
      <c r="AO75" s="2">
        <f t="shared" si="42"/>
        <v>4.3213367462158203E-5</v>
      </c>
      <c r="BG75" s="2" t="s">
        <v>45</v>
      </c>
      <c r="BH75" s="2">
        <f>1/(BH73-1)</f>
        <v>8.9105060764140038</v>
      </c>
      <c r="BI75" s="2"/>
      <c r="BJ75" s="2"/>
      <c r="BK75" s="2" t="s">
        <v>45</v>
      </c>
      <c r="BL75" s="2">
        <f>1/(BL73-1)</f>
        <v>10.488440579099088</v>
      </c>
      <c r="BM75" s="2"/>
      <c r="BO75" s="2">
        <v>3</v>
      </c>
      <c r="BP75" s="2">
        <f t="shared" si="53"/>
        <v>3.1415926535897934E-2</v>
      </c>
      <c r="BQ75" s="2">
        <v>-2.2235064976160945</v>
      </c>
      <c r="BR75" s="2">
        <f t="shared" si="54"/>
        <v>0.73042029195962688</v>
      </c>
      <c r="BS75" s="2">
        <v>0.77928485503774314</v>
      </c>
      <c r="BT75" s="2">
        <f t="shared" si="45"/>
        <v>0.38091810924776243</v>
      </c>
      <c r="BU75" s="2">
        <v>0.19972988563262531</v>
      </c>
      <c r="BV75" s="2">
        <f t="shared" si="46"/>
        <v>-0.4441006984722618</v>
      </c>
      <c r="BW75" s="2">
        <f t="shared" si="47"/>
        <v>0.15564647497192544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-1.923658025900685</v>
      </c>
      <c r="CC75" s="2">
        <f t="shared" si="56"/>
        <v>0.73042029195962688</v>
      </c>
      <c r="CD75" s="2">
        <v>0.7757784889177366</v>
      </c>
      <c r="CE75" s="2">
        <f t="shared" si="49"/>
        <v>0.38091810924776243</v>
      </c>
      <c r="CF75" s="2">
        <v>0.24286305482876469</v>
      </c>
      <c r="CG75" s="2">
        <f t="shared" si="50"/>
        <v>-0.46718546461611132</v>
      </c>
      <c r="CH75" s="2">
        <f t="shared" si="51"/>
        <v>0.18840793368900449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704.61223050951958</v>
      </c>
      <c r="AH76" s="2">
        <v>6.5569533035159111E-5</v>
      </c>
      <c r="AI76" s="2">
        <f t="shared" si="44"/>
        <v>704.61225211620331</v>
      </c>
      <c r="AJ76" s="2">
        <v>-1.6118200073833577E-4</v>
      </c>
      <c r="AK76" s="2">
        <f t="shared" si="39"/>
        <v>704.61224131286144</v>
      </c>
      <c r="AL76" s="2">
        <v>-4.7806235215830384E-5</v>
      </c>
      <c r="AM76" s="2">
        <f t="shared" si="40"/>
        <v>-3.1346325192709772E-9</v>
      </c>
      <c r="AN76" s="2">
        <f t="shared" si="41"/>
        <v>7.7055046398550266E-9</v>
      </c>
      <c r="AO76" s="2">
        <f t="shared" si="42"/>
        <v>2.1606683731079102E-5</v>
      </c>
      <c r="BG76" s="2" t="s">
        <v>197</v>
      </c>
      <c r="BH76" s="2">
        <f>1/(BH74+1)</f>
        <v>7.9821723168818401E-2</v>
      </c>
      <c r="BI76" s="2"/>
      <c r="BK76" s="2" t="s">
        <v>197</v>
      </c>
      <c r="BL76" s="2">
        <f>1/(BL74+1)</f>
        <v>9.5935957764307259E-2</v>
      </c>
      <c r="BM76" s="2"/>
      <c r="BO76" s="2">
        <v>4</v>
      </c>
      <c r="BP76" s="2">
        <f t="shared" si="53"/>
        <v>3.1415926535897934E-2</v>
      </c>
      <c r="BQ76" s="2">
        <v>-2.2235064976160945</v>
      </c>
      <c r="BR76" s="2">
        <f t="shared" si="54"/>
        <v>0.38091810924776243</v>
      </c>
      <c r="BS76" s="2">
        <v>0.19972988563262531</v>
      </c>
      <c r="BT76" s="2">
        <f t="shared" si="45"/>
        <v>0.20616701789183017</v>
      </c>
      <c r="BU76" s="2">
        <v>-0.2942603873159102</v>
      </c>
      <c r="BV76" s="2">
        <f t="shared" si="46"/>
        <v>0.65428988318795489</v>
      </c>
      <c r="BW76" s="2">
        <f t="shared" si="47"/>
        <v>-5.8772593504818768E-2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-1.923658025900685</v>
      </c>
      <c r="CC76" s="2">
        <f t="shared" si="56"/>
        <v>0.38091810924776243</v>
      </c>
      <c r="CD76" s="2">
        <v>0.24286305482876469</v>
      </c>
      <c r="CE76" s="2">
        <f t="shared" si="49"/>
        <v>0.20616701789183017</v>
      </c>
      <c r="CF76" s="2">
        <v>-0.23498801104219397</v>
      </c>
      <c r="CG76" s="2">
        <f t="shared" si="50"/>
        <v>0.45203657343175524</v>
      </c>
      <c r="CH76" s="2">
        <f t="shared" si="51"/>
        <v>-5.7069906209842716E-2</v>
      </c>
      <c r="CI76" s="2">
        <f t="shared" si="52"/>
        <v>0.34950218271186451</v>
      </c>
    </row>
    <row r="77" spans="2:87" x14ac:dyDescent="0.2">
      <c r="B77" s="58" t="s">
        <v>74</v>
      </c>
      <c r="C77" s="58"/>
      <c r="D77" s="58"/>
      <c r="AF77" s="2">
        <v>28</v>
      </c>
      <c r="AG77" s="2">
        <f t="shared" si="43"/>
        <v>704.61223050951958</v>
      </c>
      <c r="AH77" s="2">
        <v>6.5569533035159111E-5</v>
      </c>
      <c r="AI77" s="2">
        <f t="shared" si="44"/>
        <v>704.61224131286144</v>
      </c>
      <c r="AJ77" s="2">
        <v>-4.7806235215830384E-5</v>
      </c>
      <c r="AK77" s="2">
        <f t="shared" si="39"/>
        <v>704.61223591119051</v>
      </c>
      <c r="AL77" s="2">
        <v>8.8816482275433373E-6</v>
      </c>
      <c r="AM77" s="2">
        <f t="shared" si="40"/>
        <v>5.8236552686256522E-10</v>
      </c>
      <c r="AN77" s="2">
        <f t="shared" si="41"/>
        <v>-4.245981642701998E-10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-1.4129099626392083E-10</v>
      </c>
      <c r="BI77" s="40"/>
      <c r="BK77" s="7" t="s">
        <v>199</v>
      </c>
      <c r="BL77" s="40">
        <f>SIN(BL61)/(1+BL75) - $AR$3*COS(BL61)/($AV$5*$AR$26*(1-BL76))</f>
        <v>-7.3703918350431774E-9</v>
      </c>
      <c r="BM77" s="40"/>
      <c r="BO77" s="2">
        <v>5</v>
      </c>
      <c r="BP77" s="2">
        <f t="shared" si="53"/>
        <v>0.20616701789183017</v>
      </c>
      <c r="BQ77" s="2">
        <v>-0.2942603873159102</v>
      </c>
      <c r="BR77" s="2">
        <f t="shared" si="54"/>
        <v>0.38091810924776243</v>
      </c>
      <c r="BS77" s="2">
        <v>0.19972988563262531</v>
      </c>
      <c r="BT77" s="2">
        <f t="shared" si="45"/>
        <v>0.2935425635697963</v>
      </c>
      <c r="BU77" s="2">
        <v>-3.2752898451949106E-2</v>
      </c>
      <c r="BV77" s="2">
        <f t="shared" si="46"/>
        <v>9.6378805841892193E-3</v>
      </c>
      <c r="BW77" s="2">
        <f t="shared" si="47"/>
        <v>-6.5417326619447852E-3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-0.23498801104219397</v>
      </c>
      <c r="CC77" s="2">
        <f t="shared" si="56"/>
        <v>0.38091810924776243</v>
      </c>
      <c r="CD77" s="2">
        <v>0.24286305482876469</v>
      </c>
      <c r="CE77" s="2">
        <f t="shared" si="49"/>
        <v>0.2935425635697963</v>
      </c>
      <c r="CF77" s="2">
        <v>1.933616641692238E-2</v>
      </c>
      <c r="CG77" s="2">
        <f t="shared" si="50"/>
        <v>-4.5437672874934568E-3</v>
      </c>
      <c r="CH77" s="2">
        <f t="shared" si="51"/>
        <v>4.6960404446911384E-3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704.61223591119051</v>
      </c>
      <c r="AH78" s="2">
        <v>8.8816482275433373E-6</v>
      </c>
      <c r="AI78" s="2">
        <f t="shared" si="44"/>
        <v>704.61224131286144</v>
      </c>
      <c r="AJ78" s="2">
        <v>-4.7806235215830384E-5</v>
      </c>
      <c r="AK78" s="2">
        <f t="shared" si="39"/>
        <v>704.61223861202598</v>
      </c>
      <c r="AL78" s="2">
        <v>-1.9462293039396172E-5</v>
      </c>
      <c r="AM78" s="2">
        <f t="shared" si="40"/>
        <v>-1.7285724047728204E-10</v>
      </c>
      <c r="AN78" s="2">
        <f t="shared" si="41"/>
        <v>9.3041895888079185E-10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-3.2752898451949106E-2</v>
      </c>
      <c r="BR78" s="2">
        <f t="shared" si="54"/>
        <v>0.38091810924776243</v>
      </c>
      <c r="BS78" s="2">
        <v>0.19972988563262531</v>
      </c>
      <c r="BT78" s="2">
        <f t="shared" si="45"/>
        <v>0.33723033640877936</v>
      </c>
      <c r="BU78" s="2">
        <v>8.7082352061458063E-2</v>
      </c>
      <c r="BV78" s="2">
        <f t="shared" si="46"/>
        <v>-2.8521994340258167E-3</v>
      </c>
      <c r="BW78" s="2">
        <f t="shared" si="47"/>
        <v>1.7392948217855031E-2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-0.23498801104219397</v>
      </c>
      <c r="CC78" s="2">
        <f t="shared" si="56"/>
        <v>0.2935425635697963</v>
      </c>
      <c r="CD78" s="2">
        <v>1.933616641692238E-2</v>
      </c>
      <c r="CE78" s="2">
        <f t="shared" si="49"/>
        <v>0.24985479073081324</v>
      </c>
      <c r="CF78" s="2">
        <v>-0.10348493014443655</v>
      </c>
      <c r="CG78" s="2">
        <f t="shared" si="50"/>
        <v>2.4317717907481527E-2</v>
      </c>
      <c r="CH78" s="2">
        <f t="shared" si="51"/>
        <v>-2.0010018309164126E-3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704.61223591119051</v>
      </c>
      <c r="AH79" s="2">
        <v>8.8816482275433373E-6</v>
      </c>
      <c r="AI79" s="2">
        <f t="shared" si="44"/>
        <v>704.61223861202598</v>
      </c>
      <c r="AJ79" s="2">
        <v>-1.9462293039396172E-5</v>
      </c>
      <c r="AK79" s="5">
        <f t="shared" si="39"/>
        <v>704.61223726160824</v>
      </c>
      <c r="AL79" s="2">
        <v>-5.2903214964317158E-6</v>
      </c>
      <c r="AM79" s="2">
        <f t="shared" si="40"/>
        <v>-4.6986774541917164E-11</v>
      </c>
      <c r="AN79" s="2">
        <f t="shared" si="41"/>
        <v>1.0296178723617092E-10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-3.2752898451949106E-2</v>
      </c>
      <c r="BR79" s="2">
        <f t="shared" si="54"/>
        <v>0.33723033640877936</v>
      </c>
      <c r="BS79" s="2">
        <v>8.7082352061458063E-2</v>
      </c>
      <c r="BT79" s="2">
        <f t="shared" si="45"/>
        <v>0.31538644998928783</v>
      </c>
      <c r="BU79" s="2">
        <v>2.8061519554573582E-2</v>
      </c>
      <c r="BV79" s="2">
        <f t="shared" si="46"/>
        <v>-9.190961003783326E-4</v>
      </c>
      <c r="BW79" s="2">
        <f t="shared" si="47"/>
        <v>2.4436631252308665E-3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-0.10348493014443655</v>
      </c>
      <c r="CC79" s="2">
        <f t="shared" si="56"/>
        <v>0.2935425635697963</v>
      </c>
      <c r="CD79" s="2">
        <v>1.933616641692238E-2</v>
      </c>
      <c r="CE79" s="2">
        <f t="shared" si="49"/>
        <v>0.27169867715030477</v>
      </c>
      <c r="CF79" s="2">
        <v>-4.1091841795694771E-2</v>
      </c>
      <c r="CG79" s="2">
        <f t="shared" si="50"/>
        <v>4.2523863777337119E-3</v>
      </c>
      <c r="CH79" s="2">
        <f t="shared" si="51"/>
        <v>-7.9455869133940066E-4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0.2935425635697963</v>
      </c>
      <c r="BQ80" s="2">
        <v>-3.2752898451949106E-2</v>
      </c>
      <c r="BR80" s="2">
        <f t="shared" si="54"/>
        <v>0.31538644998928783</v>
      </c>
      <c r="BS80" s="2">
        <v>2.8061519554573582E-2</v>
      </c>
      <c r="BT80" s="2">
        <f t="shared" si="45"/>
        <v>0.30446450677954207</v>
      </c>
      <c r="BU80" s="2">
        <v>-2.1217057207622361E-3</v>
      </c>
      <c r="BV80" s="2">
        <f t="shared" si="46"/>
        <v>6.9492012017045011E-5</v>
      </c>
      <c r="BW80" s="2">
        <f t="shared" si="47"/>
        <v>-5.9538286572220121E-5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-4.1091841795694771E-2</v>
      </c>
      <c r="CC80" s="2">
        <f t="shared" si="56"/>
        <v>0.2935425635697963</v>
      </c>
      <c r="CD80" s="2">
        <v>1.933616641692238E-2</v>
      </c>
      <c r="CE80" s="2">
        <f t="shared" si="49"/>
        <v>0.28262062036005053</v>
      </c>
      <c r="CF80" s="2">
        <v>-1.0639609273974743E-2</v>
      </c>
      <c r="CG80" s="2">
        <f t="shared" si="50"/>
        <v>4.3720114105417704E-4</v>
      </c>
      <c r="CH80" s="2">
        <f t="shared" si="51"/>
        <v>-2.0572925553260634E-4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0.30446450677954207</v>
      </c>
      <c r="BQ81" s="2">
        <v>-2.1217057207622361E-3</v>
      </c>
      <c r="BR81" s="2">
        <f t="shared" si="54"/>
        <v>0.31538644998928783</v>
      </c>
      <c r="BS81" s="2">
        <v>2.8061519554573582E-2</v>
      </c>
      <c r="BT81" s="2">
        <f t="shared" si="45"/>
        <v>0.30992547838441498</v>
      </c>
      <c r="BU81" s="2">
        <v>1.3025916309149399E-2</v>
      </c>
      <c r="BV81" s="2">
        <f t="shared" si="46"/>
        <v>-2.7637161151292394E-5</v>
      </c>
      <c r="BW81" s="2">
        <f t="shared" si="47"/>
        <v>3.6552700522543482E-4</v>
      </c>
      <c r="BX81" s="2">
        <f t="shared" si="48"/>
        <v>1.0921943209745766E-2</v>
      </c>
      <c r="BZ81" s="2">
        <v>9</v>
      </c>
      <c r="CA81" s="2">
        <f t="shared" si="55"/>
        <v>0.28262062036005053</v>
      </c>
      <c r="CB81" s="2">
        <v>-1.0639609273974743E-2</v>
      </c>
      <c r="CC81" s="2">
        <f t="shared" si="56"/>
        <v>0.2935425635697963</v>
      </c>
      <c r="CD81" s="2">
        <v>1.933616641692238E-2</v>
      </c>
      <c r="CE81" s="2">
        <f t="shared" si="49"/>
        <v>0.28808159196492344</v>
      </c>
      <c r="CF81" s="2">
        <v>4.4071253066164037E-3</v>
      </c>
      <c r="CG81" s="2">
        <f t="shared" si="50"/>
        <v>-4.6890091283844673E-5</v>
      </c>
      <c r="CH81" s="2">
        <f t="shared" si="51"/>
        <v>8.5216908348964858E-5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0.30446450677954207</v>
      </c>
      <c r="BQ82" s="2">
        <v>-2.1217057207622361E-3</v>
      </c>
      <c r="BR82" s="2">
        <f t="shared" si="54"/>
        <v>0.30992547838441498</v>
      </c>
      <c r="BS82" s="2">
        <v>1.3025916309149399E-2</v>
      </c>
      <c r="BT82" s="2">
        <f t="shared" si="45"/>
        <v>0.30719499258197852</v>
      </c>
      <c r="BU82" s="2">
        <v>5.4661046867785223E-3</v>
      </c>
      <c r="BV82" s="2">
        <f t="shared" si="46"/>
        <v>-1.1597465584223262E-5</v>
      </c>
      <c r="BW82" s="2">
        <f t="shared" si="47"/>
        <v>7.1201022187026316E-5</v>
      </c>
      <c r="BX82" s="2">
        <f t="shared" si="48"/>
        <v>5.4609716048729107E-3</v>
      </c>
      <c r="BZ82" s="2">
        <v>10</v>
      </c>
      <c r="CA82" s="2">
        <f t="shared" si="55"/>
        <v>0.28262062036005053</v>
      </c>
      <c r="CB82" s="2">
        <v>-1.0639609273974743E-2</v>
      </c>
      <c r="CC82" s="2">
        <f t="shared" si="56"/>
        <v>0.28808159196492344</v>
      </c>
      <c r="CD82" s="2">
        <v>4.4071253066164037E-3</v>
      </c>
      <c r="CE82" s="2">
        <f t="shared" si="49"/>
        <v>0.28535110616248699</v>
      </c>
      <c r="CF82" s="2">
        <v>-3.1014493353764688E-3</v>
      </c>
      <c r="CG82" s="2">
        <f t="shared" si="50"/>
        <v>3.2998209111434282E-5</v>
      </c>
      <c r="CH82" s="2">
        <f t="shared" si="51"/>
        <v>-1.3668475853126261E-5</v>
      </c>
      <c r="CI82" s="2">
        <f t="shared" si="52"/>
        <v>5.4609716048729107E-3</v>
      </c>
    </row>
    <row r="83" spans="2:87" x14ac:dyDescent="0.2">
      <c r="BO83" s="2">
        <v>11</v>
      </c>
      <c r="BP83" s="2">
        <f t="shared" si="53"/>
        <v>0.30446450677954207</v>
      </c>
      <c r="BQ83" s="2">
        <v>-2.1217057207622361E-3</v>
      </c>
      <c r="BR83" s="2">
        <f t="shared" si="54"/>
        <v>0.30719499258197852</v>
      </c>
      <c r="BS83" s="2">
        <v>5.4661046867785223E-3</v>
      </c>
      <c r="BT83" s="2">
        <f t="shared" si="45"/>
        <v>0.30582974968076027</v>
      </c>
      <c r="BU83" s="2">
        <v>1.6756990562295723E-3</v>
      </c>
      <c r="BV83" s="2">
        <f t="shared" si="46"/>
        <v>-3.5553402738781635E-6</v>
      </c>
      <c r="BW83" s="2">
        <f t="shared" si="47"/>
        <v>9.1595464648868114E-6</v>
      </c>
      <c r="BX83" s="2">
        <f t="shared" si="48"/>
        <v>2.7304858024364553E-3</v>
      </c>
      <c r="BZ83" s="2">
        <v>11</v>
      </c>
      <c r="CA83" s="2">
        <f t="shared" si="55"/>
        <v>0.28535110616248699</v>
      </c>
      <c r="CB83" s="2">
        <v>-3.1014493353764688E-3</v>
      </c>
      <c r="CC83" s="2">
        <f t="shared" si="56"/>
        <v>0.28808159196492344</v>
      </c>
      <c r="CD83" s="2">
        <v>4.4071253066164037E-3</v>
      </c>
      <c r="CE83" s="2">
        <f t="shared" si="49"/>
        <v>0.28671634906370524</v>
      </c>
      <c r="CF83" s="2">
        <v>6.5652557910680226E-4</v>
      </c>
      <c r="CG83" s="2">
        <f t="shared" si="50"/>
        <v>-2.0361808209784433E-6</v>
      </c>
      <c r="CH83" s="2">
        <f t="shared" si="51"/>
        <v>2.8933904941225781E-6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0.30446450677954207</v>
      </c>
      <c r="BQ84" s="2">
        <v>-2.1217057207622361E-3</v>
      </c>
      <c r="BR84" s="2">
        <f t="shared" si="54"/>
        <v>0.30582974968076027</v>
      </c>
      <c r="BS84" s="2">
        <v>1.6756990562295723E-3</v>
      </c>
      <c r="BT84" s="2">
        <f t="shared" si="45"/>
        <v>0.30514712823015117</v>
      </c>
      <c r="BU84" s="2">
        <v>-2.2212846656262386E-4</v>
      </c>
      <c r="BV84" s="2">
        <f t="shared" si="46"/>
        <v>4.7129123825006215E-7</v>
      </c>
      <c r="BW84" s="2">
        <f t="shared" si="47"/>
        <v>-3.7222046178071091E-7</v>
      </c>
      <c r="BX84" s="2">
        <f t="shared" si="48"/>
        <v>1.3652429012181999E-3</v>
      </c>
      <c r="BZ84" s="2">
        <v>12</v>
      </c>
      <c r="CA84" s="2">
        <f t="shared" si="55"/>
        <v>0.28535110616248699</v>
      </c>
      <c r="CB84" s="2">
        <v>-3.1014493353764688E-3</v>
      </c>
      <c r="CC84" s="2">
        <f t="shared" si="56"/>
        <v>0.28671634906370524</v>
      </c>
      <c r="CD84" s="2">
        <v>6.5652557910680226E-4</v>
      </c>
      <c r="CE84" s="2">
        <f t="shared" si="49"/>
        <v>0.28603372761309609</v>
      </c>
      <c r="CF84" s="2">
        <v>-1.22153868792289E-3</v>
      </c>
      <c r="CG84" s="2">
        <f t="shared" si="50"/>
        <v>3.7885403517950909E-6</v>
      </c>
      <c r="CH84" s="2">
        <f t="shared" si="51"/>
        <v>-8.0197139448993879E-7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0.30514712823015117</v>
      </c>
      <c r="BQ85" s="2">
        <v>-2.2212846656262386E-4</v>
      </c>
      <c r="BR85" s="2">
        <f t="shared" si="54"/>
        <v>0.30582974968076027</v>
      </c>
      <c r="BS85" s="2">
        <v>1.6756990562295723E-3</v>
      </c>
      <c r="BT85" s="2">
        <f t="shared" si="45"/>
        <v>0.30548843895545574</v>
      </c>
      <c r="BU85" s="2">
        <v>7.2700401439074192E-4</v>
      </c>
      <c r="BV85" s="2">
        <f t="shared" si="46"/>
        <v>-1.6148828690148724E-7</v>
      </c>
      <c r="BW85" s="2">
        <f t="shared" si="47"/>
        <v>1.2182399407896766E-6</v>
      </c>
      <c r="BX85" s="2">
        <f t="shared" si="48"/>
        <v>6.8262145060909996E-4</v>
      </c>
      <c r="BZ85" s="2">
        <v>13</v>
      </c>
      <c r="CA85" s="2">
        <f t="shared" si="55"/>
        <v>0.28603372761309609</v>
      </c>
      <c r="CB85" s="2">
        <v>-1.22153868792289E-3</v>
      </c>
      <c r="CC85" s="2">
        <f t="shared" si="56"/>
        <v>0.28671634906370524</v>
      </c>
      <c r="CD85" s="2">
        <v>6.5652557910680226E-4</v>
      </c>
      <c r="CE85" s="2">
        <f t="shared" si="49"/>
        <v>0.28637503833840067</v>
      </c>
      <c r="CF85" s="2">
        <v>-2.8227592012279937E-4</v>
      </c>
      <c r="CG85" s="2">
        <f t="shared" si="50"/>
        <v>3.4481095709903081E-7</v>
      </c>
      <c r="CH85" s="2">
        <f t="shared" si="51"/>
        <v>-1.8532136192652631E-7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0.30514712823015117</v>
      </c>
      <c r="BQ86" s="2">
        <v>-2.2212846656262386E-4</v>
      </c>
      <c r="BR86" s="2">
        <f t="shared" si="54"/>
        <v>0.30548843895545574</v>
      </c>
      <c r="BS86" s="2">
        <v>7.2700401439074192E-4</v>
      </c>
      <c r="BT86" s="2">
        <f t="shared" si="45"/>
        <v>0.30531778359280348</v>
      </c>
      <c r="BU86" s="2">
        <v>2.5249245339165061E-4</v>
      </c>
      <c r="BV86" s="2">
        <f t="shared" si="46"/>
        <v>-5.6085761490522123E-8</v>
      </c>
      <c r="BW86" s="2">
        <f t="shared" si="47"/>
        <v>1.8356302721909728E-7</v>
      </c>
      <c r="BX86" s="2">
        <f t="shared" si="48"/>
        <v>3.4131072530457773E-4</v>
      </c>
      <c r="BZ86" s="2">
        <v>14</v>
      </c>
      <c r="CA86" s="2">
        <f t="shared" si="55"/>
        <v>0.28637503833840067</v>
      </c>
      <c r="CB86" s="2">
        <v>-2.8227592012279937E-4</v>
      </c>
      <c r="CC86" s="2">
        <f t="shared" si="56"/>
        <v>0.28671634906370524</v>
      </c>
      <c r="CD86" s="2">
        <v>6.5652557910680226E-4</v>
      </c>
      <c r="CE86" s="2">
        <f t="shared" si="49"/>
        <v>0.28654569370105298</v>
      </c>
      <c r="CF86" s="2">
        <v>1.8718246781281728E-4</v>
      </c>
      <c r="CG86" s="2">
        <f t="shared" si="50"/>
        <v>-5.2837103332719275E-8</v>
      </c>
      <c r="CH86" s="2">
        <f t="shared" si="51"/>
        <v>1.2289007807945024E-7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0.30514712823015117</v>
      </c>
      <c r="BQ87" s="2">
        <v>-2.2212846656262386E-4</v>
      </c>
      <c r="BR87" s="2">
        <f t="shared" si="54"/>
        <v>0.30531778359280348</v>
      </c>
      <c r="BS87" s="2">
        <v>2.5249245339165061E-4</v>
      </c>
      <c r="BT87" s="2">
        <f t="shared" si="45"/>
        <v>0.3052324559114773</v>
      </c>
      <c r="BU87" s="2">
        <v>1.519566323417848E-5</v>
      </c>
      <c r="BV87" s="2">
        <f t="shared" si="46"/>
        <v>-3.3753893726101074E-9</v>
      </c>
      <c r="BW87" s="2">
        <f t="shared" si="47"/>
        <v>3.8367902909110288E-9</v>
      </c>
      <c r="BX87" s="2">
        <f t="shared" si="48"/>
        <v>1.7065536265231662E-4</v>
      </c>
      <c r="BZ87" s="2">
        <v>15</v>
      </c>
      <c r="CA87" s="2">
        <f t="shared" si="55"/>
        <v>0.28637503833840067</v>
      </c>
      <c r="CB87" s="2">
        <v>-2.8227592012279937E-4</v>
      </c>
      <c r="CC87" s="2">
        <f t="shared" si="56"/>
        <v>0.28654569370105298</v>
      </c>
      <c r="CD87" s="2">
        <v>1.8718246781281728E-4</v>
      </c>
      <c r="CE87" s="2">
        <f t="shared" si="49"/>
        <v>0.2864603660197268</v>
      </c>
      <c r="CF87" s="2">
        <v>-4.7532314050476032E-5</v>
      </c>
      <c r="CG87" s="2">
        <f t="shared" si="50"/>
        <v>1.3417227684163986E-8</v>
      </c>
      <c r="CH87" s="2">
        <f t="shared" si="51"/>
        <v>-8.8972158448219523E-9</v>
      </c>
      <c r="CI87" s="2">
        <f t="shared" si="52"/>
        <v>1.7065536265231662E-4</v>
      </c>
    </row>
    <row r="88" spans="2:87" x14ac:dyDescent="0.2">
      <c r="BO88" s="2">
        <v>16</v>
      </c>
      <c r="BP88" s="2">
        <f t="shared" si="53"/>
        <v>0.30514712823015117</v>
      </c>
      <c r="BQ88" s="2">
        <v>-2.2212846656262386E-4</v>
      </c>
      <c r="BR88" s="2">
        <f t="shared" si="54"/>
        <v>0.3052324559114773</v>
      </c>
      <c r="BS88" s="2">
        <v>1.519566323417848E-5</v>
      </c>
      <c r="BT88" s="2">
        <f t="shared" si="45"/>
        <v>0.3051897920708142</v>
      </c>
      <c r="BU88" s="2">
        <v>-1.034629842154508E-4</v>
      </c>
      <c r="BV88" s="2">
        <f t="shared" si="46"/>
        <v>2.2982074029771045E-8</v>
      </c>
      <c r="BW88" s="2">
        <f t="shared" si="47"/>
        <v>-1.5721886653411143E-9</v>
      </c>
      <c r="BX88" s="2">
        <f t="shared" si="48"/>
        <v>8.5327681326130556E-5</v>
      </c>
      <c r="BZ88" s="2">
        <v>16</v>
      </c>
      <c r="CA88" s="2">
        <f t="shared" si="55"/>
        <v>0.2864603660197268</v>
      </c>
      <c r="CB88" s="2">
        <v>-4.7532314050476032E-5</v>
      </c>
      <c r="CC88" s="2">
        <f t="shared" si="56"/>
        <v>0.28654569370105298</v>
      </c>
      <c r="CD88" s="2">
        <v>1.8718246781281728E-4</v>
      </c>
      <c r="CE88" s="2">
        <f t="shared" si="49"/>
        <v>0.28650302986038989</v>
      </c>
      <c r="CF88" s="2">
        <v>6.9828679591300846E-5</v>
      </c>
      <c r="CG88" s="2">
        <f t="shared" si="50"/>
        <v>-3.3191187280637782E-9</v>
      </c>
      <c r="CH88" s="2">
        <f t="shared" si="51"/>
        <v>1.3070704570010201E-8</v>
      </c>
      <c r="CI88" s="2">
        <f t="shared" si="52"/>
        <v>8.5327681326186067E-5</v>
      </c>
    </row>
    <row r="89" spans="2:87" x14ac:dyDescent="0.2">
      <c r="BO89" s="2">
        <v>17</v>
      </c>
      <c r="BP89" s="2">
        <f t="shared" si="53"/>
        <v>0.3051897920708142</v>
      </c>
      <c r="BQ89" s="2">
        <v>-1.034629842154508E-4</v>
      </c>
      <c r="BR89" s="2">
        <f t="shared" si="54"/>
        <v>0.3052324559114773</v>
      </c>
      <c r="BS89" s="2">
        <v>1.519566323417848E-5</v>
      </c>
      <c r="BT89" s="2">
        <f t="shared" si="45"/>
        <v>0.30521112399114575</v>
      </c>
      <c r="BU89" s="2">
        <v>-4.4132806127729352E-5</v>
      </c>
      <c r="BV89" s="2">
        <f t="shared" si="46"/>
        <v>4.5661118237768123E-9</v>
      </c>
      <c r="BW89" s="2">
        <f t="shared" si="47"/>
        <v>-6.7062725949626364E-10</v>
      </c>
      <c r="BX89" s="2">
        <f t="shared" si="48"/>
        <v>4.2663840663093033E-5</v>
      </c>
      <c r="BZ89" s="2">
        <v>17</v>
      </c>
      <c r="CA89" s="2">
        <f t="shared" si="55"/>
        <v>0.2864603660197268</v>
      </c>
      <c r="CB89" s="2">
        <v>-4.7532314050476032E-5</v>
      </c>
      <c r="CC89" s="2">
        <f t="shared" si="56"/>
        <v>0.28650302986038989</v>
      </c>
      <c r="CD89" s="2">
        <v>6.9828679591300846E-5</v>
      </c>
      <c r="CE89" s="2">
        <f t="shared" si="49"/>
        <v>0.28648169794005834</v>
      </c>
      <c r="CF89" s="2">
        <v>1.1149083487330125E-5</v>
      </c>
      <c r="CG89" s="2">
        <f t="shared" si="50"/>
        <v>-5.2994173769475199E-10</v>
      </c>
      <c r="CH89" s="2">
        <f t="shared" si="51"/>
        <v>7.7852577857343834E-10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0.30521112399114575</v>
      </c>
      <c r="BQ90" s="2">
        <v>-4.4132806127729352E-5</v>
      </c>
      <c r="BR90" s="2">
        <f t="shared" si="54"/>
        <v>0.3052324559114773</v>
      </c>
      <c r="BS90" s="2">
        <v>1.519566323417848E-5</v>
      </c>
      <c r="BT90" s="2">
        <f t="shared" si="45"/>
        <v>0.30522178995131155</v>
      </c>
      <c r="BU90" s="2">
        <v>-1.4468357855824954E-5</v>
      </c>
      <c r="BV90" s="2">
        <f t="shared" si="46"/>
        <v>6.3852923223773257E-10</v>
      </c>
      <c r="BW90" s="2">
        <f t="shared" si="47"/>
        <v>-2.1985629352869663E-10</v>
      </c>
      <c r="BX90" s="2">
        <f t="shared" si="48"/>
        <v>2.1331920331546517E-5</v>
      </c>
      <c r="BZ90" s="2">
        <v>18</v>
      </c>
      <c r="CA90" s="2">
        <f t="shared" si="55"/>
        <v>0.2864603660197268</v>
      </c>
      <c r="CB90" s="2">
        <v>-4.7532314050476032E-5</v>
      </c>
      <c r="CC90" s="2">
        <f t="shared" si="56"/>
        <v>0.28648169794005834</v>
      </c>
      <c r="CD90" s="2">
        <v>1.1149083487330125E-5</v>
      </c>
      <c r="CE90" s="2">
        <f t="shared" si="49"/>
        <v>0.28647103197989254</v>
      </c>
      <c r="CF90" s="2">
        <v>-1.8191390097448135E-5</v>
      </c>
      <c r="CG90" s="2">
        <f t="shared" si="50"/>
        <v>8.6467886712662455E-10</v>
      </c>
      <c r="CH90" s="2">
        <f t="shared" si="51"/>
        <v>-2.0281732694703975E-10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0.30522178995131155</v>
      </c>
      <c r="BQ91" s="2">
        <v>-1.4468357855824954E-5</v>
      </c>
      <c r="BR91" s="2">
        <f t="shared" si="54"/>
        <v>0.3052324559114773</v>
      </c>
      <c r="BS91" s="2">
        <v>1.519566323417848E-5</v>
      </c>
      <c r="BT91" s="2">
        <f t="shared" si="45"/>
        <v>0.30522712293139442</v>
      </c>
      <c r="BU91" s="2">
        <v>3.6370608683805594E-7</v>
      </c>
      <c r="BV91" s="2">
        <f t="shared" si="46"/>
        <v>-5.2622298187147394E-12</v>
      </c>
      <c r="BW91" s="2">
        <f t="shared" si="47"/>
        <v>5.5267552118119722E-12</v>
      </c>
      <c r="BX91" s="2">
        <f t="shared" si="48"/>
        <v>1.0665960165745503E-5</v>
      </c>
      <c r="BZ91" s="2">
        <v>19</v>
      </c>
      <c r="CA91" s="2">
        <f t="shared" si="55"/>
        <v>0.28647103197989254</v>
      </c>
      <c r="CB91" s="2">
        <v>-1.8191390097448135E-5</v>
      </c>
      <c r="CC91" s="2">
        <f t="shared" si="56"/>
        <v>0.28648169794005834</v>
      </c>
      <c r="CD91" s="2">
        <v>1.1149083487330125E-5</v>
      </c>
      <c r="CE91" s="2">
        <f t="shared" si="49"/>
        <v>0.28647636495997542</v>
      </c>
      <c r="CF91" s="2">
        <v>-3.5210970096427596E-6</v>
      </c>
      <c r="CG91" s="2">
        <f t="shared" si="50"/>
        <v>6.4053649273369538E-11</v>
      </c>
      <c r="CH91" s="2">
        <f t="shared" si="51"/>
        <v>-3.9257004527495575E-11</v>
      </c>
      <c r="CI91" s="2">
        <f t="shared" si="52"/>
        <v>1.0665960165801014E-5</v>
      </c>
    </row>
    <row r="92" spans="2:87" x14ac:dyDescent="0.2">
      <c r="BO92" s="2">
        <v>20</v>
      </c>
      <c r="BP92" s="2">
        <f t="shared" si="53"/>
        <v>0.30522178995131155</v>
      </c>
      <c r="BQ92" s="2">
        <v>-1.4468357855824954E-5</v>
      </c>
      <c r="BR92" s="2">
        <f t="shared" si="54"/>
        <v>0.30522712293139442</v>
      </c>
      <c r="BS92" s="2">
        <v>3.6370608683805594E-7</v>
      </c>
      <c r="BT92" s="2">
        <f t="shared" si="45"/>
        <v>0.30522445644135299</v>
      </c>
      <c r="BU92" s="2">
        <v>-7.0523125350815952E-6</v>
      </c>
      <c r="BV92" s="2">
        <f t="shared" si="46"/>
        <v>1.0203538146868059E-10</v>
      </c>
      <c r="BW92" s="2">
        <f t="shared" si="47"/>
        <v>-2.564968995293497E-12</v>
      </c>
      <c r="BX92" s="2">
        <f t="shared" si="48"/>
        <v>5.3329800828727514E-6</v>
      </c>
      <c r="BZ92" s="2">
        <v>20</v>
      </c>
      <c r="CA92" s="2">
        <f t="shared" si="55"/>
        <v>0.28647636495997542</v>
      </c>
      <c r="CB92" s="2">
        <v>-3.5210970096427596E-6</v>
      </c>
      <c r="CC92" s="2">
        <f t="shared" si="56"/>
        <v>0.28648169794005834</v>
      </c>
      <c r="CD92" s="2">
        <v>1.1149083487330125E-5</v>
      </c>
      <c r="CE92" s="2">
        <f t="shared" si="49"/>
        <v>0.28647903145001685</v>
      </c>
      <c r="CF92" s="2">
        <v>3.8140073125303431E-6</v>
      </c>
      <c r="CG92" s="2">
        <f t="shared" si="50"/>
        <v>-1.3429489742906209E-11</v>
      </c>
      <c r="CH92" s="2">
        <f t="shared" si="51"/>
        <v>4.2522685948688395E-11</v>
      </c>
      <c r="CI92" s="2">
        <f t="shared" si="52"/>
        <v>5.3329800829282625E-6</v>
      </c>
    </row>
    <row r="93" spans="2:87" x14ac:dyDescent="0.2">
      <c r="BO93" s="2">
        <v>21</v>
      </c>
      <c r="BP93" s="2">
        <f t="shared" si="53"/>
        <v>0.30522445644135299</v>
      </c>
      <c r="BQ93" s="2">
        <v>-7.0523125350815952E-6</v>
      </c>
      <c r="BR93" s="2">
        <f t="shared" si="54"/>
        <v>0.30522712293139442</v>
      </c>
      <c r="BS93" s="2">
        <v>3.6370608683805594E-7</v>
      </c>
      <c r="BT93" s="2">
        <f t="shared" si="45"/>
        <v>0.30522578968637371</v>
      </c>
      <c r="BU93" s="2">
        <v>-3.3442998867497242E-6</v>
      </c>
      <c r="BV93" s="2">
        <f t="shared" si="46"/>
        <v>2.358504801239704E-11</v>
      </c>
      <c r="BW93" s="2">
        <f t="shared" si="47"/>
        <v>-1.2163422250226959E-12</v>
      </c>
      <c r="BX93" s="2">
        <f t="shared" si="48"/>
        <v>2.6664900414363757E-6</v>
      </c>
      <c r="BZ93" s="2">
        <v>21</v>
      </c>
      <c r="CA93" s="2">
        <f t="shared" si="55"/>
        <v>0.28647636495997542</v>
      </c>
      <c r="CB93" s="2">
        <v>-3.5210970096427596E-6</v>
      </c>
      <c r="CC93" s="2">
        <f t="shared" si="56"/>
        <v>0.28647903145001685</v>
      </c>
      <c r="CD93" s="2">
        <v>3.8140073125303431E-6</v>
      </c>
      <c r="CE93" s="2">
        <f t="shared" si="49"/>
        <v>0.28647769820499613</v>
      </c>
      <c r="CF93" s="2">
        <v>1.4645866996954027E-7</v>
      </c>
      <c r="CG93" s="2">
        <f t="shared" si="50"/>
        <v>-5.1569518486600405E-13</v>
      </c>
      <c r="CH93" s="2">
        <f t="shared" si="51"/>
        <v>5.5859443824729476E-13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0.30522578968637371</v>
      </c>
      <c r="BQ94" s="2">
        <v>-3.3442998867497242E-6</v>
      </c>
      <c r="BR94" s="2">
        <f t="shared" si="54"/>
        <v>0.30522712293139442</v>
      </c>
      <c r="BS94" s="2">
        <v>3.6370608683805594E-7</v>
      </c>
      <c r="BT94" s="2">
        <f t="shared" si="45"/>
        <v>0.30522645630888406</v>
      </c>
      <c r="BU94" s="2">
        <v>-1.4902960656579256E-6</v>
      </c>
      <c r="BV94" s="2">
        <f t="shared" si="46"/>
        <v>4.9839969636033604E-12</v>
      </c>
      <c r="BW94" s="2">
        <f t="shared" si="47"/>
        <v>-5.4202975027059461E-13</v>
      </c>
      <c r="BX94" s="2">
        <f t="shared" si="48"/>
        <v>1.3332450207181878E-6</v>
      </c>
      <c r="BZ94" s="2">
        <v>22</v>
      </c>
      <c r="CA94" s="2">
        <f t="shared" si="55"/>
        <v>0.28647636495997542</v>
      </c>
      <c r="CB94" s="2">
        <v>-3.5210970096427596E-6</v>
      </c>
      <c r="CC94" s="2">
        <f t="shared" si="56"/>
        <v>0.28647769820499613</v>
      </c>
      <c r="CD94" s="2">
        <v>1.4645866996954027E-7</v>
      </c>
      <c r="CE94" s="2">
        <f t="shared" si="49"/>
        <v>0.28647703158248577</v>
      </c>
      <c r="CF94" s="2">
        <v>-1.6873182902762962E-6</v>
      </c>
      <c r="CG94" s="2">
        <f t="shared" si="50"/>
        <v>5.9412113862074005E-12</v>
      </c>
      <c r="CH94" s="2">
        <f t="shared" si="51"/>
        <v>-2.47122392609145E-13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0.30522645630888406</v>
      </c>
      <c r="BQ95" s="2">
        <v>-1.4902960656579256E-6</v>
      </c>
      <c r="BR95" s="2">
        <f t="shared" si="54"/>
        <v>0.30522712293139442</v>
      </c>
      <c r="BS95" s="2">
        <v>3.6370608683805594E-7</v>
      </c>
      <c r="BT95" s="2">
        <f t="shared" si="45"/>
        <v>0.30522678962013927</v>
      </c>
      <c r="BU95" s="2">
        <v>-5.6329478077127293E-7</v>
      </c>
      <c r="BV95" s="2">
        <f t="shared" si="46"/>
        <v>8.3947599558907179E-13</v>
      </c>
      <c r="BW95" s="2">
        <f t="shared" si="47"/>
        <v>-2.0487374045062027E-13</v>
      </c>
      <c r="BX95" s="2">
        <f t="shared" si="48"/>
        <v>6.6662251035909392E-7</v>
      </c>
      <c r="BZ95" s="2">
        <v>23</v>
      </c>
      <c r="CA95" s="2">
        <f t="shared" si="55"/>
        <v>0.28647703158248577</v>
      </c>
      <c r="CB95" s="2">
        <v>-1.6873182902762962E-6</v>
      </c>
      <c r="CC95" s="2">
        <f t="shared" si="56"/>
        <v>0.28647769820499613</v>
      </c>
      <c r="CD95" s="2">
        <v>1.4645866996954027E-7</v>
      </c>
      <c r="CE95" s="2">
        <f t="shared" si="49"/>
        <v>0.28647736489374098</v>
      </c>
      <c r="CF95" s="2">
        <v>-7.7042959020084956E-7</v>
      </c>
      <c r="CG95" s="2">
        <f t="shared" si="50"/>
        <v>1.299959938915965E-12</v>
      </c>
      <c r="CH95" s="2">
        <f t="shared" si="51"/>
        <v>-1.1283609308599438E-13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0.30522678962013927</v>
      </c>
      <c r="BQ96" s="2">
        <v>-5.6329478077127293E-7</v>
      </c>
      <c r="BR96" s="2">
        <f t="shared" si="54"/>
        <v>0.30522712293139442</v>
      </c>
      <c r="BS96" s="2">
        <v>3.6370608683805594E-7</v>
      </c>
      <c r="BT96" s="2">
        <f t="shared" si="45"/>
        <v>0.30522695627576685</v>
      </c>
      <c r="BU96" s="2">
        <v>-9.9794294786126336E-8</v>
      </c>
      <c r="BV96" s="2">
        <f t="shared" si="46"/>
        <v>5.6213605403774821E-14</v>
      </c>
      <c r="BW96" s="2">
        <f t="shared" si="47"/>
        <v>-3.629579244542542E-14</v>
      </c>
      <c r="BX96" s="2">
        <f t="shared" si="48"/>
        <v>3.3331125515179139E-7</v>
      </c>
      <c r="BZ96" s="2">
        <v>24</v>
      </c>
      <c r="CA96" s="2">
        <f t="shared" si="55"/>
        <v>0.28647736489374098</v>
      </c>
      <c r="CB96" s="2">
        <v>-7.7042959020084956E-7</v>
      </c>
      <c r="CC96" s="2">
        <f t="shared" si="56"/>
        <v>0.28647769820499613</v>
      </c>
      <c r="CD96" s="2">
        <v>1.4645866996954027E-7</v>
      </c>
      <c r="CE96" s="2">
        <f t="shared" si="49"/>
        <v>0.28647753154936856</v>
      </c>
      <c r="CF96" s="2">
        <v>-3.1198540510757322E-7</v>
      </c>
      <c r="CG96" s="2">
        <f t="shared" si="50"/>
        <v>2.4036278780567367E-13</v>
      </c>
      <c r="CH96" s="2">
        <f t="shared" si="51"/>
        <v>-4.5692967481963388E-14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0.30522695627576685</v>
      </c>
      <c r="BQ97" s="2">
        <v>-9.9794294786126336E-8</v>
      </c>
      <c r="BR97" s="2">
        <f t="shared" si="54"/>
        <v>0.30522712293139442</v>
      </c>
      <c r="BS97" s="2">
        <v>3.6370608683805594E-7</v>
      </c>
      <c r="BT97" s="2">
        <f t="shared" si="45"/>
        <v>0.30522703960358066</v>
      </c>
      <c r="BU97" s="2">
        <v>1.319559091786382E-7</v>
      </c>
      <c r="BV97" s="2">
        <f t="shared" si="46"/>
        <v>-1.3168446899344335E-14</v>
      </c>
      <c r="BW97" s="2">
        <f t="shared" si="47"/>
        <v>4.7993167362520408E-14</v>
      </c>
      <c r="BX97" s="2">
        <f t="shared" si="48"/>
        <v>1.6665562757589569E-7</v>
      </c>
      <c r="BZ97" s="2">
        <v>25</v>
      </c>
      <c r="CA97" s="2">
        <f t="shared" si="55"/>
        <v>0.28647753154936856</v>
      </c>
      <c r="CB97" s="2">
        <v>-3.1198540510757322E-7</v>
      </c>
      <c r="CC97" s="2">
        <f t="shared" si="56"/>
        <v>0.28647769820499613</v>
      </c>
      <c r="CD97" s="2">
        <v>1.4645866996954027E-7</v>
      </c>
      <c r="CE97" s="2">
        <f t="shared" si="49"/>
        <v>0.28647761487718237</v>
      </c>
      <c r="CF97" s="2">
        <v>-8.2763353830006547E-8</v>
      </c>
      <c r="CG97" s="2">
        <f t="shared" si="50"/>
        <v>2.5820958472716013E-14</v>
      </c>
      <c r="CH97" s="2">
        <f t="shared" si="51"/>
        <v>-1.2121410724161216E-14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0.30522695627576685</v>
      </c>
      <c r="BQ98" s="2">
        <v>-9.9794294786126336E-8</v>
      </c>
      <c r="BR98" s="2">
        <f t="shared" si="54"/>
        <v>0.30522703960358066</v>
      </c>
      <c r="BS98" s="2">
        <v>1.319559091786382E-7</v>
      </c>
      <c r="BT98" s="2">
        <f t="shared" si="45"/>
        <v>0.30522699793967378</v>
      </c>
      <c r="BU98" s="2">
        <v>1.6080810488761088E-8</v>
      </c>
      <c r="BV98" s="2">
        <f t="shared" si="46"/>
        <v>-1.6047731423152563E-15</v>
      </c>
      <c r="BW98" s="2">
        <f t="shared" si="47"/>
        <v>2.1219579683738507E-15</v>
      </c>
      <c r="BX98" s="2">
        <f t="shared" si="48"/>
        <v>8.3327813815703422E-8</v>
      </c>
      <c r="BZ98" s="2">
        <v>26</v>
      </c>
      <c r="CA98" s="2">
        <f t="shared" si="55"/>
        <v>0.28647761487718237</v>
      </c>
      <c r="CB98" s="2">
        <v>-8.2763353830006547E-8</v>
      </c>
      <c r="CC98" s="2">
        <f t="shared" si="56"/>
        <v>0.28647769820499613</v>
      </c>
      <c r="CD98" s="2">
        <v>1.4645866996954027E-7</v>
      </c>
      <c r="CE98" s="2">
        <f t="shared" si="49"/>
        <v>0.28647765654108925</v>
      </c>
      <c r="CF98" s="2">
        <v>3.1847661507988789E-8</v>
      </c>
      <c r="CG98" s="2">
        <f t="shared" si="50"/>
        <v>-2.6358192780439559E-15</v>
      </c>
      <c r="CH98" s="2">
        <f t="shared" si="51"/>
        <v>4.6643661461001608E-15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0.30522695627576685</v>
      </c>
      <c r="BQ99" s="2">
        <v>-9.9794294786126336E-8</v>
      </c>
      <c r="BR99" s="2">
        <f t="shared" si="54"/>
        <v>0.30522699793967378</v>
      </c>
      <c r="BS99" s="2">
        <v>1.6080810488761088E-8</v>
      </c>
      <c r="BT99" s="2">
        <f t="shared" si="45"/>
        <v>0.30522697710772029</v>
      </c>
      <c r="BU99" s="2">
        <v>-4.1856741399282082E-8</v>
      </c>
      <c r="BV99" s="2">
        <f t="shared" si="46"/>
        <v>4.177063989986614E-15</v>
      </c>
      <c r="BW99" s="2">
        <f t="shared" si="47"/>
        <v>-6.7309032611893579E-16</v>
      </c>
      <c r="BX99" s="2">
        <f t="shared" si="48"/>
        <v>4.1663906935607287E-8</v>
      </c>
      <c r="BZ99" s="2">
        <v>27</v>
      </c>
      <c r="CA99" s="2">
        <f t="shared" si="55"/>
        <v>0.28647761487718237</v>
      </c>
      <c r="CB99" s="2">
        <v>-8.2763353830006547E-8</v>
      </c>
      <c r="CC99" s="2">
        <f t="shared" si="56"/>
        <v>0.28647765654108925</v>
      </c>
      <c r="CD99" s="2">
        <v>3.1847661507988789E-8</v>
      </c>
      <c r="CE99" s="2">
        <f t="shared" si="49"/>
        <v>0.28647763570913581</v>
      </c>
      <c r="CF99" s="2">
        <v>-2.5457845380383315E-8</v>
      </c>
      <c r="CG99" s="2">
        <f t="shared" si="50"/>
        <v>2.106976664966262E-15</v>
      </c>
      <c r="CH99" s="2">
        <f t="shared" si="51"/>
        <v>-8.1077284239716393E-16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0.30522697710772029</v>
      </c>
      <c r="BQ100" s="2">
        <v>-4.1856741399282082E-8</v>
      </c>
      <c r="BR100" s="2">
        <f t="shared" si="54"/>
        <v>0.30522699793967378</v>
      </c>
      <c r="BS100" s="2">
        <v>1.6080810488761088E-8</v>
      </c>
      <c r="BT100" s="2">
        <f t="shared" si="45"/>
        <v>0.30522698752369704</v>
      </c>
      <c r="BU100" s="2">
        <v>-1.2887965229746445E-8</v>
      </c>
      <c r="BV100" s="2">
        <f t="shared" si="46"/>
        <v>5.3944822778443607E-16</v>
      </c>
      <c r="BW100" s="2">
        <f t="shared" si="47"/>
        <v>-2.0724892644529485E-16</v>
      </c>
      <c r="BX100" s="2">
        <f t="shared" si="48"/>
        <v>2.0831953495559219E-8</v>
      </c>
      <c r="BZ100" s="2">
        <v>28</v>
      </c>
      <c r="CA100" s="2">
        <f t="shared" si="55"/>
        <v>0.28647763570913581</v>
      </c>
      <c r="CB100" s="2">
        <v>-2.5457845380383315E-8</v>
      </c>
      <c r="CC100" s="2">
        <f t="shared" si="56"/>
        <v>0.28647765654108925</v>
      </c>
      <c r="CD100" s="2">
        <v>3.1847661507988789E-8</v>
      </c>
      <c r="CE100" s="2">
        <f t="shared" si="49"/>
        <v>0.28647764612511251</v>
      </c>
      <c r="CF100" s="2">
        <v>3.1949082546223195E-9</v>
      </c>
      <c r="CG100" s="2">
        <f t="shared" si="50"/>
        <v>-8.1335480350685336E-17</v>
      </c>
      <c r="CH100" s="2">
        <f t="shared" si="51"/>
        <v>1.0175035664229089E-16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0.30522698752369704</v>
      </c>
      <c r="BQ101" s="2">
        <v>-1.2887965229746445E-8</v>
      </c>
      <c r="BR101" s="2">
        <f t="shared" si="54"/>
        <v>0.30522699793967378</v>
      </c>
      <c r="BS101" s="2">
        <v>1.6080810488761088E-8</v>
      </c>
      <c r="BT101" s="2">
        <f t="shared" si="45"/>
        <v>0.30522699273168541</v>
      </c>
      <c r="BU101" s="2">
        <v>1.596422730121283E-9</v>
      </c>
      <c r="BV101" s="2">
        <f t="shared" si="46"/>
        <v>-2.0574640637779988E-17</v>
      </c>
      <c r="BW101" s="2">
        <f t="shared" si="47"/>
        <v>2.5671771383030941E-17</v>
      </c>
      <c r="BX101" s="2">
        <f t="shared" si="48"/>
        <v>1.0415976747779609E-8</v>
      </c>
      <c r="BZ101" s="2">
        <v>29</v>
      </c>
      <c r="CA101" s="2">
        <f t="shared" si="55"/>
        <v>0.28647763570913581</v>
      </c>
      <c r="CB101" s="2">
        <v>-2.5457845380383315E-8</v>
      </c>
      <c r="CC101" s="2">
        <f t="shared" si="56"/>
        <v>0.28647764612511251</v>
      </c>
      <c r="CD101" s="2">
        <v>3.1949082546223195E-9</v>
      </c>
      <c r="CE101" s="2">
        <f t="shared" si="49"/>
        <v>0.28647764091712413</v>
      </c>
      <c r="CF101" s="2">
        <v>-1.1131468642677778E-8</v>
      </c>
      <c r="CG101" s="2">
        <f t="shared" si="50"/>
        <v>2.8338320756187617E-16</v>
      </c>
      <c r="CH101" s="2">
        <f t="shared" si="51"/>
        <v>-3.5564021052560739E-17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0.30522698752369704</v>
      </c>
      <c r="BQ102" s="2">
        <v>-1.2887965229746445E-8</v>
      </c>
      <c r="BR102" s="2">
        <f t="shared" si="54"/>
        <v>0.30522699273168541</v>
      </c>
      <c r="BS102" s="2">
        <v>1.596422730121283E-9</v>
      </c>
      <c r="BT102" s="5">
        <f t="shared" si="45"/>
        <v>0.30522699012769122</v>
      </c>
      <c r="BU102" s="2">
        <v>-5.6457712810376037E-9</v>
      </c>
      <c r="BV102" s="2">
        <f t="shared" si="46"/>
        <v>7.2762503965113682E-17</v>
      </c>
      <c r="BW102" s="2">
        <f t="shared" si="47"/>
        <v>-9.0130376021143841E-18</v>
      </c>
      <c r="BX102" s="2">
        <f t="shared" si="48"/>
        <v>5.2079883738898047E-9</v>
      </c>
      <c r="BZ102" s="2">
        <v>30</v>
      </c>
      <c r="CA102" s="2">
        <f t="shared" si="55"/>
        <v>0.28647764091712413</v>
      </c>
      <c r="CB102" s="2">
        <v>-1.1131468642677778E-8</v>
      </c>
      <c r="CC102" s="2">
        <f t="shared" si="56"/>
        <v>0.28647764612511251</v>
      </c>
      <c r="CD102" s="2">
        <v>3.1949082546223195E-9</v>
      </c>
      <c r="CE102" s="5">
        <f t="shared" si="49"/>
        <v>0.28647764352111832</v>
      </c>
      <c r="CF102" s="2">
        <v>-3.968280197497176E-9</v>
      </c>
      <c r="CG102" s="2">
        <f t="shared" si="50"/>
        <v>4.4172786583798994E-17</v>
      </c>
      <c r="CH102" s="2">
        <f t="shared" si="51"/>
        <v>-1.2678291159638015E-17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-1.4129099626392083E-10</v>
      </c>
      <c r="BR106" s="30"/>
      <c r="BS106" s="30">
        <f>$BH$77</f>
        <v>-1.4129099626392083E-10</v>
      </c>
      <c r="BT106" s="30"/>
      <c r="BU106" s="30">
        <f>$BH$77</f>
        <v>-1.4129099626392083E-10</v>
      </c>
      <c r="BV106" s="30"/>
      <c r="BW106" s="30"/>
      <c r="BX106" s="30"/>
      <c r="BZ106" s="30">
        <v>0</v>
      </c>
      <c r="CA106" s="30"/>
      <c r="CB106" s="30">
        <f>$BL$77</f>
        <v>-7.3703918350431774E-9</v>
      </c>
      <c r="CC106" s="30"/>
      <c r="CD106" s="30">
        <f>$BL$77</f>
        <v>-7.3703918350431774E-9</v>
      </c>
      <c r="CE106" s="30"/>
      <c r="CF106" s="30">
        <f>$BL$77</f>
        <v>-7.3703918350431774E-9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-1.7039336053527094</v>
      </c>
      <c r="BR107" s="3">
        <f>0.9*PI()</f>
        <v>2.8274333882308138</v>
      </c>
      <c r="BS107" s="2">
        <f t="dataTable" ref="BS107:BS136" dt2D="0" dtr="0" r1="BH61" ca="1"/>
        <v>0.48452014348373501</v>
      </c>
      <c r="BT107" s="2">
        <f t="shared" ref="BT107:BT136" si="57">(BP107+BR107)/2</f>
        <v>1.4294246573833558</v>
      </c>
      <c r="BU107" s="2">
        <f t="dataTable" ref="BU107:BU136" dt2D="0" dtr="0" r1="BH61"/>
        <v>1.1358906375579021</v>
      </c>
      <c r="BV107" s="2">
        <f t="shared" ref="BV107:BV136" si="58">BQ107*BU107</f>
        <v>-1.9354822293404239</v>
      </c>
      <c r="BW107" s="2">
        <f t="shared" ref="BW107:BW136" si="59">BS107*BU107</f>
        <v>0.55036189469138597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-1.7409091537178285</v>
      </c>
      <c r="CC107" s="3">
        <f>0.9*PI()</f>
        <v>2.8274333882308138</v>
      </c>
      <c r="CD107" s="2">
        <f t="dataTable" ref="CD107:CD136" dt2D="0" dtr="0" r1="BL61" ca="1"/>
        <v>0.55270571781889821</v>
      </c>
      <c r="CE107" s="2">
        <f t="shared" ref="CE107:CE136" si="61">(CA107+CC107)/2</f>
        <v>1.4294246573833558</v>
      </c>
      <c r="CF107" s="2">
        <f t="dataTable" ref="CF107:CF136" dt2D="0" dtr="0" r1="BL61"/>
        <v>1.2201332261292821</v>
      </c>
      <c r="CG107" s="2">
        <f t="shared" ref="CG107:CG136" si="62">CB107*CF107</f>
        <v>-2.1241411021237324</v>
      </c>
      <c r="CH107" s="2">
        <f t="shared" ref="CH107:CH136" si="63">CD107*CF107</f>
        <v>0.67437461058247294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-1.7039336053527094</v>
      </c>
      <c r="BR108" s="2">
        <f t="shared" ref="BR108:BR136" si="66">IF(BW107&gt;0,BT107,BR107)</f>
        <v>1.4294246573833558</v>
      </c>
      <c r="BS108" s="2">
        <v>1.1358906375579021</v>
      </c>
      <c r="BT108" s="2">
        <f t="shared" si="57"/>
        <v>0.73042029195962688</v>
      </c>
      <c r="BU108" s="2">
        <v>0.78785076397930898</v>
      </c>
      <c r="BV108" s="2">
        <f t="shared" si="58"/>
        <v>-1.3424453927471505</v>
      </c>
      <c r="BW108" s="2">
        <f t="shared" si="59"/>
        <v>0.89491230659693755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-1.7409091537178285</v>
      </c>
      <c r="CC108" s="2">
        <f t="shared" ref="CC108:CC136" si="68">IF(CH107&gt;0,CE107,CC107)</f>
        <v>1.4294246573833558</v>
      </c>
      <c r="CD108" s="2">
        <v>1.2201332261292821</v>
      </c>
      <c r="CE108" s="2">
        <f t="shared" si="61"/>
        <v>0.73042029195962688</v>
      </c>
      <c r="CF108" s="2">
        <v>0.85675469039024588</v>
      </c>
      <c r="CG108" s="2">
        <f t="shared" si="62"/>
        <v>-1.4915320829910632</v>
      </c>
      <c r="CH108" s="2">
        <f t="shared" si="63"/>
        <v>1.045354864387245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-1.7039336053527094</v>
      </c>
      <c r="BR109" s="2">
        <f t="shared" si="66"/>
        <v>0.73042029195962688</v>
      </c>
      <c r="BS109" s="2">
        <v>0.78785076397930898</v>
      </c>
      <c r="BT109" s="2">
        <f t="shared" si="57"/>
        <v>0.38091810924776243</v>
      </c>
      <c r="BU109" s="2">
        <v>0.2746062106910428</v>
      </c>
      <c r="BV109" s="2">
        <f t="shared" si="58"/>
        <v>-0.46791075063503429</v>
      </c>
      <c r="BW109" s="2">
        <f t="shared" si="59"/>
        <v>0.21634871288640115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-1.7409091537178285</v>
      </c>
      <c r="CC109" s="2">
        <f t="shared" si="68"/>
        <v>0.73042029195962688</v>
      </c>
      <c r="CD109" s="2">
        <v>0.85675469039024588</v>
      </c>
      <c r="CE109" s="2">
        <f t="shared" si="61"/>
        <v>0.38091810924776243</v>
      </c>
      <c r="CF109" s="2">
        <v>0.29683736350387002</v>
      </c>
      <c r="CG109" s="2">
        <f t="shared" si="62"/>
        <v>-0.51676688328935383</v>
      </c>
      <c r="CH109" s="2">
        <f t="shared" si="63"/>
        <v>0.25431680346501501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-1.7039336053527094</v>
      </c>
      <c r="BR110" s="2">
        <f t="shared" si="66"/>
        <v>0.38091810924776243</v>
      </c>
      <c r="BS110" s="2">
        <v>0.2746062106910428</v>
      </c>
      <c r="BT110" s="2">
        <f t="shared" si="57"/>
        <v>0.20616701789183017</v>
      </c>
      <c r="BU110" s="2">
        <v>-0.21954976369903204</v>
      </c>
      <c r="BV110" s="2">
        <f t="shared" si="58"/>
        <v>0.37409822041402707</v>
      </c>
      <c r="BW110" s="2">
        <f t="shared" si="59"/>
        <v>-6.0289728667505052E-2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-1.7409091537178285</v>
      </c>
      <c r="CC110" s="2">
        <f t="shared" si="68"/>
        <v>0.38091810924776243</v>
      </c>
      <c r="CD110" s="2">
        <v>0.29683736350387002</v>
      </c>
      <c r="CE110" s="2">
        <f t="shared" si="61"/>
        <v>0.20616701789183017</v>
      </c>
      <c r="CF110" s="2">
        <v>-0.34014170826126239</v>
      </c>
      <c r="CG110" s="2">
        <f t="shared" si="62"/>
        <v>0.59215581347325086</v>
      </c>
      <c r="CH110" s="2">
        <f t="shared" si="63"/>
        <v>-0.10096676789797565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-0.21954976369903204</v>
      </c>
      <c r="BR111" s="2">
        <f t="shared" si="66"/>
        <v>0.38091810924776243</v>
      </c>
      <c r="BS111" s="2">
        <v>0.2746062106910428</v>
      </c>
      <c r="BT111" s="2">
        <f t="shared" si="57"/>
        <v>0.2935425635697963</v>
      </c>
      <c r="BU111" s="2">
        <v>4.3822541400247307E-2</v>
      </c>
      <c r="BV111" s="2">
        <f t="shared" si="58"/>
        <v>-9.621228609115344E-3</v>
      </c>
      <c r="BW111" s="2">
        <f t="shared" si="59"/>
        <v>1.2033942036773257E-2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-0.34014170826126239</v>
      </c>
      <c r="CC111" s="2">
        <f t="shared" si="68"/>
        <v>0.38091810924776243</v>
      </c>
      <c r="CD111" s="2">
        <v>0.29683736350387002</v>
      </c>
      <c r="CE111" s="2">
        <f t="shared" si="61"/>
        <v>0.2935425635697963</v>
      </c>
      <c r="CF111" s="2">
        <v>1.1531391196951471E-3</v>
      </c>
      <c r="CG111" s="2">
        <f t="shared" si="62"/>
        <v>-3.9223071003599563E-4</v>
      </c>
      <c r="CH111" s="2">
        <f t="shared" si="63"/>
        <v>3.4229477604348104E-4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-0.21954976369903204</v>
      </c>
      <c r="BR112" s="2">
        <f t="shared" si="66"/>
        <v>0.2935425635697963</v>
      </c>
      <c r="BS112" s="2">
        <v>4.3822541400247307E-2</v>
      </c>
      <c r="BT112" s="2">
        <f t="shared" si="57"/>
        <v>0.24985479073081324</v>
      </c>
      <c r="BU112" s="2">
        <v>-8.3310844930249497E-2</v>
      </c>
      <c r="BV112" s="2">
        <f t="shared" si="58"/>
        <v>1.8290876318002979E-2</v>
      </c>
      <c r="BW112" s="2">
        <f t="shared" si="59"/>
        <v>-3.6508929510454423E-3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-0.34014170826126239</v>
      </c>
      <c r="CC112" s="2">
        <f t="shared" si="68"/>
        <v>0.2935425635697963</v>
      </c>
      <c r="CD112" s="2">
        <v>1.1531391196951471E-3</v>
      </c>
      <c r="CE112" s="2">
        <f t="shared" si="61"/>
        <v>0.24985479073081324</v>
      </c>
      <c r="CF112" s="2">
        <v>-0.1632856090890325</v>
      </c>
      <c r="CG112" s="2">
        <f t="shared" si="62"/>
        <v>5.5540246010024226E-2</v>
      </c>
      <c r="CH112" s="2">
        <f t="shared" si="63"/>
        <v>-1.8829102352381285E-4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-8.3310844930249497E-2</v>
      </c>
      <c r="BR113" s="2">
        <f t="shared" si="66"/>
        <v>0.2935425635697963</v>
      </c>
      <c r="BS113" s="2">
        <v>4.3822541400247307E-2</v>
      </c>
      <c r="BT113" s="2">
        <f t="shared" si="57"/>
        <v>0.27169867715030477</v>
      </c>
      <c r="BU113" s="2">
        <v>-1.8701506326375329E-2</v>
      </c>
      <c r="BV113" s="2">
        <f t="shared" si="58"/>
        <v>1.558038293518735E-3</v>
      </c>
      <c r="BW113" s="2">
        <f t="shared" si="59"/>
        <v>-8.1954753523456978E-4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-0.1632856090890325</v>
      </c>
      <c r="CC113" s="2">
        <f t="shared" si="68"/>
        <v>0.2935425635697963</v>
      </c>
      <c r="CD113" s="2">
        <v>1.1531391196951471E-3</v>
      </c>
      <c r="CE113" s="2">
        <f t="shared" si="61"/>
        <v>0.27169867715030477</v>
      </c>
      <c r="CF113" s="2">
        <v>-7.9603119771583977E-2</v>
      </c>
      <c r="CG113" s="2">
        <f t="shared" si="62"/>
        <v>1.2998043897290295E-2</v>
      </c>
      <c r="CH113" s="2">
        <f t="shared" si="63"/>
        <v>-9.1793471458391702E-5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0.27169867715030477</v>
      </c>
      <c r="BQ114" s="2">
        <v>-1.8701506326375329E-2</v>
      </c>
      <c r="BR114" s="2">
        <f t="shared" si="66"/>
        <v>0.2935425635697963</v>
      </c>
      <c r="BS114" s="2">
        <v>4.3822541400247307E-2</v>
      </c>
      <c r="BT114" s="2">
        <f t="shared" si="57"/>
        <v>0.28262062036005053</v>
      </c>
      <c r="BU114" s="2">
        <v>1.2814055184237352E-2</v>
      </c>
      <c r="BV114" s="2">
        <f t="shared" si="58"/>
        <v>-2.3964213409453743E-4</v>
      </c>
      <c r="BW114" s="2">
        <f t="shared" si="59"/>
        <v>5.6154446381629503E-4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-7.9603119771583977E-2</v>
      </c>
      <c r="CC114" s="2">
        <f t="shared" si="68"/>
        <v>0.2935425635697963</v>
      </c>
      <c r="CD114" s="2">
        <v>1.1531391196951471E-3</v>
      </c>
      <c r="CE114" s="2">
        <f t="shared" si="61"/>
        <v>0.28262062036005053</v>
      </c>
      <c r="CF114" s="2">
        <v>-3.886676418488564E-2</v>
      </c>
      <c r="CG114" s="2">
        <f t="shared" si="62"/>
        <v>3.0939156845433621E-3</v>
      </c>
      <c r="CH114" s="2">
        <f t="shared" si="63"/>
        <v>-4.4818786237557898E-5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0.27169867715030477</v>
      </c>
      <c r="BQ115" s="2">
        <v>-1.8701506326375329E-2</v>
      </c>
      <c r="BR115" s="2">
        <f t="shared" si="66"/>
        <v>0.28262062036005053</v>
      </c>
      <c r="BS115" s="2">
        <v>1.2814055184237352E-2</v>
      </c>
      <c r="BT115" s="2">
        <f t="shared" si="57"/>
        <v>0.27715964875517762</v>
      </c>
      <c r="BU115" s="2">
        <v>-2.8795886668809383E-3</v>
      </c>
      <c r="BV115" s="2">
        <f t="shared" si="58"/>
        <v>5.3852645671032569E-5</v>
      </c>
      <c r="BW115" s="2">
        <f t="shared" si="59"/>
        <v>-3.6899208085316813E-5</v>
      </c>
      <c r="BX115" s="2">
        <f t="shared" si="60"/>
        <v>1.0921943209745766E-2</v>
      </c>
      <c r="BZ115" s="2">
        <v>9</v>
      </c>
      <c r="CA115" s="2">
        <f t="shared" si="67"/>
        <v>0.28262062036005053</v>
      </c>
      <c r="CB115" s="2">
        <v>-3.886676418488564E-2</v>
      </c>
      <c r="CC115" s="2">
        <f t="shared" si="68"/>
        <v>0.2935425635697963</v>
      </c>
      <c r="CD115" s="2">
        <v>1.1531391196951471E-3</v>
      </c>
      <c r="CE115" s="2">
        <f t="shared" si="61"/>
        <v>0.28808159196492344</v>
      </c>
      <c r="CF115" s="2">
        <v>-1.876807273671156E-2</v>
      </c>
      <c r="CG115" s="2">
        <f t="shared" si="62"/>
        <v>7.2945425726254952E-4</v>
      </c>
      <c r="CH115" s="2">
        <f t="shared" si="63"/>
        <v>-2.164219887398606E-5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0.27715964875517762</v>
      </c>
      <c r="BQ116" s="2">
        <v>-2.8795886668809383E-3</v>
      </c>
      <c r="BR116" s="2">
        <f t="shared" si="66"/>
        <v>0.28262062036005053</v>
      </c>
      <c r="BS116" s="2">
        <v>1.2814055184237352E-2</v>
      </c>
      <c r="BT116" s="2">
        <f t="shared" si="57"/>
        <v>0.27989013455761408</v>
      </c>
      <c r="BU116" s="2">
        <v>4.9831662835564186E-3</v>
      </c>
      <c r="BV116" s="2">
        <f t="shared" si="58"/>
        <v>-1.4349469155312267E-5</v>
      </c>
      <c r="BW116" s="2">
        <f t="shared" si="59"/>
        <v>6.3854567749722902E-5</v>
      </c>
      <c r="BX116" s="2">
        <f t="shared" si="60"/>
        <v>5.4609716048729107E-3</v>
      </c>
      <c r="BZ116" s="2">
        <v>10</v>
      </c>
      <c r="CA116" s="2">
        <f t="shared" si="67"/>
        <v>0.28808159196492344</v>
      </c>
      <c r="CB116" s="2">
        <v>-1.876807273671156E-2</v>
      </c>
      <c r="CC116" s="2">
        <f t="shared" si="68"/>
        <v>0.2935425635697963</v>
      </c>
      <c r="CD116" s="2">
        <v>1.1531391196951471E-3</v>
      </c>
      <c r="CE116" s="2">
        <f t="shared" si="61"/>
        <v>0.29081207776735984</v>
      </c>
      <c r="CF116" s="2">
        <v>-8.7853780567374203E-3</v>
      </c>
      <c r="CG116" s="2">
        <f t="shared" si="62"/>
        <v>1.6488461438835756E-4</v>
      </c>
      <c r="CH116" s="2">
        <f t="shared" si="63"/>
        <v>-1.0130763118535251E-5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0.27715964875517762</v>
      </c>
      <c r="BQ117" s="2">
        <v>-2.8795886668809383E-3</v>
      </c>
      <c r="BR117" s="2">
        <f t="shared" si="66"/>
        <v>0.27989013455761408</v>
      </c>
      <c r="BS117" s="2">
        <v>4.9831662835564186E-3</v>
      </c>
      <c r="BT117" s="2">
        <f t="shared" si="57"/>
        <v>0.27852489165639582</v>
      </c>
      <c r="BU117" s="2">
        <v>1.0557842272335832E-3</v>
      </c>
      <c r="BV117" s="2">
        <f t="shared" si="58"/>
        <v>-3.0402242954134756E-6</v>
      </c>
      <c r="BW117" s="2">
        <f t="shared" si="59"/>
        <v>5.2611483638610604E-6</v>
      </c>
      <c r="BX117" s="2">
        <f t="shared" si="60"/>
        <v>2.7304858024364553E-3</v>
      </c>
      <c r="BZ117" s="2">
        <v>11</v>
      </c>
      <c r="CA117" s="2">
        <f t="shared" si="67"/>
        <v>0.29081207776735984</v>
      </c>
      <c r="CB117" s="2">
        <v>-8.7853780567374203E-3</v>
      </c>
      <c r="CC117" s="2">
        <f t="shared" si="68"/>
        <v>0.2935425635697963</v>
      </c>
      <c r="CD117" s="2">
        <v>1.1531391196951471E-3</v>
      </c>
      <c r="CE117" s="2">
        <f t="shared" si="61"/>
        <v>0.29217732066857804</v>
      </c>
      <c r="CF117" s="2">
        <v>-3.8106089900800735E-3</v>
      </c>
      <c r="CG117" s="2">
        <f t="shared" si="62"/>
        <v>3.3477640604255817E-5</v>
      </c>
      <c r="CH117" s="2">
        <f t="shared" si="63"/>
        <v>-4.3941622963233496E-6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0.27715964875517762</v>
      </c>
      <c r="BQ118" s="2">
        <v>-2.8795886668809383E-3</v>
      </c>
      <c r="BR118" s="2">
        <f t="shared" si="66"/>
        <v>0.27852489165639582</v>
      </c>
      <c r="BS118" s="2">
        <v>1.0557842272335832E-3</v>
      </c>
      <c r="BT118" s="2">
        <f t="shared" si="57"/>
        <v>0.27784227020578672</v>
      </c>
      <c r="BU118" s="2">
        <v>-9.1090180367902826E-4</v>
      </c>
      <c r="BV118" s="2">
        <f t="shared" si="58"/>
        <v>2.623022510515535E-6</v>
      </c>
      <c r="BW118" s="2">
        <f t="shared" si="59"/>
        <v>-9.6171575688293997E-7</v>
      </c>
      <c r="BX118" s="2">
        <f t="shared" si="60"/>
        <v>1.3652429012181999E-3</v>
      </c>
      <c r="BZ118" s="2">
        <v>12</v>
      </c>
      <c r="CA118" s="2">
        <f t="shared" si="67"/>
        <v>0.29217732066857804</v>
      </c>
      <c r="CB118" s="2">
        <v>-3.8106089900800735E-3</v>
      </c>
      <c r="CC118" s="2">
        <f t="shared" si="68"/>
        <v>0.2935425635697963</v>
      </c>
      <c r="CD118" s="2">
        <v>1.1531391196951471E-3</v>
      </c>
      <c r="CE118" s="2">
        <f t="shared" si="61"/>
        <v>0.2928599421191872</v>
      </c>
      <c r="CF118" s="2">
        <v>-1.3273587610830792E-3</v>
      </c>
      <c r="CG118" s="2">
        <f t="shared" si="62"/>
        <v>5.05804522804473E-6</v>
      </c>
      <c r="CH118" s="2">
        <f t="shared" si="63"/>
        <v>-1.530629313274983E-6</v>
      </c>
      <c r="CI118" s="2">
        <f t="shared" si="64"/>
        <v>1.3652429012182554E-3</v>
      </c>
    </row>
    <row r="119" spans="67:87" x14ac:dyDescent="0.2">
      <c r="BO119" s="2">
        <v>13</v>
      </c>
      <c r="BP119" s="2">
        <f t="shared" si="65"/>
        <v>0.27784227020578672</v>
      </c>
      <c r="BQ119" s="2">
        <v>-9.1090180367902826E-4</v>
      </c>
      <c r="BR119" s="2">
        <f t="shared" si="66"/>
        <v>0.27852489165639582</v>
      </c>
      <c r="BS119" s="2">
        <v>1.0557842272335832E-3</v>
      </c>
      <c r="BT119" s="2">
        <f t="shared" si="57"/>
        <v>0.2781835809310913</v>
      </c>
      <c r="BU119" s="2">
        <v>7.26911187524798E-5</v>
      </c>
      <c r="BV119" s="2">
        <f t="shared" si="58"/>
        <v>-6.6214471183080283E-8</v>
      </c>
      <c r="BW119" s="2">
        <f t="shared" si="59"/>
        <v>7.6746136638831516E-8</v>
      </c>
      <c r="BX119" s="2">
        <f t="shared" si="60"/>
        <v>6.8262145060909996E-4</v>
      </c>
      <c r="BZ119" s="2">
        <v>13</v>
      </c>
      <c r="CA119" s="2">
        <f t="shared" si="67"/>
        <v>0.2928599421191872</v>
      </c>
      <c r="CB119" s="2">
        <v>-1.3273587610830792E-3</v>
      </c>
      <c r="CC119" s="2">
        <f t="shared" si="68"/>
        <v>0.2935425635697963</v>
      </c>
      <c r="CD119" s="2">
        <v>1.1531391196951471E-3</v>
      </c>
      <c r="CE119" s="2">
        <f t="shared" si="61"/>
        <v>0.29320125284449172</v>
      </c>
      <c r="CF119" s="2">
        <v>-8.6765956762661217E-5</v>
      </c>
      <c r="CG119" s="2">
        <f t="shared" si="62"/>
        <v>1.1516955287267401E-7</v>
      </c>
      <c r="CH119" s="2">
        <f t="shared" si="63"/>
        <v>-1.0005321900080235E-7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0.27784227020578672</v>
      </c>
      <c r="BQ120" s="2">
        <v>-9.1090180367902826E-4</v>
      </c>
      <c r="BR120" s="2">
        <f t="shared" si="66"/>
        <v>0.2781835809310913</v>
      </c>
      <c r="BS120" s="2">
        <v>7.26911187524798E-5</v>
      </c>
      <c r="BT120" s="2">
        <f t="shared" si="57"/>
        <v>0.27801292556843904</v>
      </c>
      <c r="BU120" s="2">
        <v>-4.1904284120583904E-4</v>
      </c>
      <c r="BV120" s="2">
        <f t="shared" si="58"/>
        <v>3.817068798731834E-7</v>
      </c>
      <c r="BW120" s="2">
        <f t="shared" si="59"/>
        <v>-3.0460692932470181E-8</v>
      </c>
      <c r="BX120" s="2">
        <f t="shared" si="60"/>
        <v>3.4131072530457773E-4</v>
      </c>
      <c r="BZ120" s="2">
        <v>14</v>
      </c>
      <c r="CA120" s="2">
        <f t="shared" si="67"/>
        <v>0.29320125284449172</v>
      </c>
      <c r="CB120" s="2">
        <v>-8.6765956762661217E-5</v>
      </c>
      <c r="CC120" s="2">
        <f t="shared" si="68"/>
        <v>0.2935425635697963</v>
      </c>
      <c r="CD120" s="2">
        <v>1.1531391196951471E-3</v>
      </c>
      <c r="CE120" s="2">
        <f t="shared" si="61"/>
        <v>0.29337190820714398</v>
      </c>
      <c r="CF120" s="2">
        <v>5.3327252506636669E-4</v>
      </c>
      <c r="CG120" s="2">
        <f t="shared" si="62"/>
        <v>-4.6269900852623541E-8</v>
      </c>
      <c r="CH120" s="2">
        <f t="shared" si="63"/>
        <v>6.1493741011263834E-7</v>
      </c>
      <c r="CI120" s="2">
        <f t="shared" si="64"/>
        <v>3.4131072530457773E-4</v>
      </c>
    </row>
    <row r="121" spans="67:87" x14ac:dyDescent="0.2">
      <c r="BO121" s="2">
        <v>15</v>
      </c>
      <c r="BP121" s="2">
        <f t="shared" si="65"/>
        <v>0.27801292556843904</v>
      </c>
      <c r="BQ121" s="2">
        <v>-4.1904284120583904E-4</v>
      </c>
      <c r="BR121" s="2">
        <f t="shared" si="66"/>
        <v>0.2781835809310913</v>
      </c>
      <c r="BS121" s="2">
        <v>7.26911187524798E-5</v>
      </c>
      <c r="BT121" s="2">
        <f t="shared" si="57"/>
        <v>0.27809825324976517</v>
      </c>
      <c r="BU121" s="2">
        <v>-1.7316023898400826E-4</v>
      </c>
      <c r="BV121" s="2">
        <f t="shared" si="58"/>
        <v>7.2561558527740909E-8</v>
      </c>
      <c r="BW121" s="2">
        <f t="shared" si="59"/>
        <v>-1.2587211495194326E-8</v>
      </c>
      <c r="BX121" s="2">
        <f t="shared" si="60"/>
        <v>1.7065536265226111E-4</v>
      </c>
      <c r="BZ121" s="2">
        <v>15</v>
      </c>
      <c r="CA121" s="2">
        <f t="shared" si="67"/>
        <v>0.29320125284449172</v>
      </c>
      <c r="CB121" s="2">
        <v>-8.6765956762661217E-5</v>
      </c>
      <c r="CC121" s="2">
        <f t="shared" si="68"/>
        <v>0.29337190820714398</v>
      </c>
      <c r="CD121" s="2">
        <v>5.3327252506636669E-4</v>
      </c>
      <c r="CE121" s="2">
        <f t="shared" si="61"/>
        <v>0.29328658052581785</v>
      </c>
      <c r="CF121" s="2">
        <v>2.2327477284676128E-4</v>
      </c>
      <c r="CG121" s="2">
        <f t="shared" si="62"/>
        <v>-1.9372649287015094E-8</v>
      </c>
      <c r="CH121" s="2">
        <f t="shared" si="63"/>
        <v>1.1906630189961184E-7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0.27809825324976517</v>
      </c>
      <c r="BQ122" s="2">
        <v>-1.7316023898400826E-4</v>
      </c>
      <c r="BR122" s="2">
        <f t="shared" si="66"/>
        <v>0.2781835809310913</v>
      </c>
      <c r="BS122" s="2">
        <v>7.26911187524798E-5</v>
      </c>
      <c r="BT122" s="2">
        <f t="shared" si="57"/>
        <v>0.27814091709042821</v>
      </c>
      <c r="BU122" s="2">
        <v>-5.0230654938393515E-5</v>
      </c>
      <c r="BV122" s="2">
        <f t="shared" si="58"/>
        <v>8.6979522134554749E-9</v>
      </c>
      <c r="BW122" s="2">
        <f t="shared" si="59"/>
        <v>-3.651322503141599E-9</v>
      </c>
      <c r="BX122" s="2">
        <f t="shared" si="60"/>
        <v>8.5327681326130556E-5</v>
      </c>
      <c r="BZ122" s="2">
        <v>16</v>
      </c>
      <c r="CA122" s="2">
        <f t="shared" si="67"/>
        <v>0.29320125284449172</v>
      </c>
      <c r="CB122" s="2">
        <v>-8.6765956762661217E-5</v>
      </c>
      <c r="CC122" s="2">
        <f t="shared" si="68"/>
        <v>0.29328658052581785</v>
      </c>
      <c r="CD122" s="2">
        <v>2.2327477284676128E-4</v>
      </c>
      <c r="CE122" s="2">
        <f t="shared" si="61"/>
        <v>0.29324391668515482</v>
      </c>
      <c r="CF122" s="2">
        <v>6.8259780565439743E-5</v>
      </c>
      <c r="CG122" s="2">
        <f t="shared" si="62"/>
        <v>-5.9226251691696873E-9</v>
      </c>
      <c r="CH122" s="2">
        <f t="shared" si="63"/>
        <v>1.5240687000318329E-8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0.27814091709042821</v>
      </c>
      <c r="BQ123" s="2">
        <v>-5.0230654938393515E-5</v>
      </c>
      <c r="BR123" s="2">
        <f t="shared" si="66"/>
        <v>0.2781835809310913</v>
      </c>
      <c r="BS123" s="2">
        <v>7.26911187524798E-5</v>
      </c>
      <c r="BT123" s="2">
        <f t="shared" si="57"/>
        <v>0.27816224901075975</v>
      </c>
      <c r="BU123" s="2">
        <v>1.1231208153491407E-5</v>
      </c>
      <c r="BV123" s="2">
        <f t="shared" si="58"/>
        <v>-5.6415094129929861E-10</v>
      </c>
      <c r="BW123" s="2">
        <f t="shared" si="59"/>
        <v>8.1640908561926322E-10</v>
      </c>
      <c r="BX123" s="2">
        <f t="shared" si="60"/>
        <v>4.2663840663093033E-5</v>
      </c>
      <c r="BZ123" s="2">
        <v>17</v>
      </c>
      <c r="CA123" s="2">
        <f t="shared" si="67"/>
        <v>0.29320125284449172</v>
      </c>
      <c r="CB123" s="2">
        <v>-8.6765956762661217E-5</v>
      </c>
      <c r="CC123" s="2">
        <f t="shared" si="68"/>
        <v>0.29324391668515482</v>
      </c>
      <c r="CD123" s="2">
        <v>6.8259780565439743E-5</v>
      </c>
      <c r="CE123" s="2">
        <f t="shared" si="61"/>
        <v>0.29322258476482327</v>
      </c>
      <c r="CF123" s="2">
        <v>-9.2517449239958027E-6</v>
      </c>
      <c r="CG123" s="2">
        <f t="shared" si="62"/>
        <v>8.0273650005459018E-10</v>
      </c>
      <c r="CH123" s="2">
        <f t="shared" si="63"/>
        <v>-6.3152207835937449E-10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0.27814091709042821</v>
      </c>
      <c r="BQ124" s="2">
        <v>-5.0230654938393515E-5</v>
      </c>
      <c r="BR124" s="2">
        <f t="shared" si="66"/>
        <v>0.27816224901075975</v>
      </c>
      <c r="BS124" s="2">
        <v>1.1231208153491407E-5</v>
      </c>
      <c r="BT124" s="2">
        <f t="shared" si="57"/>
        <v>0.27815158305059395</v>
      </c>
      <c r="BU124" s="2">
        <v>-1.9499479324943531E-5</v>
      </c>
      <c r="BV124" s="2">
        <f t="shared" si="58"/>
        <v>9.7947161744957708E-10</v>
      </c>
      <c r="BW124" s="2">
        <f t="shared" si="59"/>
        <v>-2.1900271118314289E-10</v>
      </c>
      <c r="BX124" s="2">
        <f t="shared" si="60"/>
        <v>2.1331920331546517E-5</v>
      </c>
      <c r="BZ124" s="2">
        <v>18</v>
      </c>
      <c r="CA124" s="2">
        <f t="shared" si="67"/>
        <v>0.29322258476482327</v>
      </c>
      <c r="CB124" s="2">
        <v>-9.2517449239958027E-6</v>
      </c>
      <c r="CC124" s="2">
        <f t="shared" si="68"/>
        <v>0.29324391668515482</v>
      </c>
      <c r="CD124" s="2">
        <v>6.8259780565439743E-5</v>
      </c>
      <c r="CE124" s="2">
        <f t="shared" si="61"/>
        <v>0.29323325072498907</v>
      </c>
      <c r="CF124" s="2">
        <v>2.9504353608968137E-5</v>
      </c>
      <c r="CG124" s="2">
        <f t="shared" si="62"/>
        <v>-2.7296675373754822E-10</v>
      </c>
      <c r="CH124" s="2">
        <f t="shared" si="63"/>
        <v>2.0139607030733054E-9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0.27815158305059395</v>
      </c>
      <c r="BQ125" s="2">
        <v>-1.9499479324943531E-5</v>
      </c>
      <c r="BR125" s="2">
        <f t="shared" si="66"/>
        <v>0.27816224901075975</v>
      </c>
      <c r="BS125" s="2">
        <v>1.1231208153491407E-5</v>
      </c>
      <c r="BT125" s="2">
        <f t="shared" si="57"/>
        <v>0.27815691603067683</v>
      </c>
      <c r="BU125" s="2">
        <v>-4.134074569641516E-6</v>
      </c>
      <c r="BV125" s="2">
        <f t="shared" si="58"/>
        <v>8.0612301598499563E-11</v>
      </c>
      <c r="BW125" s="2">
        <f t="shared" si="59"/>
        <v>-4.6430652013699271E-11</v>
      </c>
      <c r="BX125" s="2">
        <f t="shared" si="60"/>
        <v>1.0665960165801014E-5</v>
      </c>
      <c r="BZ125" s="2">
        <v>19</v>
      </c>
      <c r="CA125" s="2">
        <f t="shared" si="67"/>
        <v>0.29322258476482327</v>
      </c>
      <c r="CB125" s="2">
        <v>-9.2517449239958027E-6</v>
      </c>
      <c r="CC125" s="2">
        <f t="shared" si="68"/>
        <v>0.29323325072498907</v>
      </c>
      <c r="CD125" s="2">
        <v>2.9504353608968137E-5</v>
      </c>
      <c r="CE125" s="2">
        <f t="shared" si="61"/>
        <v>0.2932279177449062</v>
      </c>
      <c r="CF125" s="2">
        <v>1.0126388290451066E-5</v>
      </c>
      <c r="CG125" s="2">
        <f t="shared" si="62"/>
        <v>-9.3686761464591186E-11</v>
      </c>
      <c r="CH125" s="2">
        <f t="shared" si="63"/>
        <v>2.9877254090318257E-10</v>
      </c>
      <c r="CI125" s="2">
        <f t="shared" si="64"/>
        <v>1.0665960165801014E-5</v>
      </c>
    </row>
    <row r="126" spans="67:87" x14ac:dyDescent="0.2">
      <c r="BO126" s="2">
        <v>20</v>
      </c>
      <c r="BP126" s="2">
        <f t="shared" si="65"/>
        <v>0.27815691603067683</v>
      </c>
      <c r="BQ126" s="2">
        <v>-4.134074569641516E-6</v>
      </c>
      <c r="BR126" s="2">
        <f t="shared" si="66"/>
        <v>0.27816224901075975</v>
      </c>
      <c r="BS126" s="2">
        <v>1.1231208153491407E-5</v>
      </c>
      <c r="BT126" s="2">
        <f t="shared" si="57"/>
        <v>0.27815958252071826</v>
      </c>
      <c r="BU126" s="2">
        <v>3.5485820457717421E-6</v>
      </c>
      <c r="BV126" s="2">
        <f t="shared" si="58"/>
        <v>-1.4670102793711425E-11</v>
      </c>
      <c r="BW126" s="2">
        <f t="shared" si="59"/>
        <v>3.9854863605804804E-11</v>
      </c>
      <c r="BX126" s="2">
        <f t="shared" si="60"/>
        <v>5.3329800829282625E-6</v>
      </c>
      <c r="BZ126" s="2">
        <v>20</v>
      </c>
      <c r="CA126" s="2">
        <f t="shared" si="67"/>
        <v>0.29322258476482327</v>
      </c>
      <c r="CB126" s="2">
        <v>-9.2517449239958027E-6</v>
      </c>
      <c r="CC126" s="2">
        <f t="shared" si="68"/>
        <v>0.2932279177449062</v>
      </c>
      <c r="CD126" s="2">
        <v>1.0126388290451066E-5</v>
      </c>
      <c r="CE126" s="2">
        <f t="shared" si="61"/>
        <v>0.29322525125486476</v>
      </c>
      <c r="CF126" s="2">
        <v>4.3734267026959706E-7</v>
      </c>
      <c r="CG126" s="2">
        <f t="shared" si="62"/>
        <v>-4.0461828297135143E-12</v>
      </c>
      <c r="CH126" s="2">
        <f t="shared" si="63"/>
        <v>4.4287016951326492E-12</v>
      </c>
      <c r="CI126" s="2">
        <f t="shared" si="64"/>
        <v>5.3329800829282625E-6</v>
      </c>
    </row>
    <row r="127" spans="67:87" x14ac:dyDescent="0.2">
      <c r="BO127" s="2">
        <v>21</v>
      </c>
      <c r="BP127" s="2">
        <f t="shared" si="65"/>
        <v>0.27815691603067683</v>
      </c>
      <c r="BQ127" s="2">
        <v>-4.134074569641516E-6</v>
      </c>
      <c r="BR127" s="2">
        <f t="shared" si="66"/>
        <v>0.27815958252071826</v>
      </c>
      <c r="BS127" s="2">
        <v>3.5485820457717421E-6</v>
      </c>
      <c r="BT127" s="2">
        <f t="shared" si="57"/>
        <v>0.27815824927569754</v>
      </c>
      <c r="BU127" s="2">
        <v>-2.9274244838298213E-7</v>
      </c>
      <c r="BV127" s="2">
        <f t="shared" si="58"/>
        <v>1.2102191113146806E-12</v>
      </c>
      <c r="BW127" s="2">
        <f t="shared" si="59"/>
        <v>-1.0388205963671114E-12</v>
      </c>
      <c r="BX127" s="2">
        <f t="shared" si="60"/>
        <v>2.6664900414363757E-6</v>
      </c>
      <c r="BZ127" s="2">
        <v>21</v>
      </c>
      <c r="CA127" s="2">
        <f t="shared" si="67"/>
        <v>0.29322258476482327</v>
      </c>
      <c r="CB127" s="2">
        <v>-9.2517449239958027E-6</v>
      </c>
      <c r="CC127" s="2">
        <f t="shared" si="68"/>
        <v>0.29322525125486476</v>
      </c>
      <c r="CD127" s="2">
        <v>4.3734267026959706E-7</v>
      </c>
      <c r="CE127" s="2">
        <f t="shared" si="61"/>
        <v>0.29322391800984404</v>
      </c>
      <c r="CF127" s="2">
        <v>-4.4071958799803135E-6</v>
      </c>
      <c r="CG127" s="2">
        <f t="shared" si="62"/>
        <v>4.0774252111663079E-11</v>
      </c>
      <c r="CH127" s="2">
        <f t="shared" si="63"/>
        <v>-1.9274548145517571E-12</v>
      </c>
      <c r="CI127" s="2">
        <f t="shared" si="64"/>
        <v>2.6664900414918868E-6</v>
      </c>
    </row>
    <row r="128" spans="67:87" x14ac:dyDescent="0.2">
      <c r="BO128" s="2">
        <v>22</v>
      </c>
      <c r="BP128" s="2">
        <f t="shared" si="65"/>
        <v>0.27815824927569754</v>
      </c>
      <c r="BQ128" s="2">
        <v>-2.9274244838298213E-7</v>
      </c>
      <c r="BR128" s="2">
        <f t="shared" si="66"/>
        <v>0.27815958252071826</v>
      </c>
      <c r="BS128" s="2">
        <v>3.5485820457717421E-6</v>
      </c>
      <c r="BT128" s="2">
        <f t="shared" si="57"/>
        <v>0.2781589158982079</v>
      </c>
      <c r="BU128" s="2">
        <v>1.6279207520411565E-6</v>
      </c>
      <c r="BV128" s="2">
        <f t="shared" si="58"/>
        <v>-4.7656150672599367E-13</v>
      </c>
      <c r="BW128" s="2">
        <f t="shared" si="59"/>
        <v>5.7768103526324802E-12</v>
      </c>
      <c r="BX128" s="2">
        <f t="shared" si="60"/>
        <v>1.3332450207181878E-6</v>
      </c>
      <c r="BZ128" s="2">
        <v>22</v>
      </c>
      <c r="CA128" s="2">
        <f t="shared" si="67"/>
        <v>0.29322391800984404</v>
      </c>
      <c r="CB128" s="2">
        <v>-4.4071958799803135E-6</v>
      </c>
      <c r="CC128" s="2">
        <f t="shared" si="68"/>
        <v>0.29322525125486476</v>
      </c>
      <c r="CD128" s="2">
        <v>4.3734267026959706E-7</v>
      </c>
      <c r="CE128" s="2">
        <f t="shared" si="61"/>
        <v>0.2932245846323544</v>
      </c>
      <c r="CF128" s="2">
        <v>-1.9849252931823658E-6</v>
      </c>
      <c r="CG128" s="2">
        <f t="shared" si="62"/>
        <v>8.7479545741820378E-12</v>
      </c>
      <c r="CH128" s="2">
        <f t="shared" si="63"/>
        <v>-8.680925280060387E-13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0.27815824927569754</v>
      </c>
      <c r="BQ129" s="2">
        <v>-2.9274244838298213E-7</v>
      </c>
      <c r="BR129" s="2">
        <f t="shared" si="66"/>
        <v>0.2781589158982079</v>
      </c>
      <c r="BS129" s="2">
        <v>1.6279207520411565E-6</v>
      </c>
      <c r="BT129" s="2">
        <f t="shared" si="57"/>
        <v>0.2781585825869527</v>
      </c>
      <c r="BU129" s="2">
        <v>6.675893900708052E-7</v>
      </c>
      <c r="BV129" s="2">
        <f t="shared" si="58"/>
        <v>-1.9543175256382923E-13</v>
      </c>
      <c r="BW129" s="2">
        <f t="shared" si="59"/>
        <v>1.0867826219387621E-12</v>
      </c>
      <c r="BX129" s="2">
        <f t="shared" si="60"/>
        <v>6.6662251035909392E-7</v>
      </c>
      <c r="BZ129" s="2">
        <v>23</v>
      </c>
      <c r="CA129" s="2">
        <f t="shared" si="67"/>
        <v>0.2932245846323544</v>
      </c>
      <c r="CB129" s="2">
        <v>-1.9849252931823658E-6</v>
      </c>
      <c r="CC129" s="2">
        <f t="shared" si="68"/>
        <v>0.29322525125486476</v>
      </c>
      <c r="CD129" s="2">
        <v>4.3734267026959706E-7</v>
      </c>
      <c r="CE129" s="2">
        <f t="shared" si="61"/>
        <v>0.29322491794360961</v>
      </c>
      <c r="CF129" s="2">
        <v>-7.7379098351731956E-7</v>
      </c>
      <c r="CG129" s="2">
        <f t="shared" si="62"/>
        <v>1.5359172948199866E-12</v>
      </c>
      <c r="CH129" s="2">
        <f t="shared" si="63"/>
        <v>-3.3841181496200228E-13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0.27815824927569754</v>
      </c>
      <c r="BQ130" s="2">
        <v>-2.9274244838298213E-7</v>
      </c>
      <c r="BR130" s="2">
        <f t="shared" si="66"/>
        <v>0.2781585825869527</v>
      </c>
      <c r="BS130" s="2">
        <v>6.675893900708052E-7</v>
      </c>
      <c r="BT130" s="2">
        <f t="shared" si="57"/>
        <v>0.27815841593132512</v>
      </c>
      <c r="BU130" s="2">
        <v>1.8742353033104897E-7</v>
      </c>
      <c r="BV130" s="2">
        <f t="shared" si="58"/>
        <v>-5.4866823153693393E-14</v>
      </c>
      <c r="BW130" s="2">
        <f t="shared" si="59"/>
        <v>1.2512196029862205E-13</v>
      </c>
      <c r="BX130" s="2">
        <f t="shared" si="60"/>
        <v>3.3331125515179139E-7</v>
      </c>
      <c r="BZ130" s="2">
        <v>24</v>
      </c>
      <c r="CA130" s="2">
        <f t="shared" si="67"/>
        <v>0.29322491794360961</v>
      </c>
      <c r="CB130" s="2">
        <v>-7.7379098351731956E-7</v>
      </c>
      <c r="CC130" s="2">
        <f t="shared" si="68"/>
        <v>0.29322525125486476</v>
      </c>
      <c r="CD130" s="2">
        <v>4.3734267026959706E-7</v>
      </c>
      <c r="CE130" s="2">
        <f t="shared" si="61"/>
        <v>0.29322508459923718</v>
      </c>
      <c r="CF130" s="2">
        <v>-1.6822407458705335E-7</v>
      </c>
      <c r="CG130" s="2">
        <f t="shared" si="62"/>
        <v>1.3017027212600693E-13</v>
      </c>
      <c r="CH130" s="2">
        <f t="shared" si="63"/>
        <v>-7.3571565983533776E-14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0.27815824927569754</v>
      </c>
      <c r="BQ131" s="2">
        <v>-2.9274244838298213E-7</v>
      </c>
      <c r="BR131" s="2">
        <f t="shared" si="66"/>
        <v>0.27815841593132512</v>
      </c>
      <c r="BS131" s="2">
        <v>1.8742353033104897E-7</v>
      </c>
      <c r="BT131" s="2">
        <f t="shared" si="57"/>
        <v>0.2781583326035113</v>
      </c>
      <c r="BU131" s="2">
        <v>-5.2659444249592013E-8</v>
      </c>
      <c r="BV131" s="2">
        <f t="shared" si="58"/>
        <v>1.5415654640112714E-14</v>
      </c>
      <c r="BW131" s="2">
        <f t="shared" si="59"/>
        <v>-9.8696189465295917E-15</v>
      </c>
      <c r="BX131" s="2">
        <f t="shared" si="60"/>
        <v>1.6665562757589569E-7</v>
      </c>
      <c r="BZ131" s="2">
        <v>25</v>
      </c>
      <c r="CA131" s="2">
        <f t="shared" si="67"/>
        <v>0.29322508459923718</v>
      </c>
      <c r="CB131" s="2">
        <v>-1.6822407458705335E-7</v>
      </c>
      <c r="CC131" s="2">
        <f t="shared" si="68"/>
        <v>0.29322525125486476</v>
      </c>
      <c r="CD131" s="2">
        <v>4.3734267026959706E-7</v>
      </c>
      <c r="CE131" s="2">
        <f t="shared" si="61"/>
        <v>0.293225167927051</v>
      </c>
      <c r="CF131" s="2">
        <v>1.3455931843417424E-7</v>
      </c>
      <c r="CG131" s="2">
        <f t="shared" si="62"/>
        <v>-2.2636116820653591E-14</v>
      </c>
      <c r="CH131" s="2">
        <f t="shared" si="63"/>
        <v>5.8848531633658772E-14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0.2781583326035113</v>
      </c>
      <c r="BQ132" s="2">
        <v>-5.2659444249592013E-8</v>
      </c>
      <c r="BR132" s="2">
        <f t="shared" si="66"/>
        <v>0.27815841593132512</v>
      </c>
      <c r="BS132" s="2">
        <v>1.8742353033104897E-7</v>
      </c>
      <c r="BT132" s="2">
        <f t="shared" si="57"/>
        <v>0.27815837426741818</v>
      </c>
      <c r="BU132" s="2">
        <v>6.7382046695790843E-8</v>
      </c>
      <c r="BV132" s="2">
        <f t="shared" si="58"/>
        <v>-3.5483011314004035E-15</v>
      </c>
      <c r="BW132" s="2">
        <f t="shared" si="59"/>
        <v>1.2628981072656713E-14</v>
      </c>
      <c r="BX132" s="2">
        <f t="shared" si="60"/>
        <v>8.3327813815703422E-8</v>
      </c>
      <c r="BZ132" s="2">
        <v>26</v>
      </c>
      <c r="CA132" s="2">
        <f t="shared" si="67"/>
        <v>0.29322508459923718</v>
      </c>
      <c r="CB132" s="2">
        <v>-1.6822407458705335E-7</v>
      </c>
      <c r="CC132" s="2">
        <f t="shared" si="68"/>
        <v>0.293225167927051</v>
      </c>
      <c r="CD132" s="2">
        <v>1.3455931843417424E-7</v>
      </c>
      <c r="CE132" s="2">
        <f t="shared" si="61"/>
        <v>0.29322512626314412</v>
      </c>
      <c r="CF132" s="2">
        <v>-1.6832372853187172E-8</v>
      </c>
      <c r="CG132" s="2">
        <f t="shared" si="62"/>
        <v>2.8316103463316507E-15</v>
      </c>
      <c r="CH132" s="2">
        <f t="shared" si="63"/>
        <v>-2.2649526187547627E-15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0.2781583326035113</v>
      </c>
      <c r="BQ133" s="2">
        <v>-5.2659444249592013E-8</v>
      </c>
      <c r="BR133" s="2">
        <f t="shared" si="66"/>
        <v>0.27815837426741818</v>
      </c>
      <c r="BS133" s="2">
        <v>6.7382046695790843E-8</v>
      </c>
      <c r="BT133" s="2">
        <f t="shared" si="57"/>
        <v>0.27815835343546474</v>
      </c>
      <c r="BU133" s="2">
        <v>7.3613021893403907E-9</v>
      </c>
      <c r="BV133" s="2">
        <f t="shared" si="58"/>
        <v>-3.8764208224396996E-16</v>
      </c>
      <c r="BW133" s="2">
        <f t="shared" si="59"/>
        <v>4.9601960786396158E-16</v>
      </c>
      <c r="BX133" s="2">
        <f t="shared" si="60"/>
        <v>4.1663906880096135E-8</v>
      </c>
      <c r="BZ133" s="2">
        <v>27</v>
      </c>
      <c r="CA133" s="2">
        <f t="shared" si="67"/>
        <v>0.29322512626314412</v>
      </c>
      <c r="CB133" s="2">
        <v>-1.6832372853187172E-8</v>
      </c>
      <c r="CC133" s="2">
        <f t="shared" si="68"/>
        <v>0.293225167927051</v>
      </c>
      <c r="CD133" s="2">
        <v>1.3455931843417424E-7</v>
      </c>
      <c r="CE133" s="2">
        <f t="shared" si="61"/>
        <v>0.29322514709509756</v>
      </c>
      <c r="CF133" s="2">
        <v>5.8863473973574942E-8</v>
      </c>
      <c r="CG133" s="2">
        <f t="shared" si="62"/>
        <v>-9.9081194135709247E-16</v>
      </c>
      <c r="CH133" s="2">
        <f t="shared" si="63"/>
        <v>7.9206289385519982E-15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0.2781583326035113</v>
      </c>
      <c r="BQ134" s="2">
        <v>-5.2659444249592013E-8</v>
      </c>
      <c r="BR134" s="2">
        <f t="shared" si="66"/>
        <v>0.27815835343546474</v>
      </c>
      <c r="BS134" s="2">
        <v>7.3613021893403907E-9</v>
      </c>
      <c r="BT134" s="2">
        <f t="shared" si="57"/>
        <v>0.27815834301948805</v>
      </c>
      <c r="BU134" s="2">
        <v>-2.264907068491584E-8</v>
      </c>
      <c r="BV134" s="2">
        <f t="shared" si="58"/>
        <v>1.1926874750373945E-15</v>
      </c>
      <c r="BW134" s="2">
        <f t="shared" si="59"/>
        <v>-1.6672665361939622E-16</v>
      </c>
      <c r="BX134" s="2">
        <f t="shared" si="60"/>
        <v>2.0831953440048068E-8</v>
      </c>
      <c r="BZ134" s="2">
        <v>28</v>
      </c>
      <c r="CA134" s="2">
        <f t="shared" si="67"/>
        <v>0.29322512626314412</v>
      </c>
      <c r="CB134" s="2">
        <v>-1.6832372853187172E-8</v>
      </c>
      <c r="CC134" s="2">
        <f t="shared" si="68"/>
        <v>0.29322514709509756</v>
      </c>
      <c r="CD134" s="2">
        <v>5.8863473973574942E-8</v>
      </c>
      <c r="CE134" s="2">
        <f t="shared" si="61"/>
        <v>0.29322513667912087</v>
      </c>
      <c r="CF134" s="2">
        <v>2.1015550917546921E-8</v>
      </c>
      <c r="CG134" s="2">
        <f t="shared" si="62"/>
        <v>-3.5374158875928954E-16</v>
      </c>
      <c r="CH134" s="2">
        <f t="shared" si="63"/>
        <v>1.2370483344753623E-15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0.27815834301948805</v>
      </c>
      <c r="BQ135" s="2">
        <v>-2.264907068491584E-8</v>
      </c>
      <c r="BR135" s="2">
        <f t="shared" si="66"/>
        <v>0.27815835343546474</v>
      </c>
      <c r="BS135" s="2">
        <v>7.3613021893403907E-9</v>
      </c>
      <c r="BT135" s="2">
        <f t="shared" si="57"/>
        <v>0.27815834822747643</v>
      </c>
      <c r="BU135" s="2">
        <v>-7.6438840326820134E-9</v>
      </c>
      <c r="BV135" s="2">
        <f t="shared" si="58"/>
        <v>1.7312686976351445E-16</v>
      </c>
      <c r="BW135" s="2">
        <f t="shared" si="59"/>
        <v>-5.6268940264846164E-17</v>
      </c>
      <c r="BX135" s="2">
        <f t="shared" si="60"/>
        <v>1.0415976692268458E-8</v>
      </c>
      <c r="BZ135" s="2">
        <v>29</v>
      </c>
      <c r="CA135" s="2">
        <f t="shared" si="67"/>
        <v>0.29322512626314412</v>
      </c>
      <c r="CB135" s="2">
        <v>-1.6832372853187172E-8</v>
      </c>
      <c r="CC135" s="2">
        <f t="shared" si="68"/>
        <v>0.29322513667912087</v>
      </c>
      <c r="CD135" s="2">
        <v>2.1015550917546921E-8</v>
      </c>
      <c r="CE135" s="2">
        <f t="shared" si="61"/>
        <v>0.29322513147113249</v>
      </c>
      <c r="CF135" s="2">
        <v>2.0915890616701738E-9</v>
      </c>
      <c r="CG135" s="2">
        <f t="shared" si="62"/>
        <v>-3.5206406941680264E-17</v>
      </c>
      <c r="CH135" s="2">
        <f t="shared" si="63"/>
        <v>4.3955896424113727E-17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0.27815834822747643</v>
      </c>
      <c r="BQ136" s="2">
        <v>-7.6438840326820134E-9</v>
      </c>
      <c r="BR136" s="2">
        <f t="shared" si="66"/>
        <v>0.27815835343546474</v>
      </c>
      <c r="BS136" s="2">
        <v>7.3613021893403907E-9</v>
      </c>
      <c r="BT136" s="5">
        <f t="shared" si="57"/>
        <v>0.27815835083147056</v>
      </c>
      <c r="BU136" s="2">
        <v>-1.4129099626392083E-10</v>
      </c>
      <c r="BV136" s="2">
        <f t="shared" si="58"/>
        <v>1.0800119903035185E-18</v>
      </c>
      <c r="BW136" s="2">
        <f t="shared" si="59"/>
        <v>-1.0400857201316854E-18</v>
      </c>
      <c r="BX136" s="2">
        <f t="shared" si="60"/>
        <v>5.2079883183786535E-9</v>
      </c>
      <c r="BZ136" s="2">
        <v>30</v>
      </c>
      <c r="CA136" s="2">
        <f t="shared" si="67"/>
        <v>0.29322512626314412</v>
      </c>
      <c r="CB136" s="2">
        <v>-1.6832372853187172E-8</v>
      </c>
      <c r="CC136" s="2">
        <f t="shared" si="68"/>
        <v>0.29322513147113249</v>
      </c>
      <c r="CD136" s="2">
        <v>2.0915890616701738E-9</v>
      </c>
      <c r="CE136" s="5">
        <f t="shared" si="61"/>
        <v>0.29322512886713831</v>
      </c>
      <c r="CF136" s="2">
        <v>-7.3703918350431774E-9</v>
      </c>
      <c r="CG136" s="2">
        <f t="shared" si="62"/>
        <v>1.2406118344153317E-16</v>
      </c>
      <c r="CH136" s="2">
        <f t="shared" si="63"/>
        <v>-1.5415830942399469E-17</v>
      </c>
      <c r="CI136" s="2">
        <f t="shared" si="64"/>
        <v>5.2079883738898047E-9</v>
      </c>
    </row>
  </sheetData>
  <mergeCells count="87">
    <mergeCell ref="B1:D1"/>
    <mergeCell ref="B3:D3"/>
    <mergeCell ref="F3:H3"/>
    <mergeCell ref="J3:L3"/>
    <mergeCell ref="N3:P3"/>
    <mergeCell ref="F15:H15"/>
    <mergeCell ref="B28:D28"/>
    <mergeCell ref="B35:D35"/>
    <mergeCell ref="N18:P18"/>
    <mergeCell ref="J9:L9"/>
    <mergeCell ref="B16:D16"/>
    <mergeCell ref="F29:H29"/>
    <mergeCell ref="AQ7:AS7"/>
    <mergeCell ref="AQ2:AS2"/>
    <mergeCell ref="AU2:AW2"/>
    <mergeCell ref="AY2:BE2"/>
    <mergeCell ref="AU9:AW9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54:D54"/>
    <mergeCell ref="AV47:AW47"/>
    <mergeCell ref="AV48:AX48"/>
    <mergeCell ref="AU50:AU52"/>
    <mergeCell ref="AV52:AX52"/>
    <mergeCell ref="BB52:BD52"/>
    <mergeCell ref="J41:L41"/>
    <mergeCell ref="B46:D46"/>
    <mergeCell ref="F22:H22"/>
    <mergeCell ref="B49:D49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2025-03-05T07:10:17Z</dcterms:modified>
</cp:coreProperties>
</file>