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1_optimizations_of_ref_vehicle/liftcruise/"/>
    </mc:Choice>
  </mc:AlternateContent>
  <xr:revisionPtr revIDLastSave="0" documentId="13_ncr:1_{4F315492-A3BE-724A-9106-C96E4C28E475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liftcruise_ref" sheetId="12" r:id="rId1"/>
    <sheet name="liftcruise_opt_weight" sheetId="16" r:id="rId2"/>
    <sheet name="liftcruise_opt_energy" sheetId="17" r:id="rId3"/>
    <sheet name="liftcruise_opt_time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8" l="1"/>
  <c r="C56" i="18"/>
  <c r="C55" i="18"/>
  <c r="C51" i="18"/>
  <c r="C50" i="18"/>
  <c r="AN44" i="18"/>
  <c r="AM44" i="18"/>
  <c r="AN43" i="18"/>
  <c r="AM43" i="18"/>
  <c r="AN42" i="18"/>
  <c r="AM42" i="18"/>
  <c r="AN41" i="18"/>
  <c r="AM41" i="18"/>
  <c r="C41" i="18"/>
  <c r="K21" i="18" s="1"/>
  <c r="AN40" i="18"/>
  <c r="AM40" i="18"/>
  <c r="AN39" i="18"/>
  <c r="AM39" i="18"/>
  <c r="AN38" i="18"/>
  <c r="AM38" i="18"/>
  <c r="AN37" i="18"/>
  <c r="AM37" i="18"/>
  <c r="AN36" i="18"/>
  <c r="AM36" i="18"/>
  <c r="AN35" i="18"/>
  <c r="AM35" i="18"/>
  <c r="AN34" i="18"/>
  <c r="AM34" i="18"/>
  <c r="AN33" i="18"/>
  <c r="AM33" i="18"/>
  <c r="AN32" i="18"/>
  <c r="AM32" i="18"/>
  <c r="G32" i="18"/>
  <c r="AN31" i="18"/>
  <c r="AM31" i="18"/>
  <c r="AN30" i="18"/>
  <c r="AM30" i="18"/>
  <c r="AN29" i="18"/>
  <c r="AM29" i="18"/>
  <c r="K29" i="18"/>
  <c r="G29" i="18"/>
  <c r="G27" i="18" s="1"/>
  <c r="AN28" i="18"/>
  <c r="AM28" i="18"/>
  <c r="K28" i="18"/>
  <c r="AN27" i="18"/>
  <c r="AM27" i="18"/>
  <c r="K27" i="18"/>
  <c r="AN26" i="18"/>
  <c r="AM26" i="18"/>
  <c r="K26" i="18"/>
  <c r="G26" i="18"/>
  <c r="AN25" i="18"/>
  <c r="AM25" i="18"/>
  <c r="AN24" i="18"/>
  <c r="AM24" i="18"/>
  <c r="K24" i="18"/>
  <c r="G24" i="18"/>
  <c r="G25" i="18" s="1"/>
  <c r="AN23" i="18"/>
  <c r="AM23" i="18"/>
  <c r="K23" i="18"/>
  <c r="G23" i="18"/>
  <c r="C23" i="18"/>
  <c r="AN22" i="18"/>
  <c r="AM22" i="18"/>
  <c r="K22" i="18"/>
  <c r="AN21" i="18"/>
  <c r="AM21" i="18"/>
  <c r="O21" i="18"/>
  <c r="G14" i="18" s="1"/>
  <c r="G15" i="18" s="1"/>
  <c r="AN20" i="18"/>
  <c r="AM20" i="18"/>
  <c r="K20" i="18"/>
  <c r="AN19" i="18"/>
  <c r="AM19" i="18"/>
  <c r="O19" i="18"/>
  <c r="AN18" i="18"/>
  <c r="AM18" i="18"/>
  <c r="AN17" i="18"/>
  <c r="AM17" i="18"/>
  <c r="C17" i="18"/>
  <c r="AN16" i="18"/>
  <c r="AM16" i="18"/>
  <c r="C16" i="18"/>
  <c r="AN15" i="18"/>
  <c r="AM15" i="18"/>
  <c r="AN14" i="18"/>
  <c r="AM14" i="18"/>
  <c r="K14" i="18"/>
  <c r="AN13" i="18"/>
  <c r="AM13" i="18"/>
  <c r="AN12" i="18"/>
  <c r="AM12" i="18"/>
  <c r="AN11" i="18"/>
  <c r="AM11" i="18"/>
  <c r="O11" i="18"/>
  <c r="C11" i="18"/>
  <c r="C30" i="18" s="1"/>
  <c r="AN10" i="18"/>
  <c r="AM10" i="18"/>
  <c r="AN9" i="18"/>
  <c r="AM9" i="18"/>
  <c r="O9" i="18"/>
  <c r="C9" i="18"/>
  <c r="AN8" i="18"/>
  <c r="AM8" i="18"/>
  <c r="AN7" i="18"/>
  <c r="AM7" i="18"/>
  <c r="G7" i="18"/>
  <c r="G13" i="18"/>
  <c r="AN6" i="18"/>
  <c r="AM6" i="18"/>
  <c r="O6" i="18"/>
  <c r="AO5" i="18"/>
  <c r="AN5" i="18"/>
  <c r="AM5" i="18"/>
  <c r="AK5" i="18"/>
  <c r="O5" i="18"/>
  <c r="G5" i="18"/>
  <c r="G6" i="18" s="1"/>
  <c r="K11" i="18" s="1"/>
  <c r="AD4" i="18"/>
  <c r="Z4" i="18"/>
  <c r="O4" i="18"/>
  <c r="G4" i="18"/>
  <c r="G10" i="18" s="1"/>
  <c r="C56" i="17"/>
  <c r="C55" i="17"/>
  <c r="C51" i="17"/>
  <c r="C50" i="17"/>
  <c r="AN44" i="17"/>
  <c r="AM44" i="17"/>
  <c r="AN43" i="17"/>
  <c r="AM43" i="17"/>
  <c r="AN42" i="17"/>
  <c r="AM42" i="17"/>
  <c r="AN41" i="17"/>
  <c r="AM41" i="17"/>
  <c r="C41" i="17"/>
  <c r="K21" i="17" s="1"/>
  <c r="AN40" i="17"/>
  <c r="AM40" i="17"/>
  <c r="AN39" i="17"/>
  <c r="AM39" i="17"/>
  <c r="AN38" i="17"/>
  <c r="AM38" i="17"/>
  <c r="AN37" i="17"/>
  <c r="AM37" i="17"/>
  <c r="AN36" i="17"/>
  <c r="AM36" i="17"/>
  <c r="AN35" i="17"/>
  <c r="AM35" i="17"/>
  <c r="AN34" i="17"/>
  <c r="AM34" i="17"/>
  <c r="AN33" i="17"/>
  <c r="AM33" i="17"/>
  <c r="AN32" i="17"/>
  <c r="AM32" i="17"/>
  <c r="G32" i="17"/>
  <c r="AN31" i="17"/>
  <c r="AM31" i="17"/>
  <c r="AN30" i="17"/>
  <c r="AM30" i="17"/>
  <c r="AN29" i="17"/>
  <c r="AM29" i="17"/>
  <c r="K29" i="17"/>
  <c r="G29" i="17"/>
  <c r="G27" i="17" s="1"/>
  <c r="AN28" i="17"/>
  <c r="AM28" i="17"/>
  <c r="K28" i="17"/>
  <c r="AN27" i="17"/>
  <c r="AM27" i="17"/>
  <c r="K27" i="17"/>
  <c r="AN26" i="17"/>
  <c r="AM26" i="17"/>
  <c r="K26" i="17"/>
  <c r="G26" i="17"/>
  <c r="AN25" i="17"/>
  <c r="AM25" i="17"/>
  <c r="G25" i="17"/>
  <c r="AN24" i="17"/>
  <c r="AM24" i="17"/>
  <c r="K24" i="17"/>
  <c r="G24" i="17"/>
  <c r="AN23" i="17"/>
  <c r="AM23" i="17"/>
  <c r="K23" i="17"/>
  <c r="G23" i="17"/>
  <c r="C23" i="17"/>
  <c r="AN22" i="17"/>
  <c r="AM22" i="17"/>
  <c r="K22" i="17"/>
  <c r="AN21" i="17"/>
  <c r="AM21" i="17"/>
  <c r="O21" i="17"/>
  <c r="G14" i="17" s="1"/>
  <c r="G15" i="17" s="1"/>
  <c r="AN20" i="17"/>
  <c r="AM20" i="17"/>
  <c r="K20" i="17"/>
  <c r="AN19" i="17"/>
  <c r="AM19" i="17"/>
  <c r="O19" i="17"/>
  <c r="AN18" i="17"/>
  <c r="AM18" i="17"/>
  <c r="AN17" i="17"/>
  <c r="AM17" i="17"/>
  <c r="C17" i="17"/>
  <c r="AN16" i="17"/>
  <c r="AM16" i="17"/>
  <c r="C16" i="17"/>
  <c r="AN15" i="17"/>
  <c r="AM15" i="17"/>
  <c r="AN14" i="17"/>
  <c r="AM14" i="17"/>
  <c r="K14" i="17"/>
  <c r="AN13" i="17"/>
  <c r="AM13" i="17"/>
  <c r="AN12" i="17"/>
  <c r="AM12" i="17"/>
  <c r="AN11" i="17"/>
  <c r="AM11" i="17"/>
  <c r="O11" i="17"/>
  <c r="C11" i="17"/>
  <c r="C30" i="17" s="1"/>
  <c r="AN10" i="17"/>
  <c r="AM10" i="17"/>
  <c r="AN9" i="17"/>
  <c r="AM9" i="17"/>
  <c r="O9" i="17"/>
  <c r="C9" i="17"/>
  <c r="AN8" i="17"/>
  <c r="AM8" i="17"/>
  <c r="AN7" i="17"/>
  <c r="AM7" i="17"/>
  <c r="G7" i="17"/>
  <c r="C7" i="17"/>
  <c r="AN6" i="17"/>
  <c r="AM6" i="17"/>
  <c r="O6" i="17"/>
  <c r="AO5" i="17"/>
  <c r="AN5" i="17"/>
  <c r="AI6" i="17" s="1"/>
  <c r="AM5" i="17"/>
  <c r="AK5" i="17"/>
  <c r="G5" i="17"/>
  <c r="G6" i="17" s="1"/>
  <c r="AD4" i="17"/>
  <c r="Z4" i="17"/>
  <c r="O4" i="17"/>
  <c r="G4" i="17"/>
  <c r="G10" i="17" s="1"/>
  <c r="C56" i="16"/>
  <c r="C55" i="16"/>
  <c r="C51" i="16"/>
  <c r="C50" i="16"/>
  <c r="AN44" i="16"/>
  <c r="AM44" i="16"/>
  <c r="AN43" i="16"/>
  <c r="AM43" i="16"/>
  <c r="AN42" i="16"/>
  <c r="AM42" i="16"/>
  <c r="AN41" i="16"/>
  <c r="AM41" i="16"/>
  <c r="C41" i="16"/>
  <c r="K21" i="16" s="1"/>
  <c r="AN40" i="16"/>
  <c r="AM40" i="16"/>
  <c r="AN39" i="16"/>
  <c r="AM39" i="16"/>
  <c r="AN38" i="16"/>
  <c r="AM38" i="16"/>
  <c r="AN37" i="16"/>
  <c r="AM37" i="16"/>
  <c r="AN36" i="16"/>
  <c r="AM36" i="16"/>
  <c r="AN35" i="16"/>
  <c r="AM35" i="16"/>
  <c r="AN34" i="16"/>
  <c r="AM34" i="16"/>
  <c r="AN33" i="16"/>
  <c r="AM33" i="16"/>
  <c r="AN32" i="16"/>
  <c r="AM32" i="16"/>
  <c r="G32" i="16"/>
  <c r="AN31" i="16"/>
  <c r="AM31" i="16"/>
  <c r="AN30" i="16"/>
  <c r="AM30" i="16"/>
  <c r="AN29" i="16"/>
  <c r="AM29" i="16"/>
  <c r="K29" i="16"/>
  <c r="G29" i="16"/>
  <c r="G27" i="16" s="1"/>
  <c r="AN28" i="16"/>
  <c r="AM28" i="16"/>
  <c r="K28" i="16"/>
  <c r="AN27" i="16"/>
  <c r="AM27" i="16"/>
  <c r="K27" i="16"/>
  <c r="AN26" i="16"/>
  <c r="AM26" i="16"/>
  <c r="K26" i="16"/>
  <c r="G26" i="16"/>
  <c r="AN25" i="16"/>
  <c r="AM25" i="16"/>
  <c r="AN24" i="16"/>
  <c r="AM24" i="16"/>
  <c r="K24" i="16"/>
  <c r="G24" i="16"/>
  <c r="G25" i="16" s="1"/>
  <c r="AN23" i="16"/>
  <c r="AM23" i="16"/>
  <c r="K23" i="16"/>
  <c r="G23" i="16"/>
  <c r="C23" i="16"/>
  <c r="AN22" i="16"/>
  <c r="AM22" i="16"/>
  <c r="K22" i="16"/>
  <c r="AN21" i="16"/>
  <c r="AM21" i="16"/>
  <c r="O21" i="16"/>
  <c r="G14" i="16" s="1"/>
  <c r="G15" i="16" s="1"/>
  <c r="AN20" i="16"/>
  <c r="AM20" i="16"/>
  <c r="K20" i="16"/>
  <c r="AN19" i="16"/>
  <c r="AM19" i="16"/>
  <c r="O19" i="16"/>
  <c r="AN18" i="16"/>
  <c r="AM18" i="16"/>
  <c r="AN17" i="16"/>
  <c r="AM17" i="16"/>
  <c r="C17" i="16"/>
  <c r="AN16" i="16"/>
  <c r="AM16" i="16"/>
  <c r="C16" i="16"/>
  <c r="AN15" i="16"/>
  <c r="AM15" i="16"/>
  <c r="AN14" i="16"/>
  <c r="AM14" i="16"/>
  <c r="K14" i="16"/>
  <c r="AN13" i="16"/>
  <c r="AM13" i="16"/>
  <c r="AN12" i="16"/>
  <c r="AM12" i="16"/>
  <c r="AN11" i="16"/>
  <c r="AM11" i="16"/>
  <c r="O11" i="16"/>
  <c r="C11" i="16"/>
  <c r="C30" i="16" s="1"/>
  <c r="AN10" i="16"/>
  <c r="AM10" i="16"/>
  <c r="AN9" i="16"/>
  <c r="AM9" i="16"/>
  <c r="O9" i="16"/>
  <c r="C9" i="16"/>
  <c r="AN8" i="16"/>
  <c r="AM8" i="16"/>
  <c r="AN7" i="16"/>
  <c r="AM7" i="16"/>
  <c r="G7" i="16"/>
  <c r="C7" i="16"/>
  <c r="AN6" i="16"/>
  <c r="AM6" i="16"/>
  <c r="O6" i="16"/>
  <c r="AO5" i="16"/>
  <c r="AN5" i="16"/>
  <c r="AI6" i="16" s="1"/>
  <c r="AM5" i="16"/>
  <c r="AG6" i="16" s="1"/>
  <c r="AK5" i="16"/>
  <c r="G5" i="16"/>
  <c r="AD4" i="16"/>
  <c r="Z4" i="16"/>
  <c r="O4" i="16"/>
  <c r="G4" i="16"/>
  <c r="G10" i="16" s="1"/>
  <c r="O10" i="12"/>
  <c r="O9" i="12"/>
  <c r="C7" i="12"/>
  <c r="C17" i="12"/>
  <c r="G32" i="12"/>
  <c r="AI6" i="18" l="1"/>
  <c r="O10" i="18"/>
  <c r="O22" i="17"/>
  <c r="O22" i="16"/>
  <c r="G28" i="18"/>
  <c r="K38" i="18"/>
  <c r="K4" i="17"/>
  <c r="K5" i="17" s="1"/>
  <c r="K25" i="18"/>
  <c r="K37" i="18" s="1"/>
  <c r="G8" i="18"/>
  <c r="G9" i="18" s="1"/>
  <c r="K4" i="18"/>
  <c r="AG6" i="18"/>
  <c r="AK6" i="18" s="1"/>
  <c r="AG7" i="18" s="1"/>
  <c r="K34" i="18"/>
  <c r="K42" i="18"/>
  <c r="O22" i="18"/>
  <c r="O25" i="18" s="1"/>
  <c r="O12" i="18"/>
  <c r="O13" i="18" s="1"/>
  <c r="K46" i="18"/>
  <c r="K38" i="17"/>
  <c r="G28" i="17"/>
  <c r="K46" i="17"/>
  <c r="K38" i="16"/>
  <c r="O25" i="17"/>
  <c r="AG6" i="17"/>
  <c r="AK6" i="17" s="1"/>
  <c r="AG7" i="17" s="1"/>
  <c r="K34" i="17"/>
  <c r="K42" i="17"/>
  <c r="G13" i="17"/>
  <c r="K11" i="17" s="1"/>
  <c r="O5" i="17"/>
  <c r="K25" i="17"/>
  <c r="K37" i="17" s="1"/>
  <c r="G8" i="17"/>
  <c r="G9" i="17" s="1"/>
  <c r="G28" i="16"/>
  <c r="K46" i="16"/>
  <c r="AO6" i="16"/>
  <c r="O25" i="16"/>
  <c r="G6" i="16"/>
  <c r="K42" i="16"/>
  <c r="K34" i="16"/>
  <c r="K25" i="16"/>
  <c r="K37" i="16" s="1"/>
  <c r="G8" i="16"/>
  <c r="G9" i="16" s="1"/>
  <c r="K4" i="16"/>
  <c r="G13" i="16"/>
  <c r="O5" i="16"/>
  <c r="AK6" i="16"/>
  <c r="AG7" i="16" s="1"/>
  <c r="O12" i="16"/>
  <c r="O13" i="16" s="1"/>
  <c r="O16" i="16" s="1"/>
  <c r="C9" i="12"/>
  <c r="O11" i="12"/>
  <c r="O5" i="12"/>
  <c r="O19" i="12"/>
  <c r="AI7" i="18" l="1"/>
  <c r="AK7" i="18" s="1"/>
  <c r="AI8" i="18" s="1"/>
  <c r="K45" i="17"/>
  <c r="AI7" i="17"/>
  <c r="AK7" i="17" s="1"/>
  <c r="AI8" i="17" s="1"/>
  <c r="AI7" i="16"/>
  <c r="AO7" i="16" s="1"/>
  <c r="K45" i="18"/>
  <c r="O16" i="18"/>
  <c r="O14" i="18"/>
  <c r="K5" i="18"/>
  <c r="AO6" i="18"/>
  <c r="AG8" i="18"/>
  <c r="AO6" i="17"/>
  <c r="AG8" i="17"/>
  <c r="O10" i="17"/>
  <c r="O12" i="17"/>
  <c r="O13" i="17" s="1"/>
  <c r="O16" i="17" s="1"/>
  <c r="K45" i="16"/>
  <c r="K5" i="16"/>
  <c r="O10" i="16"/>
  <c r="O14" i="16"/>
  <c r="K11" i="16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K7" i="16" l="1"/>
  <c r="AI8" i="16" s="1"/>
  <c r="AO7" i="17"/>
  <c r="AO7" i="18"/>
  <c r="AO8" i="18"/>
  <c r="AK8" i="17"/>
  <c r="AI9" i="17" s="1"/>
  <c r="O20" i="18"/>
  <c r="O15" i="18"/>
  <c r="AK8" i="18"/>
  <c r="AI9" i="18" s="1"/>
  <c r="AO8" i="17"/>
  <c r="O14" i="17"/>
  <c r="O20" i="16"/>
  <c r="O15" i="16"/>
  <c r="AG6" i="12"/>
  <c r="G14" i="12"/>
  <c r="G15" i="12" s="1"/>
  <c r="O25" i="12"/>
  <c r="G6" i="12"/>
  <c r="AI6" i="12"/>
  <c r="G25" i="12"/>
  <c r="K42" i="12"/>
  <c r="AG9" i="18" l="1"/>
  <c r="AG8" i="16"/>
  <c r="AO8" i="16" s="1"/>
  <c r="AK8" i="16"/>
  <c r="AI9" i="16" s="1"/>
  <c r="AG9" i="17"/>
  <c r="AK9" i="17" s="1"/>
  <c r="AG10" i="17" s="1"/>
  <c r="AK9" i="18"/>
  <c r="AG10" i="18" s="1"/>
  <c r="AO9" i="18"/>
  <c r="AI10" i="18"/>
  <c r="O23" i="18"/>
  <c r="G16" i="18"/>
  <c r="K16" i="18"/>
  <c r="O28" i="18"/>
  <c r="O30" i="18" s="1"/>
  <c r="O20" i="17"/>
  <c r="O15" i="17"/>
  <c r="G16" i="16"/>
  <c r="O23" i="16"/>
  <c r="K16" i="16"/>
  <c r="O28" i="16"/>
  <c r="O30" i="16" s="1"/>
  <c r="AO6" i="12"/>
  <c r="AK6" i="12"/>
  <c r="AG7" i="12" s="1"/>
  <c r="AO10" i="18" l="1"/>
  <c r="AG9" i="16"/>
  <c r="AO9" i="16" s="1"/>
  <c r="AI10" i="17"/>
  <c r="AO10" i="17" s="1"/>
  <c r="AG11" i="17"/>
  <c r="AO9" i="17"/>
  <c r="G19" i="18"/>
  <c r="W4" i="18"/>
  <c r="Y4" i="18"/>
  <c r="AA4" i="18"/>
  <c r="AK10" i="18"/>
  <c r="AI11" i="18" s="1"/>
  <c r="O23" i="17"/>
  <c r="G16" i="17"/>
  <c r="K16" i="17"/>
  <c r="O28" i="17"/>
  <c r="O30" i="17" s="1"/>
  <c r="G19" i="16"/>
  <c r="Y4" i="16"/>
  <c r="AA4" i="16"/>
  <c r="W4" i="16"/>
  <c r="AI7" i="12"/>
  <c r="AO7" i="12" s="1"/>
  <c r="AK10" i="17" l="1"/>
  <c r="AI11" i="17" s="1"/>
  <c r="AK11" i="17" s="1"/>
  <c r="AI12" i="17" s="1"/>
  <c r="AK9" i="16"/>
  <c r="AG10" i="16" s="1"/>
  <c r="AG12" i="17"/>
  <c r="AI10" i="16"/>
  <c r="AG11" i="18"/>
  <c r="AO11" i="18" s="1"/>
  <c r="AC4" i="18"/>
  <c r="X5" i="18" s="1"/>
  <c r="Y5" i="18" s="1"/>
  <c r="AB4" i="18"/>
  <c r="V5" i="18" s="1"/>
  <c r="G19" i="17"/>
  <c r="AA4" i="17"/>
  <c r="W4" i="17"/>
  <c r="Y4" i="17"/>
  <c r="AB4" i="16"/>
  <c r="V5" i="16" s="1"/>
  <c r="W5" i="16" s="1"/>
  <c r="AC4" i="16"/>
  <c r="X5" i="16" s="1"/>
  <c r="Y5" i="16" s="1"/>
  <c r="AK7" i="12"/>
  <c r="AI8" i="12" s="1"/>
  <c r="AO11" i="17" l="1"/>
  <c r="AO12" i="17"/>
  <c r="AK12" i="17"/>
  <c r="AG13" i="17" s="1"/>
  <c r="Z5" i="18"/>
  <c r="AA5" i="18" s="1"/>
  <c r="AC5" i="18" s="1"/>
  <c r="X6" i="18" s="1"/>
  <c r="AK10" i="16"/>
  <c r="AI11" i="16" s="1"/>
  <c r="AO10" i="16"/>
  <c r="AI13" i="17"/>
  <c r="AG11" i="16"/>
  <c r="AK11" i="18"/>
  <c r="AG12" i="18" s="1"/>
  <c r="AI12" i="18"/>
  <c r="W5" i="18"/>
  <c r="AB5" i="18" s="1"/>
  <c r="V6" i="18" s="1"/>
  <c r="W6" i="18" s="1"/>
  <c r="AD5" i="18"/>
  <c r="AB4" i="17"/>
  <c r="V5" i="17" s="1"/>
  <c r="W5" i="17" s="1"/>
  <c r="AC4" i="17"/>
  <c r="X5" i="17" s="1"/>
  <c r="AD5" i="16"/>
  <c r="Z5" i="16"/>
  <c r="AA5" i="16" s="1"/>
  <c r="AC5" i="16" s="1"/>
  <c r="X6" i="16" s="1"/>
  <c r="Y6" i="16" s="1"/>
  <c r="AG8" i="12"/>
  <c r="AO8" i="12" s="1"/>
  <c r="AO13" i="17" l="1"/>
  <c r="AO11" i="16"/>
  <c r="AK13" i="17"/>
  <c r="AI14" i="17" s="1"/>
  <c r="AK11" i="16"/>
  <c r="AI12" i="16" s="1"/>
  <c r="AO12" i="18"/>
  <c r="AK12" i="18"/>
  <c r="Z6" i="18"/>
  <c r="AA6" i="18" s="1"/>
  <c r="AB6" i="18" s="1"/>
  <c r="V7" i="18" s="1"/>
  <c r="AG14" i="17"/>
  <c r="Y6" i="18"/>
  <c r="AD6" i="18"/>
  <c r="Z5" i="17"/>
  <c r="AA5" i="17" s="1"/>
  <c r="AB5" i="17" s="1"/>
  <c r="V6" i="17" s="1"/>
  <c r="W6" i="17" s="1"/>
  <c r="AD5" i="17"/>
  <c r="Y5" i="17"/>
  <c r="AB5" i="16"/>
  <c r="V6" i="16" s="1"/>
  <c r="AK8" i="12"/>
  <c r="AI9" i="12" s="1"/>
  <c r="AK14" i="17" l="1"/>
  <c r="AG15" i="17" s="1"/>
  <c r="AG12" i="16"/>
  <c r="AO14" i="17"/>
  <c r="AK12" i="16"/>
  <c r="AG13" i="16" s="1"/>
  <c r="AO12" i="16"/>
  <c r="AC6" i="18"/>
  <c r="X7" i="18" s="1"/>
  <c r="Z7" i="18" s="1"/>
  <c r="AA7" i="18" s="1"/>
  <c r="AG13" i="18"/>
  <c r="AI13" i="18"/>
  <c r="AI15" i="17"/>
  <c r="AK15" i="17" s="1"/>
  <c r="AI16" i="17" s="1"/>
  <c r="W7" i="18"/>
  <c r="AC5" i="17"/>
  <c r="X6" i="17" s="1"/>
  <c r="Z6" i="17" s="1"/>
  <c r="AA6" i="17" s="1"/>
  <c r="AB6" i="17" s="1"/>
  <c r="V7" i="17" s="1"/>
  <c r="W7" i="17" s="1"/>
  <c r="Z6" i="16"/>
  <c r="AA6" i="16" s="1"/>
  <c r="AC6" i="16" s="1"/>
  <c r="X7" i="16" s="1"/>
  <c r="AD6" i="16"/>
  <c r="W6" i="16"/>
  <c r="AG9" i="12"/>
  <c r="AO9" i="12" s="1"/>
  <c r="AI13" i="16" l="1"/>
  <c r="AK13" i="16" s="1"/>
  <c r="AK13" i="18"/>
  <c r="AO13" i="16"/>
  <c r="Y7" i="18"/>
  <c r="AC7" i="18" s="1"/>
  <c r="X8" i="18" s="1"/>
  <c r="Y8" i="18" s="1"/>
  <c r="AB7" i="18"/>
  <c r="V8" i="18" s="1"/>
  <c r="W8" i="18" s="1"/>
  <c r="AD7" i="18"/>
  <c r="AO13" i="18"/>
  <c r="AI14" i="18"/>
  <c r="AG14" i="18"/>
  <c r="Y6" i="17"/>
  <c r="AC6" i="17" s="1"/>
  <c r="X7" i="17" s="1"/>
  <c r="AD7" i="17" s="1"/>
  <c r="AG16" i="17"/>
  <c r="AO16" i="17" s="1"/>
  <c r="AO15" i="17"/>
  <c r="AD6" i="17"/>
  <c r="AB6" i="16"/>
  <c r="V7" i="16" s="1"/>
  <c r="Z7" i="16" s="1"/>
  <c r="AA7" i="16" s="1"/>
  <c r="Y7" i="16"/>
  <c r="AK9" i="12"/>
  <c r="AI10" i="12" s="1"/>
  <c r="AI14" i="16" l="1"/>
  <c r="AG14" i="16"/>
  <c r="AD8" i="18"/>
  <c r="Z8" i="18"/>
  <c r="AA8" i="18" s="1"/>
  <c r="AB8" i="18" s="1"/>
  <c r="V9" i="18" s="1"/>
  <c r="W9" i="18" s="1"/>
  <c r="AK14" i="18"/>
  <c r="AG15" i="18" s="1"/>
  <c r="AO14" i="18"/>
  <c r="AK16" i="17"/>
  <c r="AI17" i="17" s="1"/>
  <c r="W7" i="16"/>
  <c r="AB7" i="16" s="1"/>
  <c r="V8" i="16" s="1"/>
  <c r="W8" i="16" s="1"/>
  <c r="AD7" i="16"/>
  <c r="Z7" i="17"/>
  <c r="AA7" i="17" s="1"/>
  <c r="AB7" i="17" s="1"/>
  <c r="V8" i="17" s="1"/>
  <c r="W8" i="17" s="1"/>
  <c r="Y7" i="17"/>
  <c r="AC7" i="16"/>
  <c r="X8" i="16" s="1"/>
  <c r="AG10" i="12"/>
  <c r="AO10" i="12" s="1"/>
  <c r="AI15" i="18" l="1"/>
  <c r="AG17" i="17"/>
  <c r="AO17" i="17" s="1"/>
  <c r="AO14" i="16"/>
  <c r="AK14" i="16"/>
  <c r="AC8" i="18"/>
  <c r="X9" i="18" s="1"/>
  <c r="Z9" i="18" s="1"/>
  <c r="AA9" i="18" s="1"/>
  <c r="AB9" i="18" s="1"/>
  <c r="V10" i="18" s="1"/>
  <c r="AO15" i="18"/>
  <c r="AK15" i="18"/>
  <c r="AC7" i="17"/>
  <c r="X8" i="17" s="1"/>
  <c r="Y8" i="17" s="1"/>
  <c r="AD8" i="16"/>
  <c r="Z8" i="16"/>
  <c r="AA8" i="16" s="1"/>
  <c r="AB8" i="16" s="1"/>
  <c r="V9" i="16" s="1"/>
  <c r="W9" i="16" s="1"/>
  <c r="Y8" i="16"/>
  <c r="AK10" i="12"/>
  <c r="Z8" i="17" l="1"/>
  <c r="AA8" i="17" s="1"/>
  <c r="AC8" i="17" s="1"/>
  <c r="X9" i="17" s="1"/>
  <c r="Y9" i="17" s="1"/>
  <c r="AK17" i="17"/>
  <c r="Y9" i="18"/>
  <c r="AC9" i="18" s="1"/>
  <c r="X10" i="18" s="1"/>
  <c r="AD9" i="18"/>
  <c r="AD8" i="17"/>
  <c r="AG15" i="16"/>
  <c r="AI15" i="16"/>
  <c r="AI16" i="18"/>
  <c r="AG16" i="18"/>
  <c r="AC8" i="16"/>
  <c r="X9" i="16" s="1"/>
  <c r="AD9" i="16" s="1"/>
  <c r="W10" i="18"/>
  <c r="AG11" i="12"/>
  <c r="AI11" i="12"/>
  <c r="AB8" i="17" l="1"/>
  <c r="V9" i="17" s="1"/>
  <c r="AG18" i="17"/>
  <c r="AI18" i="17"/>
  <c r="AK15" i="16"/>
  <c r="AO15" i="16"/>
  <c r="AK16" i="18"/>
  <c r="AG17" i="18" s="1"/>
  <c r="AI17" i="18"/>
  <c r="AO16" i="18"/>
  <c r="Y9" i="16"/>
  <c r="Z9" i="16"/>
  <c r="AA9" i="16" s="1"/>
  <c r="AB9" i="16" s="1"/>
  <c r="V10" i="16" s="1"/>
  <c r="W10" i="16" s="1"/>
  <c r="Z9" i="17"/>
  <c r="AA9" i="17" s="1"/>
  <c r="AC9" i="17" s="1"/>
  <c r="X10" i="17" s="1"/>
  <c r="Y10" i="17" s="1"/>
  <c r="W9" i="17"/>
  <c r="AD9" i="17"/>
  <c r="AD10" i="18"/>
  <c r="Y10" i="18"/>
  <c r="Z10" i="18"/>
  <c r="AA10" i="18" s="1"/>
  <c r="AB10" i="18" s="1"/>
  <c r="V11" i="18" s="1"/>
  <c r="AO11" i="12"/>
  <c r="AK11" i="12"/>
  <c r="AO18" i="17" l="1"/>
  <c r="AK18" i="17"/>
  <c r="AK17" i="18"/>
  <c r="AG18" i="18" s="1"/>
  <c r="AI16" i="16"/>
  <c r="AG16" i="16"/>
  <c r="AO17" i="18"/>
  <c r="AI18" i="18"/>
  <c r="AO18" i="18" s="1"/>
  <c r="AB9" i="17"/>
  <c r="V10" i="17" s="1"/>
  <c r="AD10" i="17" s="1"/>
  <c r="AC9" i="16"/>
  <c r="X10" i="16" s="1"/>
  <c r="W11" i="18"/>
  <c r="AC10" i="18"/>
  <c r="X11" i="18" s="1"/>
  <c r="AI12" i="12"/>
  <c r="AG12" i="12"/>
  <c r="AG19" i="17" l="1"/>
  <c r="AI19" i="17"/>
  <c r="AO16" i="16"/>
  <c r="AK16" i="16"/>
  <c r="AK18" i="18"/>
  <c r="W10" i="17"/>
  <c r="Z10" i="17"/>
  <c r="AA10" i="17" s="1"/>
  <c r="AC10" i="17" s="1"/>
  <c r="X11" i="17" s="1"/>
  <c r="Y11" i="17" s="1"/>
  <c r="Z10" i="16"/>
  <c r="AA10" i="16" s="1"/>
  <c r="AB10" i="16" s="1"/>
  <c r="V11" i="16" s="1"/>
  <c r="W11" i="16" s="1"/>
  <c r="AD10" i="16"/>
  <c r="Y10" i="16"/>
  <c r="AD11" i="18"/>
  <c r="Y11" i="18"/>
  <c r="Z11" i="18"/>
  <c r="AA11" i="18" s="1"/>
  <c r="AB11" i="18" s="1"/>
  <c r="V12" i="18" s="1"/>
  <c r="AO12" i="12"/>
  <c r="AK12" i="12"/>
  <c r="AO19" i="17" l="1"/>
  <c r="AK19" i="17"/>
  <c r="AG20" i="17" s="1"/>
  <c r="AI20" i="17"/>
  <c r="AI17" i="16"/>
  <c r="AG17" i="16"/>
  <c r="AI19" i="18"/>
  <c r="AG19" i="18"/>
  <c r="AK19" i="18" s="1"/>
  <c r="AG20" i="18" s="1"/>
  <c r="AB10" i="17"/>
  <c r="V11" i="17" s="1"/>
  <c r="Z11" i="17" s="1"/>
  <c r="AA11" i="17" s="1"/>
  <c r="AC10" i="16"/>
  <c r="X11" i="16" s="1"/>
  <c r="W12" i="18"/>
  <c r="AC11" i="18"/>
  <c r="X12" i="18" s="1"/>
  <c r="AG13" i="12"/>
  <c r="AI13" i="12"/>
  <c r="AO20" i="17" l="1"/>
  <c r="AK17" i="16"/>
  <c r="AG18" i="16" s="1"/>
  <c r="AK20" i="17"/>
  <c r="AI21" i="17" s="1"/>
  <c r="AG21" i="17"/>
  <c r="W11" i="17"/>
  <c r="AB11" i="17" s="1"/>
  <c r="V12" i="17" s="1"/>
  <c r="AD11" i="17"/>
  <c r="AO17" i="16"/>
  <c r="AO19" i="18"/>
  <c r="AI20" i="18"/>
  <c r="AO20" i="18" s="1"/>
  <c r="Y11" i="16"/>
  <c r="AD11" i="16"/>
  <c r="Z11" i="16"/>
  <c r="AA11" i="16" s="1"/>
  <c r="AB11" i="16" s="1"/>
  <c r="V12" i="16" s="1"/>
  <c r="W12" i="16" s="1"/>
  <c r="AC11" i="17"/>
  <c r="X12" i="17" s="1"/>
  <c r="AD12" i="18"/>
  <c r="Y12" i="18"/>
  <c r="Z12" i="18"/>
  <c r="AA12" i="18" s="1"/>
  <c r="AB12" i="18" s="1"/>
  <c r="V13" i="18" s="1"/>
  <c r="AK13" i="12"/>
  <c r="AO13" i="12"/>
  <c r="AI18" i="16" l="1"/>
  <c r="AK18" i="16" s="1"/>
  <c r="AI19" i="16" s="1"/>
  <c r="AO21" i="17"/>
  <c r="AK21" i="17"/>
  <c r="AK20" i="18"/>
  <c r="AC11" i="16"/>
  <c r="X12" i="16" s="1"/>
  <c r="W12" i="17"/>
  <c r="Z12" i="17"/>
  <c r="AA12" i="17" s="1"/>
  <c r="AD12" i="17"/>
  <c r="Y12" i="17"/>
  <c r="W13" i="18"/>
  <c r="AC12" i="18"/>
  <c r="X13" i="18" s="1"/>
  <c r="AI14" i="12"/>
  <c r="AG14" i="12"/>
  <c r="AO18" i="16" l="1"/>
  <c r="AG22" i="17"/>
  <c r="AI22" i="17"/>
  <c r="AG19" i="16"/>
  <c r="AK19" i="16" s="1"/>
  <c r="AI21" i="18"/>
  <c r="AG21" i="18"/>
  <c r="AB12" i="17"/>
  <c r="V13" i="17" s="1"/>
  <c r="W13" i="17" s="1"/>
  <c r="AD12" i="16"/>
  <c r="Z12" i="16"/>
  <c r="AA12" i="16" s="1"/>
  <c r="AB12" i="16" s="1"/>
  <c r="V13" i="16" s="1"/>
  <c r="W13" i="16" s="1"/>
  <c r="Y12" i="16"/>
  <c r="AC12" i="17"/>
  <c r="X13" i="17" s="1"/>
  <c r="AD13" i="18"/>
  <c r="Y13" i="18"/>
  <c r="Z13" i="18"/>
  <c r="AA13" i="18" s="1"/>
  <c r="AB13" i="18" s="1"/>
  <c r="V14" i="18" s="1"/>
  <c r="AK14" i="12"/>
  <c r="AG15" i="12" s="1"/>
  <c r="AI15" i="12"/>
  <c r="AO14" i="12"/>
  <c r="AO22" i="17" l="1"/>
  <c r="AK22" i="17"/>
  <c r="AI23" i="17" s="1"/>
  <c r="AG23" i="17"/>
  <c r="AG20" i="16"/>
  <c r="AI20" i="16"/>
  <c r="AO19" i="16"/>
  <c r="AK21" i="18"/>
  <c r="AG22" i="18" s="1"/>
  <c r="AO21" i="18"/>
  <c r="Z13" i="17"/>
  <c r="AA13" i="17" s="1"/>
  <c r="AB13" i="17" s="1"/>
  <c r="V14" i="17" s="1"/>
  <c r="W14" i="17" s="1"/>
  <c r="AC12" i="16"/>
  <c r="X13" i="16" s="1"/>
  <c r="AD13" i="17"/>
  <c r="Y13" i="17"/>
  <c r="W14" i="18"/>
  <c r="AC13" i="18"/>
  <c r="X14" i="18" s="1"/>
  <c r="AO15" i="12"/>
  <c r="AK15" i="12"/>
  <c r="AO20" i="16" l="1"/>
  <c r="AI22" i="18"/>
  <c r="AO22" i="18" s="1"/>
  <c r="AO23" i="17"/>
  <c r="AK23" i="17"/>
  <c r="AI24" i="17" s="1"/>
  <c r="AG24" i="17"/>
  <c r="AC13" i="17"/>
  <c r="X14" i="17" s="1"/>
  <c r="AD14" i="17" s="1"/>
  <c r="AK20" i="16"/>
  <c r="AI21" i="16" s="1"/>
  <c r="Y13" i="16"/>
  <c r="Z13" i="16"/>
  <c r="AA13" i="16" s="1"/>
  <c r="AB13" i="16" s="1"/>
  <c r="V14" i="16" s="1"/>
  <c r="W14" i="16" s="1"/>
  <c r="AD13" i="16"/>
  <c r="AD14" i="18"/>
  <c r="Y14" i="18"/>
  <c r="Z14" i="18"/>
  <c r="AA14" i="18" s="1"/>
  <c r="AB14" i="18" s="1"/>
  <c r="V15" i="18" s="1"/>
  <c r="AG16" i="12"/>
  <c r="AI16" i="12"/>
  <c r="Y14" i="17" l="1"/>
  <c r="AK22" i="18"/>
  <c r="AK24" i="17"/>
  <c r="Z14" i="17"/>
  <c r="AA14" i="17" s="1"/>
  <c r="AB14" i="17" s="1"/>
  <c r="V15" i="17" s="1"/>
  <c r="W15" i="17" s="1"/>
  <c r="AG25" i="17"/>
  <c r="AI25" i="17"/>
  <c r="AO24" i="17"/>
  <c r="AG21" i="16"/>
  <c r="AK21" i="16" s="1"/>
  <c r="AG22" i="16" s="1"/>
  <c r="AI23" i="18"/>
  <c r="AG23" i="18"/>
  <c r="AC14" i="17"/>
  <c r="X15" i="17" s="1"/>
  <c r="AD15" i="17" s="1"/>
  <c r="AC13" i="16"/>
  <c r="X14" i="16" s="1"/>
  <c r="Z14" i="16" s="1"/>
  <c r="AA14" i="16" s="1"/>
  <c r="AB14" i="16" s="1"/>
  <c r="V15" i="16" s="1"/>
  <c r="W15" i="16" s="1"/>
  <c r="W15" i="18"/>
  <c r="AC14" i="18"/>
  <c r="X15" i="18" s="1"/>
  <c r="AO16" i="12"/>
  <c r="AK16" i="12"/>
  <c r="AK23" i="18" l="1"/>
  <c r="AG24" i="18" s="1"/>
  <c r="AO25" i="17"/>
  <c r="AK25" i="17"/>
  <c r="AO21" i="16"/>
  <c r="AI22" i="16"/>
  <c r="AO22" i="16" s="1"/>
  <c r="AO23" i="18"/>
  <c r="AI24" i="18"/>
  <c r="Z15" i="17"/>
  <c r="AA15" i="17" s="1"/>
  <c r="AB15" i="17" s="1"/>
  <c r="V16" i="17" s="1"/>
  <c r="W16" i="17" s="1"/>
  <c r="Y15" i="17"/>
  <c r="Y14" i="16"/>
  <c r="AC14" i="16" s="1"/>
  <c r="X15" i="16" s="1"/>
  <c r="AD15" i="16" s="1"/>
  <c r="AD14" i="16"/>
  <c r="AD15" i="18"/>
  <c r="Y15" i="18"/>
  <c r="Z15" i="18"/>
  <c r="AA15" i="18" s="1"/>
  <c r="AB15" i="18" s="1"/>
  <c r="V16" i="18" s="1"/>
  <c r="AG17" i="12"/>
  <c r="AI17" i="12"/>
  <c r="AG26" i="17" l="1"/>
  <c r="AI26" i="17"/>
  <c r="AK22" i="16"/>
  <c r="AI23" i="16" s="1"/>
  <c r="AC15" i="17"/>
  <c r="X16" i="17" s="1"/>
  <c r="AD16" i="17" s="1"/>
  <c r="AO24" i="18"/>
  <c r="AK24" i="18"/>
  <c r="AG25" i="18" s="1"/>
  <c r="Z15" i="16"/>
  <c r="AA15" i="16" s="1"/>
  <c r="AB15" i="16" s="1"/>
  <c r="V16" i="16" s="1"/>
  <c r="W16" i="16" s="1"/>
  <c r="Y15" i="16"/>
  <c r="W16" i="18"/>
  <c r="AC15" i="18"/>
  <c r="X16" i="18" s="1"/>
  <c r="AK17" i="12"/>
  <c r="AO17" i="12"/>
  <c r="AG23" i="16" l="1"/>
  <c r="AK23" i="16" s="1"/>
  <c r="AG24" i="16" s="1"/>
  <c r="AO26" i="17"/>
  <c r="AC15" i="16"/>
  <c r="X16" i="16" s="1"/>
  <c r="AD16" i="16" s="1"/>
  <c r="AK26" i="17"/>
  <c r="Z16" i="17"/>
  <c r="AA16" i="17" s="1"/>
  <c r="AB16" i="17" s="1"/>
  <c r="V17" i="17" s="1"/>
  <c r="W17" i="17" s="1"/>
  <c r="Y16" i="17"/>
  <c r="AI25" i="18"/>
  <c r="AK25" i="18" s="1"/>
  <c r="AD16" i="18"/>
  <c r="Y16" i="18"/>
  <c r="Z16" i="18"/>
  <c r="AA16" i="18" s="1"/>
  <c r="AB16" i="18" s="1"/>
  <c r="V17" i="18" s="1"/>
  <c r="AI18" i="12"/>
  <c r="AG18" i="12"/>
  <c r="AC16" i="17" l="1"/>
  <c r="X17" i="17" s="1"/>
  <c r="AO23" i="16"/>
  <c r="AI24" i="16"/>
  <c r="AO24" i="16" s="1"/>
  <c r="Z16" i="16"/>
  <c r="AA16" i="16" s="1"/>
  <c r="AB16" i="16" s="1"/>
  <c r="V17" i="16" s="1"/>
  <c r="W17" i="16" s="1"/>
  <c r="Y16" i="16"/>
  <c r="AI27" i="17"/>
  <c r="AG27" i="17"/>
  <c r="AO25" i="18"/>
  <c r="AG26" i="18"/>
  <c r="AI26" i="18"/>
  <c r="W17" i="18"/>
  <c r="AC16" i="18"/>
  <c r="X17" i="18" s="1"/>
  <c r="AD17" i="17"/>
  <c r="Y17" i="17"/>
  <c r="Z17" i="17"/>
  <c r="AA17" i="17" s="1"/>
  <c r="AB17" i="17" s="1"/>
  <c r="V18" i="17" s="1"/>
  <c r="AK18" i="12"/>
  <c r="AI19" i="12" s="1"/>
  <c r="AG19" i="12"/>
  <c r="AO18" i="12"/>
  <c r="AC16" i="16" l="1"/>
  <c r="X17" i="16" s="1"/>
  <c r="AD17" i="16" s="1"/>
  <c r="AK27" i="17"/>
  <c r="AK24" i="16"/>
  <c r="AI25" i="16" s="1"/>
  <c r="AO27" i="17"/>
  <c r="AG25" i="16"/>
  <c r="AO26" i="18"/>
  <c r="AK26" i="18"/>
  <c r="AG27" i="18" s="1"/>
  <c r="AI27" i="18"/>
  <c r="AD17" i="18"/>
  <c r="Y17" i="18"/>
  <c r="Z17" i="18"/>
  <c r="AA17" i="18" s="1"/>
  <c r="AB17" i="18" s="1"/>
  <c r="V18" i="18" s="1"/>
  <c r="W18" i="17"/>
  <c r="AC17" i="17"/>
  <c r="X18" i="17" s="1"/>
  <c r="Y17" i="16"/>
  <c r="Z17" i="16"/>
  <c r="AA17" i="16" s="1"/>
  <c r="AB17" i="16" s="1"/>
  <c r="V18" i="16" s="1"/>
  <c r="AK19" i="12"/>
  <c r="AO19" i="12"/>
  <c r="AG28" i="17" l="1"/>
  <c r="AI28" i="17"/>
  <c r="AO25" i="16"/>
  <c r="AK25" i="16"/>
  <c r="AK27" i="18"/>
  <c r="AG28" i="18" s="1"/>
  <c r="AO27" i="18"/>
  <c r="W18" i="18"/>
  <c r="AC17" i="18"/>
  <c r="X18" i="18" s="1"/>
  <c r="AD18" i="17"/>
  <c r="Y18" i="17"/>
  <c r="Z18" i="17"/>
  <c r="AA18" i="17" s="1"/>
  <c r="AB18" i="17" s="1"/>
  <c r="V19" i="17" s="1"/>
  <c r="W18" i="16"/>
  <c r="AC17" i="16"/>
  <c r="X18" i="16" s="1"/>
  <c r="AI20" i="12"/>
  <c r="AG20" i="12"/>
  <c r="AO28" i="17" l="1"/>
  <c r="AK28" i="17"/>
  <c r="AG26" i="16"/>
  <c r="AI26" i="16"/>
  <c r="AI28" i="18"/>
  <c r="AO28" i="18" s="1"/>
  <c r="AD18" i="18"/>
  <c r="Y18" i="18"/>
  <c r="Z18" i="18"/>
  <c r="AA18" i="18" s="1"/>
  <c r="AB18" i="18" s="1"/>
  <c r="V19" i="18" s="1"/>
  <c r="W19" i="17"/>
  <c r="AC18" i="17"/>
  <c r="X19" i="17" s="1"/>
  <c r="AD18" i="16"/>
  <c r="Y18" i="16"/>
  <c r="Z18" i="16"/>
  <c r="AA18" i="16" s="1"/>
  <c r="AB18" i="16" s="1"/>
  <c r="V19" i="16" s="1"/>
  <c r="AK20" i="12"/>
  <c r="AI21" i="12" s="1"/>
  <c r="AG21" i="12"/>
  <c r="AO20" i="12"/>
  <c r="AO26" i="16" l="1"/>
  <c r="AI29" i="17"/>
  <c r="AG29" i="17"/>
  <c r="AK28" i="18"/>
  <c r="AK26" i="16"/>
  <c r="AI29" i="18"/>
  <c r="AG29" i="18"/>
  <c r="AK29" i="18" s="1"/>
  <c r="W19" i="18"/>
  <c r="AC18" i="18"/>
  <c r="X19" i="18" s="1"/>
  <c r="AD19" i="17"/>
  <c r="Y19" i="17"/>
  <c r="Z19" i="17"/>
  <c r="AA19" i="17" s="1"/>
  <c r="AB19" i="17" s="1"/>
  <c r="V20" i="17" s="1"/>
  <c r="W19" i="16"/>
  <c r="AC18" i="16"/>
  <c r="X19" i="16" s="1"/>
  <c r="AK21" i="12"/>
  <c r="AG22" i="12" s="1"/>
  <c r="AI22" i="12"/>
  <c r="AO21" i="12"/>
  <c r="AK29" i="17" l="1"/>
  <c r="AI30" i="17"/>
  <c r="AG30" i="17"/>
  <c r="AO29" i="17"/>
  <c r="AI27" i="16"/>
  <c r="AG27" i="16"/>
  <c r="AK27" i="16" s="1"/>
  <c r="AI30" i="18"/>
  <c r="AG30" i="18"/>
  <c r="AK30" i="18" s="1"/>
  <c r="AG31" i="18" s="1"/>
  <c r="AO29" i="18"/>
  <c r="AD19" i="18"/>
  <c r="Y19" i="18"/>
  <c r="Z19" i="18"/>
  <c r="AA19" i="18" s="1"/>
  <c r="AB19" i="18" s="1"/>
  <c r="V20" i="18" s="1"/>
  <c r="W20" i="17"/>
  <c r="AC19" i="17"/>
  <c r="X20" i="17" s="1"/>
  <c r="AD19" i="16"/>
  <c r="Y19" i="16"/>
  <c r="Z19" i="16"/>
  <c r="AA19" i="16" s="1"/>
  <c r="AB19" i="16" s="1"/>
  <c r="V20" i="16" s="1"/>
  <c r="AO22" i="12"/>
  <c r="AK22" i="12"/>
  <c r="AK30" i="17" l="1"/>
  <c r="AI31" i="17" s="1"/>
  <c r="AG31" i="17"/>
  <c r="AO30" i="17"/>
  <c r="AG28" i="16"/>
  <c r="AI28" i="16"/>
  <c r="AO27" i="16"/>
  <c r="AO30" i="18"/>
  <c r="AI31" i="18"/>
  <c r="W20" i="18"/>
  <c r="AC19" i="18"/>
  <c r="X20" i="18" s="1"/>
  <c r="AD20" i="17"/>
  <c r="Y20" i="17"/>
  <c r="Z20" i="17"/>
  <c r="AA20" i="17" s="1"/>
  <c r="AB20" i="17" s="1"/>
  <c r="V21" i="17" s="1"/>
  <c r="W20" i="16"/>
  <c r="AC19" i="16"/>
  <c r="X20" i="16" s="1"/>
  <c r="AG23" i="12"/>
  <c r="AI23" i="12"/>
  <c r="AO31" i="17" l="1"/>
  <c r="AK31" i="17"/>
  <c r="AO28" i="16"/>
  <c r="AK28" i="16"/>
  <c r="AO31" i="18"/>
  <c r="AK31" i="18"/>
  <c r="AG32" i="18" s="1"/>
  <c r="AD20" i="18"/>
  <c r="Y20" i="18"/>
  <c r="Z20" i="18"/>
  <c r="AA20" i="18" s="1"/>
  <c r="AB20" i="18" s="1"/>
  <c r="V21" i="18" s="1"/>
  <c r="W21" i="17"/>
  <c r="AC20" i="17"/>
  <c r="X21" i="17" s="1"/>
  <c r="AD20" i="16"/>
  <c r="Y20" i="16"/>
  <c r="Z20" i="16"/>
  <c r="AA20" i="16" s="1"/>
  <c r="AB20" i="16" s="1"/>
  <c r="V21" i="16" s="1"/>
  <c r="AK23" i="12"/>
  <c r="AO23" i="12"/>
  <c r="AG32" i="17" l="1"/>
  <c r="AI32" i="17"/>
  <c r="AI29" i="16"/>
  <c r="AG29" i="16"/>
  <c r="AI32" i="18"/>
  <c r="AK32" i="18" s="1"/>
  <c r="AI33" i="18" s="1"/>
  <c r="AG33" i="18"/>
  <c r="W21" i="18"/>
  <c r="AC20" i="18"/>
  <c r="X21" i="18" s="1"/>
  <c r="AD21" i="17"/>
  <c r="Y21" i="17"/>
  <c r="Z21" i="17"/>
  <c r="AA21" i="17" s="1"/>
  <c r="AB21" i="17" s="1"/>
  <c r="V22" i="17" s="1"/>
  <c r="W21" i="16"/>
  <c r="AC20" i="16"/>
  <c r="X21" i="16" s="1"/>
  <c r="AI24" i="12"/>
  <c r="AG24" i="12"/>
  <c r="AO32" i="17" l="1"/>
  <c r="AO32" i="18"/>
  <c r="AK32" i="17"/>
  <c r="AO29" i="16"/>
  <c r="AK29" i="16"/>
  <c r="AK33" i="18"/>
  <c r="AI34" i="18"/>
  <c r="AG34" i="18"/>
  <c r="AO33" i="18"/>
  <c r="AD21" i="18"/>
  <c r="Y21" i="18"/>
  <c r="Z21" i="18"/>
  <c r="AA21" i="18" s="1"/>
  <c r="AB21" i="18" s="1"/>
  <c r="V22" i="18" s="1"/>
  <c r="W22" i="17"/>
  <c r="AC21" i="17"/>
  <c r="X22" i="17" s="1"/>
  <c r="AD21" i="16"/>
  <c r="Y21" i="16"/>
  <c r="Z21" i="16"/>
  <c r="AA21" i="16" s="1"/>
  <c r="AB21" i="16" s="1"/>
  <c r="V22" i="16" s="1"/>
  <c r="AO24" i="12"/>
  <c r="AK24" i="12"/>
  <c r="AI33" i="17" l="1"/>
  <c r="AG33" i="17"/>
  <c r="AK33" i="17" s="1"/>
  <c r="AI34" i="17" s="1"/>
  <c r="AK34" i="18"/>
  <c r="AG35" i="18" s="1"/>
  <c r="AI30" i="16"/>
  <c r="AG30" i="16"/>
  <c r="AI35" i="18"/>
  <c r="AO34" i="18"/>
  <c r="W22" i="18"/>
  <c r="AC21" i="18"/>
  <c r="X22" i="18" s="1"/>
  <c r="AD22" i="17"/>
  <c r="Y22" i="17"/>
  <c r="Z22" i="17"/>
  <c r="AA22" i="17" s="1"/>
  <c r="AB22" i="17" s="1"/>
  <c r="V23" i="17" s="1"/>
  <c r="W22" i="16"/>
  <c r="AC21" i="16"/>
  <c r="X22" i="16" s="1"/>
  <c r="AG25" i="12"/>
  <c r="AI25" i="12"/>
  <c r="AG34" i="17" l="1"/>
  <c r="AK34" i="17" s="1"/>
  <c r="AG35" i="17" s="1"/>
  <c r="AO33" i="17"/>
  <c r="AK30" i="16"/>
  <c r="AI31" i="16" s="1"/>
  <c r="AI35" i="17"/>
  <c r="AK35" i="17" s="1"/>
  <c r="AG31" i="16"/>
  <c r="AO30" i="16"/>
  <c r="AO35" i="18"/>
  <c r="AK35" i="18"/>
  <c r="AG36" i="18" s="1"/>
  <c r="AO35" i="17"/>
  <c r="AD22" i="18"/>
  <c r="Y22" i="18"/>
  <c r="Z22" i="18"/>
  <c r="AA22" i="18" s="1"/>
  <c r="AB22" i="18" s="1"/>
  <c r="V23" i="18" s="1"/>
  <c r="W23" i="17"/>
  <c r="AC22" i="17"/>
  <c r="X23" i="17" s="1"/>
  <c r="AD22" i="16"/>
  <c r="Y22" i="16"/>
  <c r="Z22" i="16"/>
  <c r="AA22" i="16" s="1"/>
  <c r="AB22" i="16" s="1"/>
  <c r="V23" i="16" s="1"/>
  <c r="AK25" i="12"/>
  <c r="AO25" i="12"/>
  <c r="AO34" i="17" l="1"/>
  <c r="AK31" i="16"/>
  <c r="AO31" i="16"/>
  <c r="AI36" i="18"/>
  <c r="AK36" i="18" s="1"/>
  <c r="AI37" i="18" s="1"/>
  <c r="AG36" i="17"/>
  <c r="AI36" i="17"/>
  <c r="W23" i="18"/>
  <c r="AC22" i="18"/>
  <c r="X23" i="18" s="1"/>
  <c r="AD23" i="17"/>
  <c r="Y23" i="17"/>
  <c r="Z23" i="17"/>
  <c r="AA23" i="17" s="1"/>
  <c r="AB23" i="17" s="1"/>
  <c r="V24" i="17" s="1"/>
  <c r="W23" i="16"/>
  <c r="AC22" i="16"/>
  <c r="X23" i="16" s="1"/>
  <c r="AG26" i="12"/>
  <c r="AI26" i="12"/>
  <c r="AO36" i="18" l="1"/>
  <c r="AG37" i="18"/>
  <c r="AK37" i="18" s="1"/>
  <c r="AG38" i="18" s="1"/>
  <c r="AO36" i="17"/>
  <c r="AG32" i="16"/>
  <c r="AI32" i="16"/>
  <c r="AO32" i="16" s="1"/>
  <c r="AI38" i="18"/>
  <c r="AO37" i="18"/>
  <c r="AK36" i="17"/>
  <c r="AI37" i="17" s="1"/>
  <c r="AD23" i="18"/>
  <c r="Y23" i="18"/>
  <c r="Z23" i="18"/>
  <c r="AA23" i="18" s="1"/>
  <c r="AB23" i="18" s="1"/>
  <c r="V24" i="18" s="1"/>
  <c r="W24" i="17"/>
  <c r="AC23" i="17"/>
  <c r="X24" i="17" s="1"/>
  <c r="AD23" i="16"/>
  <c r="Y23" i="16"/>
  <c r="Z23" i="16"/>
  <c r="AA23" i="16" s="1"/>
  <c r="AB23" i="16" s="1"/>
  <c r="V24" i="16" s="1"/>
  <c r="AO26" i="12"/>
  <c r="AK26" i="12"/>
  <c r="AK32" i="16" l="1"/>
  <c r="AK38" i="18"/>
  <c r="AG39" i="18" s="1"/>
  <c r="AI39" i="18"/>
  <c r="AO38" i="18"/>
  <c r="AG37" i="17"/>
  <c r="AK37" i="17" s="1"/>
  <c r="W24" i="18"/>
  <c r="AC23" i="18"/>
  <c r="X24" i="18" s="1"/>
  <c r="AD24" i="17"/>
  <c r="Y24" i="17"/>
  <c r="Z24" i="17"/>
  <c r="AA24" i="17" s="1"/>
  <c r="AB24" i="17" s="1"/>
  <c r="V25" i="17" s="1"/>
  <c r="W24" i="16"/>
  <c r="AC23" i="16"/>
  <c r="X24" i="16" s="1"/>
  <c r="AG27" i="12"/>
  <c r="AI27" i="12"/>
  <c r="AO39" i="18" l="1"/>
  <c r="AG33" i="16"/>
  <c r="AI33" i="16"/>
  <c r="AK39" i="18"/>
  <c r="AI38" i="17"/>
  <c r="AG38" i="17"/>
  <c r="AO37" i="17"/>
  <c r="AD24" i="18"/>
  <c r="Y24" i="18"/>
  <c r="Z24" i="18"/>
  <c r="AA24" i="18" s="1"/>
  <c r="AB24" i="18" s="1"/>
  <c r="V25" i="18" s="1"/>
  <c r="W25" i="17"/>
  <c r="AC24" i="17"/>
  <c r="X25" i="17" s="1"/>
  <c r="AD24" i="16"/>
  <c r="Y24" i="16"/>
  <c r="Z24" i="16"/>
  <c r="AA24" i="16" s="1"/>
  <c r="AB24" i="16" s="1"/>
  <c r="V25" i="16" s="1"/>
  <c r="AO27" i="12"/>
  <c r="AK27" i="12"/>
  <c r="AK38" i="17" l="1"/>
  <c r="AG39" i="17" s="1"/>
  <c r="AK33" i="16"/>
  <c r="AO33" i="16"/>
  <c r="AI40" i="18"/>
  <c r="AG40" i="18"/>
  <c r="AI39" i="17"/>
  <c r="AO38" i="17"/>
  <c r="W25" i="18"/>
  <c r="AC24" i="18"/>
  <c r="X25" i="18" s="1"/>
  <c r="AD25" i="17"/>
  <c r="Y25" i="17"/>
  <c r="Z25" i="17"/>
  <c r="AA25" i="17" s="1"/>
  <c r="AB25" i="17" s="1"/>
  <c r="V26" i="17" s="1"/>
  <c r="W25" i="16"/>
  <c r="AC24" i="16"/>
  <c r="X25" i="16" s="1"/>
  <c r="AI28" i="12"/>
  <c r="AG28" i="12"/>
  <c r="AO39" i="17" l="1"/>
  <c r="AI34" i="16"/>
  <c r="AG34" i="16"/>
  <c r="AK40" i="18"/>
  <c r="AI41" i="18"/>
  <c r="AG41" i="18"/>
  <c r="AO40" i="18"/>
  <c r="AK39" i="17"/>
  <c r="AD25" i="18"/>
  <c r="Y25" i="18"/>
  <c r="Z25" i="18"/>
  <c r="AA25" i="18" s="1"/>
  <c r="AB25" i="18" s="1"/>
  <c r="V26" i="18" s="1"/>
  <c r="W26" i="17"/>
  <c r="AC25" i="17"/>
  <c r="X26" i="17" s="1"/>
  <c r="AD25" i="16"/>
  <c r="Y25" i="16"/>
  <c r="Z25" i="16"/>
  <c r="AA25" i="16" s="1"/>
  <c r="AB25" i="16" s="1"/>
  <c r="V26" i="16" s="1"/>
  <c r="AO28" i="12"/>
  <c r="AK28" i="12"/>
  <c r="AK41" i="18" l="1"/>
  <c r="AG42" i="18" s="1"/>
  <c r="AO34" i="16"/>
  <c r="AK34" i="16"/>
  <c r="AO41" i="18"/>
  <c r="AI42" i="18"/>
  <c r="AI40" i="17"/>
  <c r="AG40" i="17"/>
  <c r="W26" i="18"/>
  <c r="AC25" i="18"/>
  <c r="X26" i="18" s="1"/>
  <c r="AD26" i="17"/>
  <c r="Y26" i="17"/>
  <c r="Z26" i="17"/>
  <c r="AA26" i="17" s="1"/>
  <c r="AB26" i="17" s="1"/>
  <c r="V27" i="17" s="1"/>
  <c r="W26" i="16"/>
  <c r="AC25" i="16"/>
  <c r="X26" i="16" s="1"/>
  <c r="AI29" i="12"/>
  <c r="AG29" i="12"/>
  <c r="AK40" i="17" l="1"/>
  <c r="AG35" i="16"/>
  <c r="AI35" i="16"/>
  <c r="AO35" i="16" s="1"/>
  <c r="AO42" i="18"/>
  <c r="AK42" i="18"/>
  <c r="AG43" i="18" s="1"/>
  <c r="AI41" i="17"/>
  <c r="AG41" i="17"/>
  <c r="AO40" i="17"/>
  <c r="AD26" i="18"/>
  <c r="Y26" i="18"/>
  <c r="Z26" i="18"/>
  <c r="AA26" i="18" s="1"/>
  <c r="AB26" i="18" s="1"/>
  <c r="V27" i="18" s="1"/>
  <c r="W27" i="17"/>
  <c r="AC26" i="17"/>
  <c r="X27" i="17" s="1"/>
  <c r="AD26" i="16"/>
  <c r="Y26" i="16"/>
  <c r="Z26" i="16"/>
  <c r="AA26" i="16" s="1"/>
  <c r="AB26" i="16" s="1"/>
  <c r="V27" i="16" s="1"/>
  <c r="AK29" i="12"/>
  <c r="AI30" i="12" s="1"/>
  <c r="AG30" i="12"/>
  <c r="AO29" i="12"/>
  <c r="AK41" i="17" l="1"/>
  <c r="AK35" i="16"/>
  <c r="AI43" i="18"/>
  <c r="AO43" i="18" s="1"/>
  <c r="AG42" i="17"/>
  <c r="AI42" i="17"/>
  <c r="AO41" i="17"/>
  <c r="W27" i="18"/>
  <c r="AC26" i="18"/>
  <c r="X27" i="18" s="1"/>
  <c r="AD27" i="17"/>
  <c r="Y27" i="17"/>
  <c r="Z27" i="17"/>
  <c r="AA27" i="17" s="1"/>
  <c r="AB27" i="17" s="1"/>
  <c r="V28" i="17" s="1"/>
  <c r="W27" i="16"/>
  <c r="AC26" i="16"/>
  <c r="X27" i="16" s="1"/>
  <c r="AO30" i="12"/>
  <c r="AK30" i="12"/>
  <c r="AK43" i="18" l="1"/>
  <c r="AG44" i="18" s="1"/>
  <c r="AG36" i="16"/>
  <c r="AI36" i="16"/>
  <c r="AO36" i="16" s="1"/>
  <c r="AI44" i="18"/>
  <c r="AO44" i="18" s="1"/>
  <c r="AK42" i="17"/>
  <c r="AO42" i="17"/>
  <c r="AD27" i="18"/>
  <c r="Y27" i="18"/>
  <c r="Z27" i="18"/>
  <c r="AA27" i="18" s="1"/>
  <c r="AB27" i="18" s="1"/>
  <c r="V28" i="18" s="1"/>
  <c r="W28" i="17"/>
  <c r="AC27" i="17"/>
  <c r="X28" i="17" s="1"/>
  <c r="AD27" i="16"/>
  <c r="Y27" i="16"/>
  <c r="Z27" i="16"/>
  <c r="AA27" i="16" s="1"/>
  <c r="AB27" i="16" s="1"/>
  <c r="V28" i="16" s="1"/>
  <c r="AG31" i="12"/>
  <c r="AI31" i="12"/>
  <c r="AK44" i="18" l="1"/>
  <c r="AK36" i="16"/>
  <c r="AG43" i="17"/>
  <c r="AI43" i="17"/>
  <c r="W28" i="18"/>
  <c r="AC27" i="18"/>
  <c r="X28" i="18" s="1"/>
  <c r="AD28" i="17"/>
  <c r="Y28" i="17"/>
  <c r="Z28" i="17"/>
  <c r="AA28" i="17" s="1"/>
  <c r="AB28" i="17" s="1"/>
  <c r="V29" i="17" s="1"/>
  <c r="W28" i="16"/>
  <c r="AC27" i="16"/>
  <c r="X28" i="16" s="1"/>
  <c r="AO31" i="12"/>
  <c r="AK31" i="12"/>
  <c r="AI37" i="16" l="1"/>
  <c r="AG37" i="16"/>
  <c r="AK37" i="16" s="1"/>
  <c r="AO43" i="17"/>
  <c r="AK43" i="17"/>
  <c r="AD28" i="18"/>
  <c r="Y28" i="18"/>
  <c r="Z28" i="18"/>
  <c r="AA28" i="18" s="1"/>
  <c r="AB28" i="18" s="1"/>
  <c r="V29" i="18" s="1"/>
  <c r="W29" i="17"/>
  <c r="AC28" i="17"/>
  <c r="X29" i="17" s="1"/>
  <c r="AD28" i="16"/>
  <c r="Y28" i="16"/>
  <c r="Z28" i="16"/>
  <c r="AA28" i="16" s="1"/>
  <c r="AB28" i="16" s="1"/>
  <c r="V29" i="16" s="1"/>
  <c r="AG32" i="12"/>
  <c r="AI32" i="12"/>
  <c r="AI38" i="16" l="1"/>
  <c r="AG38" i="16"/>
  <c r="AO37" i="16"/>
  <c r="AG44" i="17"/>
  <c r="AI44" i="17"/>
  <c r="AO44" i="17" s="1"/>
  <c r="W29" i="18"/>
  <c r="AC28" i="18"/>
  <c r="X29" i="18" s="1"/>
  <c r="AD29" i="17"/>
  <c r="Y29" i="17"/>
  <c r="Z29" i="17"/>
  <c r="AA29" i="17" s="1"/>
  <c r="AB29" i="17" s="1"/>
  <c r="V30" i="17" s="1"/>
  <c r="W29" i="16"/>
  <c r="AC28" i="16"/>
  <c r="X29" i="16" s="1"/>
  <c r="AO32" i="12"/>
  <c r="AK32" i="12"/>
  <c r="AK38" i="16" l="1"/>
  <c r="AG39" i="16" s="1"/>
  <c r="AI39" i="16"/>
  <c r="AO38" i="16"/>
  <c r="AK44" i="17"/>
  <c r="AD29" i="18"/>
  <c r="Y29" i="18"/>
  <c r="Z29" i="18"/>
  <c r="AA29" i="18" s="1"/>
  <c r="AB29" i="18" s="1"/>
  <c r="V30" i="18" s="1"/>
  <c r="W30" i="17"/>
  <c r="AC29" i="17"/>
  <c r="X30" i="17" s="1"/>
  <c r="AD29" i="16"/>
  <c r="Y29" i="16"/>
  <c r="Z29" i="16"/>
  <c r="AA29" i="16" s="1"/>
  <c r="AB29" i="16" s="1"/>
  <c r="V30" i="16" s="1"/>
  <c r="AI33" i="12"/>
  <c r="AG33" i="12"/>
  <c r="AO39" i="16" l="1"/>
  <c r="AK39" i="16"/>
  <c r="W30" i="18"/>
  <c r="AC29" i="18"/>
  <c r="X30" i="18" s="1"/>
  <c r="AD30" i="17"/>
  <c r="Y30" i="17"/>
  <c r="Z30" i="17"/>
  <c r="AA30" i="17" s="1"/>
  <c r="AB30" i="17" s="1"/>
  <c r="V31" i="17" s="1"/>
  <c r="W30" i="16"/>
  <c r="AC29" i="16"/>
  <c r="X30" i="16" s="1"/>
  <c r="AK33" i="12"/>
  <c r="AI34" i="12" s="1"/>
  <c r="AG34" i="12"/>
  <c r="AO33" i="12"/>
  <c r="AI40" i="16" l="1"/>
  <c r="AG40" i="16"/>
  <c r="AD30" i="18"/>
  <c r="Y30" i="18"/>
  <c r="Z30" i="18"/>
  <c r="AA30" i="18" s="1"/>
  <c r="AB30" i="18" s="1"/>
  <c r="V31" i="18" s="1"/>
  <c r="W31" i="17"/>
  <c r="AC30" i="17"/>
  <c r="X31" i="17" s="1"/>
  <c r="AD30" i="16"/>
  <c r="Y30" i="16"/>
  <c r="Z30" i="16"/>
  <c r="AA30" i="16" s="1"/>
  <c r="AB30" i="16" s="1"/>
  <c r="V31" i="16" s="1"/>
  <c r="AK34" i="12"/>
  <c r="AG35" i="12" s="1"/>
  <c r="AI35" i="12"/>
  <c r="AO34" i="12"/>
  <c r="AK40" i="16" l="1"/>
  <c r="AI41" i="16"/>
  <c r="AG41" i="16"/>
  <c r="AO40" i="16"/>
  <c r="W31" i="18"/>
  <c r="AC30" i="18"/>
  <c r="X31" i="18" s="1"/>
  <c r="AD31" i="17"/>
  <c r="Y31" i="17"/>
  <c r="Z31" i="17"/>
  <c r="AA31" i="17" s="1"/>
  <c r="AB31" i="17" s="1"/>
  <c r="V32" i="17" s="1"/>
  <c r="W31" i="16"/>
  <c r="AC30" i="16"/>
  <c r="X31" i="16" s="1"/>
  <c r="AO35" i="12"/>
  <c r="AK35" i="12"/>
  <c r="AK41" i="16" l="1"/>
  <c r="AG42" i="16"/>
  <c r="AI42" i="16"/>
  <c r="AO41" i="16"/>
  <c r="AD31" i="18"/>
  <c r="Y31" i="18"/>
  <c r="Z31" i="18"/>
  <c r="AA31" i="18" s="1"/>
  <c r="AB31" i="18" s="1"/>
  <c r="V32" i="18" s="1"/>
  <c r="W32" i="17"/>
  <c r="AC31" i="17"/>
  <c r="X32" i="17" s="1"/>
  <c r="AD31" i="16"/>
  <c r="Y31" i="16"/>
  <c r="Z31" i="16"/>
  <c r="AA31" i="16" s="1"/>
  <c r="AB31" i="16" s="1"/>
  <c r="V32" i="16" s="1"/>
  <c r="AG36" i="12"/>
  <c r="AI36" i="12"/>
  <c r="AO42" i="16" l="1"/>
  <c r="AK42" i="16"/>
  <c r="W32" i="18"/>
  <c r="AC31" i="18"/>
  <c r="X32" i="18" s="1"/>
  <c r="AD32" i="17"/>
  <c r="Y32" i="17"/>
  <c r="Z32" i="17"/>
  <c r="AA32" i="17" s="1"/>
  <c r="AB32" i="17" s="1"/>
  <c r="V33" i="17" s="1"/>
  <c r="W32" i="16"/>
  <c r="AC31" i="16"/>
  <c r="X32" i="16" s="1"/>
  <c r="AO36" i="12"/>
  <c r="AK36" i="12"/>
  <c r="AG43" i="16" l="1"/>
  <c r="AI43" i="16"/>
  <c r="AD32" i="18"/>
  <c r="Y32" i="18"/>
  <c r="Z32" i="18"/>
  <c r="AA32" i="18" s="1"/>
  <c r="AB32" i="18" s="1"/>
  <c r="V33" i="18" s="1"/>
  <c r="W33" i="17"/>
  <c r="AC32" i="17"/>
  <c r="X33" i="17" s="1"/>
  <c r="AD32" i="16"/>
  <c r="Y32" i="16"/>
  <c r="Z32" i="16"/>
  <c r="AA32" i="16" s="1"/>
  <c r="AB32" i="16" s="1"/>
  <c r="V33" i="16" s="1"/>
  <c r="AG37" i="12"/>
  <c r="AI37" i="12"/>
  <c r="AO43" i="16" l="1"/>
  <c r="AK43" i="16"/>
  <c r="W33" i="18"/>
  <c r="AC32" i="18"/>
  <c r="X33" i="18" s="1"/>
  <c r="AD33" i="17"/>
  <c r="Y33" i="17"/>
  <c r="Z33" i="17"/>
  <c r="AA33" i="17" s="1"/>
  <c r="AB33" i="17" s="1"/>
  <c r="V34" i="17" s="1"/>
  <c r="W33" i="16"/>
  <c r="AC32" i="16"/>
  <c r="X33" i="16" s="1"/>
  <c r="AO37" i="12"/>
  <c r="AK37" i="12"/>
  <c r="AI44" i="16" l="1"/>
  <c r="AG44" i="16"/>
  <c r="AD33" i="18"/>
  <c r="Y33" i="18"/>
  <c r="Z33" i="18"/>
  <c r="AA33" i="18" s="1"/>
  <c r="AB33" i="18" s="1"/>
  <c r="V34" i="18" s="1"/>
  <c r="W34" i="17"/>
  <c r="AC33" i="17"/>
  <c r="X34" i="17" s="1"/>
  <c r="AD33" i="16"/>
  <c r="Y33" i="16"/>
  <c r="Z33" i="16"/>
  <c r="AA33" i="16" s="1"/>
  <c r="AB33" i="16" s="1"/>
  <c r="V34" i="16" s="1"/>
  <c r="AI38" i="12"/>
  <c r="AG38" i="12"/>
  <c r="AK44" i="16" l="1"/>
  <c r="AO44" i="16"/>
  <c r="W34" i="18"/>
  <c r="AC33" i="18"/>
  <c r="X34" i="18" s="1"/>
  <c r="AD34" i="17"/>
  <c r="Y34" i="17"/>
  <c r="Z34" i="17"/>
  <c r="W34" i="16"/>
  <c r="AC33" i="16"/>
  <c r="X34" i="16" s="1"/>
  <c r="AK38" i="12"/>
  <c r="AG39" i="12" s="1"/>
  <c r="AO38" i="12"/>
  <c r="AI39" i="12" l="1"/>
  <c r="AD34" i="18"/>
  <c r="Y34" i="18"/>
  <c r="Z34" i="18"/>
  <c r="O26" i="17"/>
  <c r="O27" i="17" s="1"/>
  <c r="G17" i="17" s="1"/>
  <c r="AA34" i="17"/>
  <c r="AB34" i="17" s="1"/>
  <c r="AD34" i="16"/>
  <c r="Y34" i="16"/>
  <c r="Z34" i="16"/>
  <c r="AO39" i="12"/>
  <c r="AK39" i="12"/>
  <c r="O26" i="18" l="1"/>
  <c r="O27" i="18" s="1"/>
  <c r="G17" i="18" s="1"/>
  <c r="AA34" i="18"/>
  <c r="AB34" i="18" s="1"/>
  <c r="G20" i="17"/>
  <c r="G18" i="17"/>
  <c r="AC34" i="17"/>
  <c r="O26" i="16"/>
  <c r="O27" i="16" s="1"/>
  <c r="G17" i="16" s="1"/>
  <c r="AA34" i="16"/>
  <c r="AB34" i="16" s="1"/>
  <c r="AG40" i="12"/>
  <c r="AI40" i="12"/>
  <c r="AC34" i="16" l="1"/>
  <c r="AC34" i="18"/>
  <c r="G20" i="18"/>
  <c r="G18" i="18"/>
  <c r="K6" i="17"/>
  <c r="G33" i="17"/>
  <c r="K10" i="17" s="1"/>
  <c r="K15" i="17" s="1"/>
  <c r="G20" i="16"/>
  <c r="G18" i="16"/>
  <c r="AO40" i="12"/>
  <c r="AK40" i="12"/>
  <c r="K6" i="18" l="1"/>
  <c r="G33" i="18"/>
  <c r="K10" i="18" s="1"/>
  <c r="K15" i="18" s="1"/>
  <c r="K43" i="17"/>
  <c r="K35" i="17"/>
  <c r="K7" i="17"/>
  <c r="K19" i="17"/>
  <c r="K18" i="17"/>
  <c r="K30" i="17" s="1"/>
  <c r="K6" i="16"/>
  <c r="G33" i="16"/>
  <c r="K10" i="16"/>
  <c r="K15" i="16" s="1"/>
  <c r="AI41" i="12"/>
  <c r="AG41" i="12"/>
  <c r="K35" i="18" l="1"/>
  <c r="K43" i="18"/>
  <c r="K7" i="18"/>
  <c r="K19" i="18"/>
  <c r="K18" i="18"/>
  <c r="K31" i="17"/>
  <c r="AH4" i="17"/>
  <c r="AJ4" i="17"/>
  <c r="AL4" i="17"/>
  <c r="K36" i="17"/>
  <c r="K39" i="17" s="1"/>
  <c r="K44" i="17"/>
  <c r="K47" i="17" s="1"/>
  <c r="K43" i="16"/>
  <c r="K35" i="16"/>
  <c r="K7" i="16"/>
  <c r="K19" i="16"/>
  <c r="K18" i="16"/>
  <c r="AK41" i="12"/>
  <c r="AG42" i="12" s="1"/>
  <c r="AI42" i="12"/>
  <c r="AO41" i="12"/>
  <c r="K44" i="18" l="1"/>
  <c r="K47" i="18" s="1"/>
  <c r="K36" i="18"/>
  <c r="K39" i="18" s="1"/>
  <c r="K30" i="18"/>
  <c r="K44" i="16"/>
  <c r="K47" i="16" s="1"/>
  <c r="K36" i="16"/>
  <c r="K39" i="16" s="1"/>
  <c r="K30" i="16"/>
  <c r="AO42" i="12"/>
  <c r="AK42" i="12"/>
  <c r="K31" i="18" l="1"/>
  <c r="AJ4" i="18"/>
  <c r="AH4" i="18"/>
  <c r="AL4" i="18"/>
  <c r="K31" i="16"/>
  <c r="AH4" i="16"/>
  <c r="AL4" i="16"/>
  <c r="AJ4" i="16"/>
  <c r="AG43" i="12"/>
  <c r="AI43" i="12"/>
  <c r="AO43" i="12" l="1"/>
  <c r="AK43" i="12"/>
  <c r="AG44" i="12" l="1"/>
  <c r="AI44" i="12"/>
  <c r="AO44" i="12" l="1"/>
  <c r="AK44" i="12"/>
  <c r="G29" i="12" l="1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O16" i="12" l="1"/>
  <c r="O14" i="12"/>
  <c r="K37" i="12"/>
  <c r="O20" i="12" l="1"/>
  <c r="O15" i="12"/>
  <c r="O23" i="12" l="1"/>
  <c r="O28" i="12"/>
  <c r="O30" i="12" s="1"/>
  <c r="G16" i="12"/>
  <c r="K16" i="12"/>
  <c r="G19" i="12" l="1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15" i="12" s="1"/>
  <c r="K6" i="12"/>
  <c r="K7" i="12" l="1"/>
  <c r="K18" i="12"/>
  <c r="K19" i="12"/>
  <c r="K43" i="12"/>
  <c r="K35" i="12"/>
  <c r="K30" i="12" l="1"/>
  <c r="K31" i="12" s="1"/>
  <c r="K36" i="12"/>
  <c r="K39" i="12" s="1"/>
  <c r="K44" i="12"/>
  <c r="K47" i="12" s="1"/>
  <c r="AL4" i="12" l="1"/>
  <c r="AH4" i="12"/>
  <c r="AJ4" i="12"/>
</calcChain>
</file>

<file path=xl/sharedStrings.xml><?xml version="1.0" encoding="utf-8"?>
<sst xmlns="http://schemas.openxmlformats.org/spreadsheetml/2006/main" count="1144" uniqueCount="179">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</sst>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liftcruise_ref!$J$42:$J$46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liftcruise_ref!$K$42:$K$46</c:f>
              <c:numCache>
                <c:formatCode>General</c:formatCode>
                <c:ptCount val="5"/>
                <c:pt idx="0">
                  <c:v>600</c:v>
                </c:pt>
                <c:pt idx="1">
                  <c:v>819.95</c:v>
                </c:pt>
                <c:pt idx="2">
                  <c:v>502.25</c:v>
                </c:pt>
                <c:pt idx="3">
                  <c:v>796.73</c:v>
                </c:pt>
                <c:pt idx="4">
                  <c:v>139.96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liftcruise_ref!$J$34:$J$38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liftcruise_ref!$K$34:$K$38</c:f>
              <c:numCache>
                <c:formatCode>General</c:formatCode>
                <c:ptCount val="5"/>
                <c:pt idx="0">
                  <c:v>20.99</c:v>
                </c:pt>
                <c:pt idx="1">
                  <c:v>28.68</c:v>
                </c:pt>
                <c:pt idx="2">
                  <c:v>17.57</c:v>
                </c:pt>
                <c:pt idx="3">
                  <c:v>27.87</c:v>
                </c:pt>
                <c:pt idx="4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6F-0E4D-9490-EB682F2286C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6F-0E4D-9490-EB682F2286C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6F-0E4D-9490-EB682F2286C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6F-0E4D-9490-EB682F2286C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56F-0E4D-9490-EB682F2286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liftcruise_opt_weight!$K$42:$K$46</c:f>
              <c:numCache>
                <c:formatCode>General</c:formatCode>
                <c:ptCount val="5"/>
                <c:pt idx="0">
                  <c:v>600</c:v>
                </c:pt>
                <c:pt idx="1">
                  <c:v>674.52</c:v>
                </c:pt>
                <c:pt idx="2">
                  <c:v>362.46</c:v>
                </c:pt>
                <c:pt idx="3">
                  <c:v>497.75</c:v>
                </c:pt>
                <c:pt idx="4">
                  <c:v>108.02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6F-0E4D-9490-EB682F2286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20-8847-934F-4CFE343132D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20-8847-934F-4CFE343132D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20-8847-934F-4CFE343132D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620-8847-934F-4CFE343132D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20-8847-934F-4CFE343132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liftcruise_opt_weight!$K$34:$K$38</c:f>
              <c:numCache>
                <c:formatCode>General</c:formatCode>
                <c:ptCount val="5"/>
                <c:pt idx="0">
                  <c:v>26.75</c:v>
                </c:pt>
                <c:pt idx="1">
                  <c:v>30.08</c:v>
                </c:pt>
                <c:pt idx="2">
                  <c:v>16.16</c:v>
                </c:pt>
                <c:pt idx="3">
                  <c:v>22.19</c:v>
                </c:pt>
                <c:pt idx="4">
                  <c:v>4.82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20-8847-934F-4CFE343132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3C-8640-897E-FFA1C3144E0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3C-8640-897E-FFA1C3144E0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3C-8640-897E-FFA1C3144E0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3C-8640-897E-FFA1C3144E0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3C-8640-897E-FFA1C3144E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liftcruise_opt_energy!$K$42:$K$46</c:f>
              <c:numCache>
                <c:formatCode>General</c:formatCode>
                <c:ptCount val="5"/>
                <c:pt idx="0">
                  <c:v>600</c:v>
                </c:pt>
                <c:pt idx="1">
                  <c:v>612.75</c:v>
                </c:pt>
                <c:pt idx="2">
                  <c:v>339.38</c:v>
                </c:pt>
                <c:pt idx="3">
                  <c:v>666.37</c:v>
                </c:pt>
                <c:pt idx="4">
                  <c:v>112.54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3C-8640-897E-FFA1C3144E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1AE-9040-9226-A91B0F01EC8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AE-9040-9226-A91B0F01EC8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AE-9040-9226-A91B0F01EC8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AE-9040-9226-A91B0F01EC8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1AE-9040-9226-A91B0F01EC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liftcruise_opt_energy!$K$34:$K$38</c:f>
              <c:numCache>
                <c:formatCode>General</c:formatCode>
                <c:ptCount val="5"/>
                <c:pt idx="0">
                  <c:v>25.74</c:v>
                </c:pt>
                <c:pt idx="1">
                  <c:v>26.29</c:v>
                </c:pt>
                <c:pt idx="2">
                  <c:v>14.56</c:v>
                </c:pt>
                <c:pt idx="3">
                  <c:v>28.59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1AE-9040-9226-A91B0F01EC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97-3D48-9CF3-B97C85D26EC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97-3D48-9CF3-B97C85D26EC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97-3D48-9CF3-B97C85D26EC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497-3D48-9CF3-B97C85D26EC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497-3D48-9CF3-B97C85D26E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liftcruise_opt_time!$J$42:$J$46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liftcruise_opt_time!$K$42:$K$46</c:f>
              <c:numCache>
                <c:formatCode>General</c:formatCode>
                <c:ptCount val="5"/>
                <c:pt idx="0">
                  <c:v>600</c:v>
                </c:pt>
                <c:pt idx="1">
                  <c:v>1399.12</c:v>
                </c:pt>
                <c:pt idx="2">
                  <c:v>800.83</c:v>
                </c:pt>
                <c:pt idx="3">
                  <c:v>908.74</c:v>
                </c:pt>
                <c:pt idx="4">
                  <c:v>196.04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97-3D48-9CF3-B97C85D26E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2F-6C47-991A-5B7C6DCFCF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2F-6C47-991A-5B7C6DCFCF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2F-6C47-991A-5B7C6DCFCF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2F-6C47-991A-5B7C6DCFCF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2F-6C47-991A-5B7C6DCFCF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liftcruise_opt_time!$J$34:$J$38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liftcruise_opt_time!$K$34:$K$38</c:f>
              <c:numCache>
                <c:formatCode>General</c:formatCode>
                <c:ptCount val="5"/>
                <c:pt idx="0">
                  <c:v>15.37</c:v>
                </c:pt>
                <c:pt idx="1">
                  <c:v>35.83</c:v>
                </c:pt>
                <c:pt idx="2">
                  <c:v>20.51</c:v>
                </c:pt>
                <c:pt idx="3">
                  <c:v>23.27</c:v>
                </c:pt>
                <c:pt idx="4">
                  <c:v>5.0199999999999996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2F-6C47-991A-5B7C6DCFCF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7A1AA-173F-1744-9A09-6EF642AC3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9F1490-4E8B-6848-8BF6-6D99A3FFD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47B0D1-5F1D-0145-A089-7978528F2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ABDABF-592E-5F47-824C-619985814C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9F1AF-0792-5E42-915F-6011FE071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92673B-D3CE-B744-A859-94C1B195B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tabSelected="1" zoomScale="88" workbookViewId="0">
      <selection activeCell="E3" sqref="E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2" t="s">
        <v>0</v>
      </c>
      <c r="C1" s="32"/>
      <c r="D1" s="32"/>
    </row>
    <row r="2" spans="2:41" x14ac:dyDescent="0.2">
      <c r="U2" s="15" t="s">
        <v>89</v>
      </c>
      <c r="AF2" s="26" t="s">
        <v>129</v>
      </c>
    </row>
    <row r="3" spans="2:41" x14ac:dyDescent="0.2">
      <c r="B3" s="27" t="s">
        <v>118</v>
      </c>
      <c r="C3" s="30"/>
      <c r="D3" s="30"/>
      <c r="F3" s="28" t="s">
        <v>76</v>
      </c>
      <c r="G3" s="29"/>
      <c r="H3" s="29"/>
      <c r="J3" s="27" t="s">
        <v>94</v>
      </c>
      <c r="K3" s="27"/>
      <c r="L3" s="27"/>
      <c r="N3" s="27" t="s">
        <v>88</v>
      </c>
      <c r="O3" s="27"/>
      <c r="P3" s="27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925.62830835407101</v>
      </c>
      <c r="L4" s="6" t="s">
        <v>97</v>
      </c>
      <c r="N4" s="6" t="s">
        <v>131</v>
      </c>
      <c r="O4" s="6">
        <f xml:space="preserve"> $C$5 * $C$74</f>
        <v>28018.624056888904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1.2671220381743316</v>
      </c>
      <c r="X4" s="3">
        <v>1</v>
      </c>
      <c r="Y4" s="2">
        <f t="shared" ref="Y4:Y34" si="1" xml:space="preserve"> $O$22 * TAN($O$19/180*PI()) + $O$23 / (2 * SQRT($O$22^2 + X4^2)) - X4</f>
        <v>-4.2512735114531908E-2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0.48428700664170798</v>
      </c>
      <c r="AB4" s="2">
        <f>W4*AA4</f>
        <v>0.61365073891718702</v>
      </c>
      <c r="AC4" s="2">
        <f>Y4*AA4</f>
        <v>-2.0588365232768486E-2</v>
      </c>
      <c r="AD4" s="2">
        <f>X4-V4</f>
        <v>1</v>
      </c>
      <c r="AF4" s="2">
        <v>0</v>
      </c>
      <c r="AH4" s="2">
        <f>K30</f>
        <v>-2.3407786775351269E-3</v>
      </c>
      <c r="AJ4" s="2">
        <f>K30</f>
        <v>-2.3407786775351269E-3</v>
      </c>
      <c r="AL4" s="2">
        <f>K30</f>
        <v>-2.3407786775351269E-3</v>
      </c>
    </row>
    <row r="5" spans="2:41" x14ac:dyDescent="0.2">
      <c r="B5" s="9" t="s">
        <v>38</v>
      </c>
      <c r="C5" s="9">
        <v>2858.8817545776901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115.70353854425888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0.48428700664170798</v>
      </c>
      <c r="X5" s="2">
        <f>IF(AC4&gt;0, Z4, X4)</f>
        <v>1</v>
      </c>
      <c r="Y5" s="2">
        <f t="shared" si="1"/>
        <v>-4.2512735114531908E-2</v>
      </c>
      <c r="Z5" s="2">
        <f t="shared" ref="Z5:Z34" si="3" xml:space="preserve"> (V5 + X5)/2</f>
        <v>0.75</v>
      </c>
      <c r="AA5" s="2">
        <f t="shared" si="2"/>
        <v>0.21650482408022764</v>
      </c>
      <c r="AB5" s="2">
        <f t="shared" ref="AB5:AB34" si="4">W5*AA5</f>
        <v>0.10485047317730302</v>
      </c>
      <c r="AC5" s="2">
        <f t="shared" ref="AC5:AC34" si="5">Y5*AA5</f>
        <v>-9.2042122371410462E-3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-952.93050976720406</v>
      </c>
      <c r="AI5" s="3">
        <v>10000</v>
      </c>
      <c r="AJ5" s="2">
        <f t="dataTable" ref="AJ5:AJ44" dt2D="0" dtr="0" r1="C5"/>
        <v>1825.0883884849754</v>
      </c>
      <c r="AK5" s="2">
        <f>(AG5+AI5)/2</f>
        <v>5250</v>
      </c>
      <c r="AL5" s="2">
        <f t="dataTable" ref="AL5:AL44" dt2D="0" dtr="0" r1="C5" ca="1"/>
        <v>437.86837147994447</v>
      </c>
      <c r="AM5" s="2">
        <f>AH5*AL5</f>
        <v>-417258.13044531894</v>
      </c>
      <c r="AN5" s="2">
        <f>AJ5*AL5</f>
        <v>799148.48047287238</v>
      </c>
      <c r="AO5" s="2">
        <f>AI5-AG5</f>
        <v>9500</v>
      </c>
    </row>
    <row r="6" spans="2:41" x14ac:dyDescent="0.2">
      <c r="B6" s="6" t="s">
        <v>168</v>
      </c>
      <c r="C6" s="16">
        <v>500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178.53817088391961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0.26374893243931996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0.21650482408022764</v>
      </c>
      <c r="X6" s="2">
        <f t="shared" ref="X6:X34" si="8">IF(AC5&gt;0, Z5, X5)</f>
        <v>1</v>
      </c>
      <c r="Y6" s="2">
        <f t="shared" si="1"/>
        <v>-4.2512735114531908E-2</v>
      </c>
      <c r="Z6" s="2">
        <f t="shared" si="3"/>
        <v>0.875</v>
      </c>
      <c r="AA6" s="2">
        <f t="shared" si="2"/>
        <v>8.6360331887408104E-2</v>
      </c>
      <c r="AB6" s="2">
        <f t="shared" si="4"/>
        <v>1.8697428462793365E-2</v>
      </c>
      <c r="AC6" s="2">
        <f t="shared" si="5"/>
        <v>-3.6714139139324442E-3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-952.93050976720406</v>
      </c>
      <c r="AI6" s="2">
        <f>IF(AN5&gt;0,AK5,AI5)</f>
        <v>5250</v>
      </c>
      <c r="AJ6" s="2">
        <v>437.86837147994447</v>
      </c>
      <c r="AK6" s="2">
        <f t="shared" ref="AK6:AK44" si="9">(AG6+AI6)/2</f>
        <v>2875</v>
      </c>
      <c r="AL6" s="2">
        <v>4.836919679219136</v>
      </c>
      <c r="AM6" s="2">
        <f t="shared" ref="AM6:AM44" si="10">AH6*AL6</f>
        <v>-4609.2483356213124</v>
      </c>
      <c r="AN6" s="2">
        <f t="shared" ref="AN6:AN44" si="11">AJ6*AL6</f>
        <v>2117.9341429189785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3502.6630422011222</v>
      </c>
      <c r="H7" s="6" t="s">
        <v>21</v>
      </c>
      <c r="J7" s="6" t="s">
        <v>133</v>
      </c>
      <c r="K7" s="6">
        <f>K6/$C$28</f>
        <v>178.53817088391961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8.6360331887408104E-2</v>
      </c>
      <c r="X7" s="2">
        <f t="shared" si="8"/>
        <v>1</v>
      </c>
      <c r="Y7" s="2">
        <f t="shared" si="1"/>
        <v>-4.2512735114531908E-2</v>
      </c>
      <c r="Z7" s="2">
        <f t="shared" si="3"/>
        <v>0.9375</v>
      </c>
      <c r="AA7" s="2">
        <f t="shared" si="2"/>
        <v>2.1796148640552904E-2</v>
      </c>
      <c r="AB7" s="2">
        <f t="shared" si="4"/>
        <v>1.8823226304654278E-3</v>
      </c>
      <c r="AC7" s="2">
        <f t="shared" si="5"/>
        <v>-9.2661389367279035E-4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-952.93050976720406</v>
      </c>
      <c r="AI7" s="2">
        <f t="shared" ref="AI7:AI44" si="14">IF(AN6&gt;0,AK6,AI6)</f>
        <v>2875</v>
      </c>
      <c r="AJ7" s="2">
        <v>4.836919679219136</v>
      </c>
      <c r="AK7" s="2">
        <f t="shared" si="9"/>
        <v>1687.5</v>
      </c>
      <c r="AL7" s="2">
        <v>-417.67317097891328</v>
      </c>
      <c r="AM7" s="2">
        <f t="shared" si="10"/>
        <v>398013.50773702038</v>
      </c>
      <c r="AN7" s="2">
        <f t="shared" si="11"/>
        <v>-2020.2515801897646</v>
      </c>
      <c r="AO7" s="2">
        <f t="shared" si="12"/>
        <v>2375</v>
      </c>
    </row>
    <row r="8" spans="2:41" x14ac:dyDescent="0.2">
      <c r="B8" s="6" t="s">
        <v>91</v>
      </c>
      <c r="C8" s="16">
        <v>1.524</v>
      </c>
      <c r="D8" s="6" t="s">
        <v>8</v>
      </c>
      <c r="F8" t="s">
        <v>93</v>
      </c>
      <c r="G8" s="6">
        <f>G10/$C$21</f>
        <v>77.135692362839251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2.1796148640552904E-2</v>
      </c>
      <c r="X8" s="2">
        <f t="shared" si="8"/>
        <v>1</v>
      </c>
      <c r="Y8" s="2">
        <f t="shared" si="1"/>
        <v>-4.2512735114531908E-2</v>
      </c>
      <c r="Z8" s="2">
        <f t="shared" si="3"/>
        <v>0.96875</v>
      </c>
      <c r="AA8" s="2">
        <f t="shared" si="2"/>
        <v>-1.0387161917306931E-2</v>
      </c>
      <c r="AB8" s="2">
        <f t="shared" si="4"/>
        <v>-2.2640012510311236E-4</v>
      </c>
      <c r="AC8" s="2">
        <f t="shared" si="5"/>
        <v>4.4158666318222295E-4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-417.67317097891328</v>
      </c>
      <c r="AI8" s="2">
        <f t="shared" si="14"/>
        <v>2875</v>
      </c>
      <c r="AJ8" s="2">
        <v>4.836919679219136</v>
      </c>
      <c r="AK8" s="2">
        <f t="shared" si="9"/>
        <v>2281.25</v>
      </c>
      <c r="AL8" s="2">
        <v>-189.88290331126723</v>
      </c>
      <c r="AM8" s="2">
        <f t="shared" si="10"/>
        <v>79308.99434069937</v>
      </c>
      <c r="AN8" s="2">
        <f t="shared" si="11"/>
        <v>-918.44835177353286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4.6328775742521557</v>
      </c>
      <c r="H9" s="6" t="s">
        <v>172</v>
      </c>
      <c r="J9" s="27" t="s">
        <v>22</v>
      </c>
      <c r="K9" s="27"/>
      <c r="L9" s="27"/>
      <c r="N9" s="6" t="s">
        <v>114</v>
      </c>
      <c r="O9" s="6">
        <f xml:space="preserve"> $O$8/$C$12 + $O$7</f>
        <v>2.3123486142309087E-2</v>
      </c>
      <c r="U9" s="2">
        <v>5</v>
      </c>
      <c r="V9" s="2">
        <f t="shared" si="7"/>
        <v>0.9375</v>
      </c>
      <c r="W9" s="2">
        <f t="shared" si="0"/>
        <v>2.1796148640552904E-2</v>
      </c>
      <c r="X9" s="2">
        <f t="shared" si="8"/>
        <v>0.96875</v>
      </c>
      <c r="Y9" s="2">
        <f t="shared" si="1"/>
        <v>-1.0387161917306931E-2</v>
      </c>
      <c r="Z9" s="2">
        <f t="shared" si="3"/>
        <v>0.953125</v>
      </c>
      <c r="AA9" s="2">
        <f t="shared" si="2"/>
        <v>5.696926335760244E-3</v>
      </c>
      <c r="AB9" s="2">
        <f t="shared" si="4"/>
        <v>1.2417105320851066E-4</v>
      </c>
      <c r="AC9" s="2">
        <f t="shared" si="5"/>
        <v>-5.9174896280511722E-5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-189.88290331126723</v>
      </c>
      <c r="AI9" s="2">
        <f t="shared" si="14"/>
        <v>2875</v>
      </c>
      <c r="AJ9" s="2">
        <v>4.836919679219136</v>
      </c>
      <c r="AK9" s="2">
        <f t="shared" si="9"/>
        <v>2578.125</v>
      </c>
      <c r="AL9" s="2">
        <v>-88.310191812309313</v>
      </c>
      <c r="AM9" s="2">
        <f t="shared" si="10"/>
        <v>16768.595613296191</v>
      </c>
      <c r="AN9" s="2">
        <f t="shared" si="11"/>
        <v>-427.14930465257555</v>
      </c>
      <c r="AO9" s="2">
        <f t="shared" si="12"/>
        <v>593.75</v>
      </c>
    </row>
    <row r="10" spans="2:41" x14ac:dyDescent="0.2">
      <c r="B10" s="6" t="s">
        <v>134</v>
      </c>
      <c r="C10" s="16">
        <v>1.3715999999999999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617.08553890271401</v>
      </c>
      <c r="H10" s="22" t="s">
        <v>97</v>
      </c>
      <c r="J10" s="6" t="s">
        <v>92</v>
      </c>
      <c r="K10" s="6">
        <f xml:space="preserve"> $C$18 * (G10*G6 + G20*G13 + G29*G25 + G33*G32)/3600</f>
        <v>139.39131682671245</v>
      </c>
      <c r="L10" s="6" t="s">
        <v>98</v>
      </c>
      <c r="N10" s="6" t="s">
        <v>39</v>
      </c>
      <c r="O10" s="6">
        <f xml:space="preserve"> O5 * $C$12 * O9</f>
        <v>1024.2777090663999</v>
      </c>
      <c r="P10" s="6" t="s">
        <v>21</v>
      </c>
      <c r="U10" s="2">
        <v>6</v>
      </c>
      <c r="V10" s="2">
        <f t="shared" si="7"/>
        <v>0.953125</v>
      </c>
      <c r="W10" s="2">
        <f t="shared" si="0"/>
        <v>5.696926335760244E-3</v>
      </c>
      <c r="X10" s="2">
        <f t="shared" si="8"/>
        <v>0.96875</v>
      </c>
      <c r="Y10" s="2">
        <f t="shared" si="1"/>
        <v>-1.0387161917306931E-2</v>
      </c>
      <c r="Z10" s="2">
        <f t="shared" si="3"/>
        <v>0.9609375</v>
      </c>
      <c r="AA10" s="2">
        <f t="shared" si="2"/>
        <v>-2.3469640692721505E-3</v>
      </c>
      <c r="AB10" s="2">
        <f t="shared" si="4"/>
        <v>-1.3370481415319544E-5</v>
      </c>
      <c r="AC10" s="2">
        <f t="shared" si="5"/>
        <v>2.4378295801631388E-5</v>
      </c>
      <c r="AD10" s="2">
        <f t="shared" si="6"/>
        <v>1.5625E-2</v>
      </c>
      <c r="AF10" s="2">
        <v>6</v>
      </c>
      <c r="AG10" s="2">
        <f t="shared" si="13"/>
        <v>2578.125</v>
      </c>
      <c r="AH10" s="2">
        <v>-88.310191812309313</v>
      </c>
      <c r="AI10" s="2">
        <f t="shared" si="14"/>
        <v>2875</v>
      </c>
      <c r="AJ10" s="2">
        <v>4.836919679219136</v>
      </c>
      <c r="AK10" s="2">
        <f t="shared" si="9"/>
        <v>2726.5625</v>
      </c>
      <c r="AL10" s="2">
        <v>-40.676924321066053</v>
      </c>
      <c r="AM10" s="2">
        <f t="shared" si="10"/>
        <v>3592.1869891281331</v>
      </c>
      <c r="AN10" s="2">
        <f t="shared" si="11"/>
        <v>-196.7510157386719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0.7028810168808014</v>
      </c>
      <c r="U11" s="2">
        <v>7</v>
      </c>
      <c r="V11" s="2">
        <f t="shared" si="7"/>
        <v>0.953125</v>
      </c>
      <c r="W11" s="2">
        <f t="shared" si="0"/>
        <v>5.696926335760244E-3</v>
      </c>
      <c r="X11" s="2">
        <f t="shared" si="8"/>
        <v>0.9609375</v>
      </c>
      <c r="Y11" s="2">
        <f t="shared" si="1"/>
        <v>-2.3469640692721505E-3</v>
      </c>
      <c r="Z11" s="2">
        <f t="shared" si="3"/>
        <v>0.95703125</v>
      </c>
      <c r="AA11" s="2">
        <f t="shared" si="2"/>
        <v>1.6745139927916153E-3</v>
      </c>
      <c r="AB11" s="2">
        <f t="shared" si="4"/>
        <v>9.5395828651335924E-6</v>
      </c>
      <c r="AC11" s="2">
        <f t="shared" si="5"/>
        <v>-3.9300241745753661E-6</v>
      </c>
      <c r="AD11" s="2">
        <f t="shared" si="6"/>
        <v>7.8125E-3</v>
      </c>
      <c r="AF11" s="2">
        <v>7</v>
      </c>
      <c r="AG11" s="2">
        <f t="shared" si="13"/>
        <v>2726.5625</v>
      </c>
      <c r="AH11" s="2">
        <v>-40.676924321066053</v>
      </c>
      <c r="AI11" s="2">
        <f t="shared" si="14"/>
        <v>2875</v>
      </c>
      <c r="AJ11" s="2">
        <v>4.836919679219136</v>
      </c>
      <c r="AK11" s="2">
        <f t="shared" si="9"/>
        <v>2800.78125</v>
      </c>
      <c r="AL11" s="2">
        <v>-17.654380137132193</v>
      </c>
      <c r="AM11" s="2">
        <f t="shared" si="10"/>
        <v>718.12588477345798</v>
      </c>
      <c r="AN11" s="2">
        <f t="shared" si="11"/>
        <v>-85.392818709710141</v>
      </c>
      <c r="AO11" s="2">
        <f t="shared" si="12"/>
        <v>148.4375</v>
      </c>
    </row>
    <row r="12" spans="2:41" x14ac:dyDescent="0.2">
      <c r="B12" s="6" t="s">
        <v>135</v>
      </c>
      <c r="C12" s="16">
        <v>19.535478449999999</v>
      </c>
      <c r="D12" s="6" t="s">
        <v>11</v>
      </c>
      <c r="F12" s="28" t="s">
        <v>82</v>
      </c>
      <c r="G12" s="29"/>
      <c r="H12" s="29"/>
      <c r="N12" s="6" t="s">
        <v>138</v>
      </c>
      <c r="O12" s="6">
        <f xml:space="preserve"> O4 / (O5 * $C$12)</f>
        <v>0.63253184109275451</v>
      </c>
      <c r="U12" s="2">
        <v>8</v>
      </c>
      <c r="V12" s="2">
        <f t="shared" si="7"/>
        <v>0.95703125</v>
      </c>
      <c r="W12" s="2">
        <f t="shared" si="0"/>
        <v>1.6745139927916153E-3</v>
      </c>
      <c r="X12" s="2">
        <f t="shared" si="8"/>
        <v>0.9609375</v>
      </c>
      <c r="Y12" s="2">
        <f t="shared" si="1"/>
        <v>-2.3469640692721505E-3</v>
      </c>
      <c r="Z12" s="2">
        <f t="shared" si="3"/>
        <v>0.958984375</v>
      </c>
      <c r="AA12" s="2">
        <f t="shared" si="2"/>
        <v>-3.3634112003610994E-4</v>
      </c>
      <c r="AB12" s="2">
        <f t="shared" si="4"/>
        <v>-5.6320791185167042E-7</v>
      </c>
      <c r="AC12" s="2">
        <f t="shared" si="5"/>
        <v>7.8938052374350147E-7</v>
      </c>
      <c r="AD12" s="2">
        <f t="shared" si="6"/>
        <v>3.90625E-3</v>
      </c>
      <c r="AF12" s="2">
        <v>8</v>
      </c>
      <c r="AG12" s="2">
        <f t="shared" si="13"/>
        <v>2800.78125</v>
      </c>
      <c r="AH12" s="2">
        <v>-17.654380137132193</v>
      </c>
      <c r="AI12" s="2">
        <f t="shared" si="14"/>
        <v>2875</v>
      </c>
      <c r="AJ12" s="2">
        <v>4.836919679219136</v>
      </c>
      <c r="AK12" s="2">
        <f t="shared" si="9"/>
        <v>2837.890625</v>
      </c>
      <c r="AL12" s="2">
        <v>-6.3422432542670322</v>
      </c>
      <c r="AM12" s="2">
        <f t="shared" si="10"/>
        <v>111.96837333299254</v>
      </c>
      <c r="AN12" s="2">
        <f t="shared" si="11"/>
        <v>-30.676921206959022</v>
      </c>
      <c r="AO12" s="2">
        <f t="shared" si="12"/>
        <v>74.21875</v>
      </c>
    </row>
    <row r="13" spans="2:41" x14ac:dyDescent="0.2">
      <c r="B13" s="6" t="s">
        <v>136</v>
      </c>
      <c r="C13" s="16">
        <v>12.127610000000001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3.8063736509829943E-2</v>
      </c>
      <c r="U13" s="2">
        <v>9</v>
      </c>
      <c r="V13" s="2">
        <f t="shared" si="7"/>
        <v>0.95703125</v>
      </c>
      <c r="W13" s="2">
        <f t="shared" si="0"/>
        <v>1.6745139927916153E-3</v>
      </c>
      <c r="X13" s="2">
        <f t="shared" si="8"/>
        <v>0.958984375</v>
      </c>
      <c r="Y13" s="2">
        <f t="shared" si="1"/>
        <v>-3.3634112003610994E-4</v>
      </c>
      <c r="Z13" s="2">
        <f t="shared" si="3"/>
        <v>0.9580078125</v>
      </c>
      <c r="AA13" s="2">
        <f t="shared" si="2"/>
        <v>6.6905732845412569E-4</v>
      </c>
      <c r="AB13" s="2">
        <f t="shared" si="4"/>
        <v>1.1203458584762091E-6</v>
      </c>
      <c r="AC13" s="2">
        <f t="shared" si="5"/>
        <v>-2.2503149122062813E-7</v>
      </c>
      <c r="AD13" s="2">
        <f t="shared" si="6"/>
        <v>1.953125E-3</v>
      </c>
      <c r="AF13" s="2">
        <v>9</v>
      </c>
      <c r="AG13" s="2">
        <f t="shared" si="13"/>
        <v>2837.890625</v>
      </c>
      <c r="AH13" s="2">
        <v>-6.3422432542670322</v>
      </c>
      <c r="AI13" s="2">
        <f t="shared" si="14"/>
        <v>2875</v>
      </c>
      <c r="AJ13" s="2">
        <v>4.836919679219136</v>
      </c>
      <c r="AK13" s="2">
        <f t="shared" si="9"/>
        <v>2856.4453125</v>
      </c>
      <c r="AL13" s="2">
        <v>-0.73603027151921196</v>
      </c>
      <c r="AM13" s="2">
        <f t="shared" si="10"/>
        <v>4.6680830244790545</v>
      </c>
      <c r="AN13" s="2">
        <f t="shared" si="11"/>
        <v>-3.5601193048122801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71.816808061062659</v>
      </c>
      <c r="H14" s="6" t="s">
        <v>10</v>
      </c>
      <c r="J14" s="9" t="s">
        <v>75</v>
      </c>
      <c r="K14" s="17">
        <f>C5</f>
        <v>2858.8817545776901</v>
      </c>
      <c r="L14" s="6" t="s">
        <v>7</v>
      </c>
      <c r="N14" s="6" t="s">
        <v>40</v>
      </c>
      <c r="O14" s="6">
        <f xml:space="preserve"> O5 * O13 * $C$12</f>
        <v>1686.0708887428343</v>
      </c>
      <c r="P14" s="6" t="s">
        <v>21</v>
      </c>
      <c r="U14" s="2">
        <v>10</v>
      </c>
      <c r="V14" s="2">
        <f t="shared" si="7"/>
        <v>0.9580078125</v>
      </c>
      <c r="W14" s="2">
        <f t="shared" si="0"/>
        <v>6.6905732845412569E-4</v>
      </c>
      <c r="X14" s="2">
        <f t="shared" si="8"/>
        <v>0.958984375</v>
      </c>
      <c r="Y14" s="2">
        <f t="shared" si="1"/>
        <v>-3.3634112003610994E-4</v>
      </c>
      <c r="Z14" s="2">
        <f t="shared" si="3"/>
        <v>0.95849609375</v>
      </c>
      <c r="AA14" s="2">
        <f t="shared" si="2"/>
        <v>1.6635083818983265E-4</v>
      </c>
      <c r="AB14" s="2">
        <f t="shared" si="4"/>
        <v>1.1129824738539397E-7</v>
      </c>
      <c r="AC14" s="2">
        <f t="shared" si="5"/>
        <v>-5.5950627235714002E-8</v>
      </c>
      <c r="AD14" s="2">
        <f t="shared" si="6"/>
        <v>9.765625E-4</v>
      </c>
      <c r="AF14" s="2">
        <v>10</v>
      </c>
      <c r="AG14" s="2">
        <f t="shared" si="13"/>
        <v>2856.4453125</v>
      </c>
      <c r="AH14" s="2">
        <v>-0.73603027151921196</v>
      </c>
      <c r="AI14" s="2">
        <f t="shared" si="14"/>
        <v>2875</v>
      </c>
      <c r="AJ14" s="2">
        <v>4.836919679219136</v>
      </c>
      <c r="AK14" s="2">
        <f t="shared" si="9"/>
        <v>2865.72265625</v>
      </c>
      <c r="AL14" s="2">
        <v>2.0546038272950682</v>
      </c>
      <c r="AM14" s="2">
        <f t="shared" si="10"/>
        <v>-1.5122506128684012</v>
      </c>
      <c r="AN14" s="2">
        <f t="shared" si="11"/>
        <v>9.937953685242471</v>
      </c>
      <c r="AO14" s="2">
        <f t="shared" si="12"/>
        <v>18.5546875</v>
      </c>
    </row>
    <row r="15" spans="2:41" x14ac:dyDescent="0.2">
      <c r="B15" s="27" t="s">
        <v>12</v>
      </c>
      <c r="C15" s="27"/>
      <c r="D15" s="27"/>
      <c r="F15" s="6" t="s">
        <v>143</v>
      </c>
      <c r="G15" s="6">
        <f>G14/$C$73</f>
        <v>0.21584644706095835</v>
      </c>
      <c r="H15" s="6" t="s">
        <v>120</v>
      </c>
      <c r="J15" s="10" t="s">
        <v>53</v>
      </c>
      <c r="K15" s="6">
        <f xml:space="preserve"> 1000 * K10 / ($C$60 * $C$61 * $C$62)</f>
        <v>819.94892251007332</v>
      </c>
      <c r="L15" s="6" t="s">
        <v>7</v>
      </c>
      <c r="N15" s="6" t="s">
        <v>140</v>
      </c>
      <c r="O15" s="6">
        <f>O4/O14</f>
        <v>16.617702282838245</v>
      </c>
      <c r="U15" s="2">
        <v>11</v>
      </c>
      <c r="V15" s="2">
        <f t="shared" si="7"/>
        <v>0.95849609375</v>
      </c>
      <c r="W15" s="2">
        <f t="shared" si="0"/>
        <v>1.6635083818983265E-4</v>
      </c>
      <c r="X15" s="2">
        <f t="shared" si="8"/>
        <v>0.958984375</v>
      </c>
      <c r="Y15" s="2">
        <f t="shared" si="1"/>
        <v>-3.3634112003610994E-4</v>
      </c>
      <c r="Z15" s="2">
        <f t="shared" si="3"/>
        <v>0.958740234375</v>
      </c>
      <c r="AA15" s="2">
        <f t="shared" si="2"/>
        <v>-8.4996956060123807E-5</v>
      </c>
      <c r="AB15" s="2">
        <f t="shared" si="4"/>
        <v>-1.4139314884185971E-8</v>
      </c>
      <c r="AC15" s="2">
        <f t="shared" si="5"/>
        <v>2.8587971400922063E-8</v>
      </c>
      <c r="AD15" s="2">
        <f t="shared" si="6"/>
        <v>4.8828125E-4</v>
      </c>
      <c r="AF15" s="2">
        <v>11</v>
      </c>
      <c r="AG15" s="2">
        <f t="shared" si="13"/>
        <v>2856.4453125</v>
      </c>
      <c r="AH15" s="2">
        <v>-0.73603027151921196</v>
      </c>
      <c r="AI15" s="2">
        <f t="shared" si="14"/>
        <v>2865.72265625</v>
      </c>
      <c r="AJ15" s="2">
        <v>2.0546038272950682</v>
      </c>
      <c r="AK15" s="2">
        <f t="shared" si="9"/>
        <v>2861.083984375</v>
      </c>
      <c r="AL15" s="2">
        <v>0.66032648557575158</v>
      </c>
      <c r="AM15" s="2">
        <f t="shared" si="10"/>
        <v>-0.48602028246964746</v>
      </c>
      <c r="AN15" s="2">
        <f t="shared" si="11"/>
        <v>1.3567093245282409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1686.0708887428343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211.89805172027377</v>
      </c>
      <c r="L16" s="6" t="s">
        <v>7</v>
      </c>
      <c r="N16" s="6" t="s">
        <v>111</v>
      </c>
      <c r="O16" s="6">
        <f>(O13*$C$12)/(0.3048^2)/($C$5*2.20462/1000)^(2/3)</f>
        <v>2.3457708646303774</v>
      </c>
      <c r="U16" s="2">
        <v>12</v>
      </c>
      <c r="V16" s="2">
        <f t="shared" si="7"/>
        <v>0.95849609375</v>
      </c>
      <c r="W16" s="2">
        <f t="shared" si="0"/>
        <v>1.6635083818983265E-4</v>
      </c>
      <c r="X16" s="2">
        <f t="shared" si="8"/>
        <v>0.958740234375</v>
      </c>
      <c r="Y16" s="2">
        <f t="shared" si="1"/>
        <v>-8.4996956060123807E-5</v>
      </c>
      <c r="Z16" s="2">
        <f t="shared" si="3"/>
        <v>0.9586181640625</v>
      </c>
      <c r="AA16" s="2">
        <f t="shared" si="2"/>
        <v>4.0676487109703174E-5</v>
      </c>
      <c r="AB16" s="2">
        <f t="shared" si="4"/>
        <v>6.7665677253170462E-9</v>
      </c>
      <c r="AC16" s="2">
        <f t="shared" si="5"/>
        <v>-3.4573775875436331E-9</v>
      </c>
      <c r="AD16" s="2">
        <f t="shared" si="6"/>
        <v>2.44140625E-4</v>
      </c>
      <c r="AF16" s="2">
        <v>12</v>
      </c>
      <c r="AG16" s="2">
        <f t="shared" si="13"/>
        <v>2856.4453125</v>
      </c>
      <c r="AH16" s="2">
        <v>-0.73603027151921196</v>
      </c>
      <c r="AI16" s="2">
        <f t="shared" si="14"/>
        <v>2861.083984375</v>
      </c>
      <c r="AJ16" s="2">
        <v>0.66032648557575158</v>
      </c>
      <c r="AK16" s="2">
        <f t="shared" si="9"/>
        <v>2858.7646484375</v>
      </c>
      <c r="AL16" s="2">
        <v>-3.7591903929296677E-2</v>
      </c>
      <c r="AM16" s="2">
        <f t="shared" si="10"/>
        <v>2.7668779256004365E-2</v>
      </c>
      <c r="AN16" s="2">
        <f t="shared" si="11"/>
        <v>-2.4822929807733762E-2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119.0254472559464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0.9586181640625</v>
      </c>
      <c r="W17" s="2">
        <f t="shared" si="0"/>
        <v>4.0676487109703174E-5</v>
      </c>
      <c r="X17" s="2">
        <f t="shared" si="8"/>
        <v>0.958740234375</v>
      </c>
      <c r="Y17" s="2">
        <f t="shared" si="1"/>
        <v>-8.4996956060123807E-5</v>
      </c>
      <c r="Z17" s="2">
        <f t="shared" si="3"/>
        <v>0.95867919921875</v>
      </c>
      <c r="AA17" s="2">
        <f t="shared" si="2"/>
        <v>-2.2160347942556946E-5</v>
      </c>
      <c r="AB17" s="2">
        <f t="shared" si="4"/>
        <v>-9.0140510743195484E-10</v>
      </c>
      <c r="AC17" s="2">
        <f t="shared" si="5"/>
        <v>1.8835621203505678E-9</v>
      </c>
      <c r="AD17" s="2">
        <f t="shared" si="6"/>
        <v>1.220703125E-4</v>
      </c>
      <c r="AF17" s="2">
        <v>13</v>
      </c>
      <c r="AG17" s="2">
        <f t="shared" si="13"/>
        <v>2858.7646484375</v>
      </c>
      <c r="AH17" s="2">
        <v>-3.7591903929296677E-2</v>
      </c>
      <c r="AI17" s="2">
        <f t="shared" si="14"/>
        <v>2861.083984375</v>
      </c>
      <c r="AJ17" s="2">
        <v>0.66032648557575158</v>
      </c>
      <c r="AK17" s="2">
        <f t="shared" si="9"/>
        <v>2859.92431640625</v>
      </c>
      <c r="AL17" s="2">
        <v>0.31143171927124058</v>
      </c>
      <c r="AM17" s="2">
        <f t="shared" si="10"/>
        <v>-1.1707311271380168E-2</v>
      </c>
      <c r="AN17" s="2">
        <f t="shared" si="11"/>
        <v>0.20564661268319237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1.4453911687899215</v>
      </c>
      <c r="H18" s="6" t="s">
        <v>172</v>
      </c>
      <c r="J18" s="12" t="s">
        <v>54</v>
      </c>
      <c r="K18" s="6">
        <f xml:space="preserve"> $C$78 * (0.2138 * K4 + 0.2138 * K6)</f>
        <v>188.8566346088659</v>
      </c>
      <c r="L18" s="6" t="s">
        <v>7</v>
      </c>
      <c r="N18" s="28" t="s">
        <v>141</v>
      </c>
      <c r="O18" s="31"/>
      <c r="P18" s="31"/>
      <c r="U18" s="2">
        <v>14</v>
      </c>
      <c r="V18" s="2">
        <f t="shared" si="7"/>
        <v>0.9586181640625</v>
      </c>
      <c r="W18" s="2">
        <f t="shared" si="0"/>
        <v>4.0676487109703174E-5</v>
      </c>
      <c r="X18" s="2">
        <f t="shared" si="8"/>
        <v>0.95867919921875</v>
      </c>
      <c r="Y18" s="2">
        <f t="shared" si="1"/>
        <v>-2.2160347942556946E-5</v>
      </c>
      <c r="Z18" s="2">
        <f t="shared" si="3"/>
        <v>0.958648681640625</v>
      </c>
      <c r="AA18" s="2">
        <f t="shared" si="2"/>
        <v>9.2580412139886548E-6</v>
      </c>
      <c r="AB18" s="2">
        <f t="shared" si="4"/>
        <v>3.7658459410191026E-10</v>
      </c>
      <c r="AC18" s="2">
        <f t="shared" si="5"/>
        <v>-2.0516141456852089E-10</v>
      </c>
      <c r="AD18" s="2">
        <f t="shared" si="6"/>
        <v>6.103515625E-5</v>
      </c>
      <c r="AF18" s="2">
        <v>14</v>
      </c>
      <c r="AG18" s="2">
        <f t="shared" si="13"/>
        <v>2858.7646484375</v>
      </c>
      <c r="AH18" s="2">
        <v>-3.7591903929296677E-2</v>
      </c>
      <c r="AI18" s="2">
        <f t="shared" si="14"/>
        <v>2859.92431640625</v>
      </c>
      <c r="AJ18" s="2">
        <v>0.31143171927124058</v>
      </c>
      <c r="AK18" s="2">
        <f t="shared" si="9"/>
        <v>2859.344482421875</v>
      </c>
      <c r="AL18" s="2">
        <v>0.13693650412551506</v>
      </c>
      <c r="AM18" s="2">
        <f t="shared" si="10"/>
        <v>-5.1477039075001002E-3</v>
      </c>
      <c r="AN18" s="2">
        <f t="shared" si="11"/>
        <v>4.2646370910802485E-2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6.4522852017384488E-2</v>
      </c>
      <c r="J19" s="12" t="s">
        <v>73</v>
      </c>
      <c r="K19" s="6">
        <f xml:space="preserve"> $C$78 * (0.1149 * K4 + 0.1149 * K6)</f>
        <v>101.49498277155611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0.958648681640625</v>
      </c>
      <c r="W19" s="2">
        <f t="shared" si="0"/>
        <v>9.2580412139886548E-6</v>
      </c>
      <c r="X19" s="2">
        <f t="shared" si="8"/>
        <v>0.95867919921875</v>
      </c>
      <c r="Y19" s="2">
        <f t="shared" si="1"/>
        <v>-2.2160347942556946E-5</v>
      </c>
      <c r="Z19" s="2">
        <f t="shared" si="3"/>
        <v>0.9586639404296875</v>
      </c>
      <c r="AA19" s="2">
        <f t="shared" si="2"/>
        <v>-6.4511604562778047E-6</v>
      </c>
      <c r="AB19" s="2">
        <f t="shared" si="4"/>
        <v>-5.9725109382273776E-11</v>
      </c>
      <c r="AC19" s="2">
        <f t="shared" si="5"/>
        <v>1.4295996034438059E-10</v>
      </c>
      <c r="AD19" s="2">
        <f t="shared" si="6"/>
        <v>3.0517578125E-5</v>
      </c>
      <c r="AF19" s="2">
        <v>15</v>
      </c>
      <c r="AG19" s="2">
        <f t="shared" si="13"/>
        <v>2858.7646484375</v>
      </c>
      <c r="AH19" s="2">
        <v>-3.7591903929296677E-2</v>
      </c>
      <c r="AI19" s="2">
        <f t="shared" si="14"/>
        <v>2859.344482421875</v>
      </c>
      <c r="AJ19" s="2">
        <v>0.13693650412551506</v>
      </c>
      <c r="AK19" s="2">
        <f t="shared" si="9"/>
        <v>2859.0545654296875</v>
      </c>
      <c r="AL19" s="2">
        <v>4.9675959620344656E-2</v>
      </c>
      <c r="AM19" s="2">
        <f t="shared" si="10"/>
        <v>-1.8674139016436175E-3</v>
      </c>
      <c r="AN19" s="2">
        <f t="shared" si="11"/>
        <v>6.8024522494902458E-3</v>
      </c>
      <c r="AO19" s="2">
        <f t="shared" si="12"/>
        <v>0.579833984375</v>
      </c>
    </row>
    <row r="20" spans="2:41" x14ac:dyDescent="0.2">
      <c r="B20" s="27" t="s">
        <v>108</v>
      </c>
      <c r="C20" s="27"/>
      <c r="D20" s="27"/>
      <c r="F20" s="23" t="s">
        <v>128</v>
      </c>
      <c r="G20" s="22">
        <f xml:space="preserve"> $C$28 * G17</f>
        <v>119.0254472559464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223.17101179501529</v>
      </c>
      <c r="L20" s="6" t="s">
        <v>7</v>
      </c>
      <c r="N20" s="6" t="s">
        <v>20</v>
      </c>
      <c r="O20" s="6">
        <f xml:space="preserve"> O14 / $C$28</f>
        <v>1686.0708887428343</v>
      </c>
      <c r="P20" s="6" t="s">
        <v>21</v>
      </c>
      <c r="U20" s="2">
        <v>16</v>
      </c>
      <c r="V20" s="2">
        <f t="shared" si="7"/>
        <v>0.958648681640625</v>
      </c>
      <c r="W20" s="2">
        <f t="shared" si="0"/>
        <v>9.2580412139886548E-6</v>
      </c>
      <c r="X20" s="2">
        <f t="shared" si="8"/>
        <v>0.9586639404296875</v>
      </c>
      <c r="Y20" s="2">
        <f t="shared" si="1"/>
        <v>-6.4511604562778047E-6</v>
      </c>
      <c r="Z20" s="2">
        <f t="shared" si="3"/>
        <v>0.95865631103515625</v>
      </c>
      <c r="AA20" s="2">
        <f t="shared" si="2"/>
        <v>1.4034386057737436E-6</v>
      </c>
      <c r="AB20" s="2">
        <f t="shared" si="4"/>
        <v>1.2993092453556095E-11</v>
      </c>
      <c r="AC20" s="2">
        <f t="shared" si="5"/>
        <v>-9.0538076363812302E-12</v>
      </c>
      <c r="AD20" s="2">
        <f t="shared" si="6"/>
        <v>1.52587890625E-5</v>
      </c>
      <c r="AF20" s="2">
        <v>16</v>
      </c>
      <c r="AG20" s="2">
        <f t="shared" si="13"/>
        <v>2858.7646484375</v>
      </c>
      <c r="AH20" s="2">
        <v>-3.7591903929296677E-2</v>
      </c>
      <c r="AI20" s="2">
        <f t="shared" si="14"/>
        <v>2859.0545654296875</v>
      </c>
      <c r="AJ20" s="2">
        <v>4.9675959620344656E-2</v>
      </c>
      <c r="AK20" s="2">
        <f t="shared" si="9"/>
        <v>2858.9096069335938</v>
      </c>
      <c r="AL20" s="2">
        <v>6.0426979816838866E-3</v>
      </c>
      <c r="AM20" s="2">
        <f t="shared" si="10"/>
        <v>-2.2715652200121559E-4</v>
      </c>
      <c r="AN20" s="2">
        <f t="shared" si="11"/>
        <v>3.0017682093606688E-4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74.330925619019951</v>
      </c>
      <c r="L21" s="6" t="s">
        <v>7</v>
      </c>
      <c r="N21" s="6" t="s">
        <v>27</v>
      </c>
      <c r="O21" s="6">
        <f>$C$6*2*PI()/60</f>
        <v>52.359877559829883</v>
      </c>
      <c r="P21" s="6" t="s">
        <v>28</v>
      </c>
      <c r="U21" s="2">
        <v>17</v>
      </c>
      <c r="V21" s="2">
        <f t="shared" si="7"/>
        <v>0.95865631103515625</v>
      </c>
      <c r="W21" s="2">
        <f t="shared" si="0"/>
        <v>1.4034386057737436E-6</v>
      </c>
      <c r="X21" s="2">
        <f t="shared" si="8"/>
        <v>0.9586639404296875</v>
      </c>
      <c r="Y21" s="2">
        <f t="shared" si="1"/>
        <v>-6.4511604562778047E-6</v>
      </c>
      <c r="Z21" s="2">
        <f t="shared" si="3"/>
        <v>0.95866012573242188</v>
      </c>
      <c r="AA21" s="2">
        <f t="shared" si="2"/>
        <v>-2.5238613685640843E-6</v>
      </c>
      <c r="AB21" s="2">
        <f t="shared" si="4"/>
        <v>-3.5420844802637908E-12</v>
      </c>
      <c r="AC21" s="2">
        <f t="shared" si="5"/>
        <v>1.6281834658007802E-11</v>
      </c>
      <c r="AD21" s="2">
        <f t="shared" si="6"/>
        <v>7.62939453125E-6</v>
      </c>
      <c r="AF21" s="2">
        <v>17</v>
      </c>
      <c r="AG21" s="2">
        <f t="shared" si="13"/>
        <v>2858.7646484375</v>
      </c>
      <c r="AH21" s="2">
        <v>-3.7591903929296677E-2</v>
      </c>
      <c r="AI21" s="2">
        <f t="shared" si="14"/>
        <v>2858.9096069335938</v>
      </c>
      <c r="AJ21" s="2">
        <v>6.0426979816838866E-3</v>
      </c>
      <c r="AK21" s="2">
        <f t="shared" si="9"/>
        <v>2858.8371276855469</v>
      </c>
      <c r="AL21" s="2">
        <v>-1.5774353851156775E-2</v>
      </c>
      <c r="AM21" s="2">
        <f t="shared" si="10"/>
        <v>5.9298799451941659E-4</v>
      </c>
      <c r="AN21" s="2">
        <f t="shared" si="11"/>
        <v>-9.5319656178752488E-5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7" t="s">
        <v>77</v>
      </c>
      <c r="G22" s="27"/>
      <c r="H22" s="27"/>
      <c r="J22" s="13" t="s">
        <v>144</v>
      </c>
      <c r="K22" s="6">
        <f xml:space="preserve"> $C$79 * (0.04674 * ($C$5*2.20462)^0.397 * ($C$12*3.28084^2)^0.36 * $C$46^0.397 * $C$13^1.712 * 0.453592)</f>
        <v>415.81837851899411</v>
      </c>
      <c r="L22" s="6" t="s">
        <v>7</v>
      </c>
      <c r="N22" s="6" t="s">
        <v>29</v>
      </c>
      <c r="O22" s="6">
        <f xml:space="preserve"> $C$7 * COS(O19/180*PI()) / (O21 * $C$10)</f>
        <v>8.1378101359194571E-2</v>
      </c>
      <c r="U22" s="2">
        <v>18</v>
      </c>
      <c r="V22" s="2">
        <f t="shared" si="7"/>
        <v>0.95865631103515625</v>
      </c>
      <c r="W22" s="2">
        <f t="shared" si="0"/>
        <v>1.4034386057737436E-6</v>
      </c>
      <c r="X22" s="2">
        <f t="shared" si="8"/>
        <v>0.95866012573242188</v>
      </c>
      <c r="Y22" s="2">
        <f t="shared" si="1"/>
        <v>-2.5238613685640843E-6</v>
      </c>
      <c r="Z22" s="2">
        <f t="shared" si="3"/>
        <v>0.95865821838378906</v>
      </c>
      <c r="AA22" s="2">
        <f t="shared" si="2"/>
        <v>-5.6021149219542821E-7</v>
      </c>
      <c r="AB22" s="2">
        <f t="shared" si="4"/>
        <v>-7.8622243554518021E-13</v>
      </c>
      <c r="AC22" s="2">
        <f t="shared" si="5"/>
        <v>1.4138961433776813E-12</v>
      </c>
      <c r="AD22" s="2">
        <f t="shared" si="6"/>
        <v>3.814697265625E-6</v>
      </c>
      <c r="AF22" s="2">
        <v>18</v>
      </c>
      <c r="AG22" s="2">
        <f t="shared" si="13"/>
        <v>2858.8371276855469</v>
      </c>
      <c r="AH22" s="2">
        <v>-1.5774353851156775E-2</v>
      </c>
      <c r="AI22" s="2">
        <f t="shared" si="14"/>
        <v>2858.9096069335938</v>
      </c>
      <c r="AJ22" s="2">
        <v>6.0426979816838866E-3</v>
      </c>
      <c r="AK22" s="2">
        <f t="shared" si="9"/>
        <v>2858.8733673095703</v>
      </c>
      <c r="AL22" s="2">
        <v>-4.8657656548130035E-3</v>
      </c>
      <c r="AM22" s="2">
        <f t="shared" si="10"/>
        <v>7.6754309195825875E-5</v>
      </c>
      <c r="AN22" s="2">
        <f t="shared" si="11"/>
        <v>-2.9402352301685313E-5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31.315502348550201</v>
      </c>
      <c r="L23" s="6" t="s">
        <v>7</v>
      </c>
      <c r="N23" s="6" t="s">
        <v>30</v>
      </c>
      <c r="O23" s="6">
        <f xml:space="preserve"> O20 / ( $C$71 * PI() * $C$10^2 * O21^2 * $C$10^2)</f>
        <v>5.4843320169196866E-2</v>
      </c>
      <c r="U23" s="2">
        <v>19</v>
      </c>
      <c r="V23" s="2">
        <f t="shared" si="7"/>
        <v>0.95865631103515625</v>
      </c>
      <c r="W23" s="2">
        <f t="shared" si="0"/>
        <v>1.4034386057737436E-6</v>
      </c>
      <c r="X23" s="2">
        <f t="shared" si="8"/>
        <v>0.95865821838378906</v>
      </c>
      <c r="Y23" s="2">
        <f t="shared" si="1"/>
        <v>-5.6021149219542821E-7</v>
      </c>
      <c r="Z23" s="2">
        <f t="shared" si="3"/>
        <v>0.95865726470947266</v>
      </c>
      <c r="AA23" s="2">
        <f t="shared" si="2"/>
        <v>4.2161352908909322E-7</v>
      </c>
      <c r="AB23" s="2">
        <f t="shared" si="4"/>
        <v>5.9170870344014467E-13</v>
      </c>
      <c r="AC23" s="2">
        <f t="shared" si="5"/>
        <v>-2.361927442607815E-13</v>
      </c>
      <c r="AD23" s="2">
        <f t="shared" si="6"/>
        <v>1.9073486328125E-6</v>
      </c>
      <c r="AF23" s="2">
        <v>19</v>
      </c>
      <c r="AG23" s="2">
        <f t="shared" si="13"/>
        <v>2858.8733673095703</v>
      </c>
      <c r="AH23" s="2">
        <v>-4.8657656548130035E-3</v>
      </c>
      <c r="AI23" s="2">
        <f t="shared" si="14"/>
        <v>2858.9096069335938</v>
      </c>
      <c r="AJ23" s="2">
        <v>6.0426979816838866E-3</v>
      </c>
      <c r="AK23" s="2">
        <f t="shared" si="9"/>
        <v>2858.891487121582</v>
      </c>
      <c r="AL23" s="2">
        <v>5.8848173375736224E-4</v>
      </c>
      <c r="AM23" s="2">
        <f t="shared" si="10"/>
        <v>-2.8634142086013831E-6</v>
      </c>
      <c r="AN23" s="2">
        <f t="shared" si="11"/>
        <v>3.5560173848334473E-6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10.05121557673719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0.95865726470947266</v>
      </c>
      <c r="W24" s="2">
        <f t="shared" si="0"/>
        <v>4.2161352908909322E-7</v>
      </c>
      <c r="X24" s="2">
        <f t="shared" si="8"/>
        <v>0.95865821838378906</v>
      </c>
      <c r="Y24" s="2">
        <f t="shared" si="1"/>
        <v>-5.6021149219542821E-7</v>
      </c>
      <c r="Z24" s="2">
        <f t="shared" si="3"/>
        <v>0.95865774154663086</v>
      </c>
      <c r="AA24" s="2">
        <f t="shared" si="2"/>
        <v>-6.9298988436550246E-8</v>
      </c>
      <c r="AB24" s="2">
        <f t="shared" si="4"/>
        <v>-2.9217391077038209E-14</v>
      </c>
      <c r="AC24" s="2">
        <f t="shared" si="5"/>
        <v>3.8822089719673539E-14</v>
      </c>
      <c r="AD24" s="2">
        <f t="shared" si="6"/>
        <v>9.5367431640625E-7</v>
      </c>
      <c r="AF24" s="2">
        <v>20</v>
      </c>
      <c r="AG24" s="2">
        <f t="shared" si="13"/>
        <v>2858.8733673095703</v>
      </c>
      <c r="AH24" s="2">
        <v>-4.8657656548130035E-3</v>
      </c>
      <c r="AI24" s="2">
        <f t="shared" si="14"/>
        <v>2858.891487121582</v>
      </c>
      <c r="AJ24" s="2">
        <v>5.8848173375736224E-4</v>
      </c>
      <c r="AK24" s="2">
        <f t="shared" si="9"/>
        <v>2858.8824272155762</v>
      </c>
      <c r="AL24" s="2">
        <v>-2.1386380676631234E-3</v>
      </c>
      <c r="AM24" s="2">
        <f t="shared" si="10"/>
        <v>1.0406111657710874E-5</v>
      </c>
      <c r="AN24" s="2">
        <f t="shared" si="11"/>
        <v>-1.2585494379378899E-6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42.040186591577729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2152.0895223310586</v>
      </c>
      <c r="P25" s="6" t="s">
        <v>19</v>
      </c>
      <c r="U25" s="2">
        <v>21</v>
      </c>
      <c r="V25" s="2">
        <f t="shared" si="7"/>
        <v>0.95865726470947266</v>
      </c>
      <c r="W25" s="2">
        <f t="shared" si="0"/>
        <v>4.2161352908909322E-7</v>
      </c>
      <c r="X25" s="2">
        <f t="shared" si="8"/>
        <v>0.95865774154663086</v>
      </c>
      <c r="Y25" s="2">
        <f t="shared" si="1"/>
        <v>-6.9298988436550246E-8</v>
      </c>
      <c r="Z25" s="2">
        <f t="shared" si="3"/>
        <v>0.95865750312805176</v>
      </c>
      <c r="AA25" s="2">
        <f t="shared" si="2"/>
        <v>1.7615726854991465E-7</v>
      </c>
      <c r="AB25" s="2">
        <f t="shared" si="4"/>
        <v>7.4270287668024644E-14</v>
      </c>
      <c r="AC25" s="2">
        <f t="shared" si="5"/>
        <v>-1.2207520516254811E-14</v>
      </c>
      <c r="AD25" s="2">
        <f t="shared" si="6"/>
        <v>4.76837158203125E-7</v>
      </c>
      <c r="AF25" s="2">
        <v>21</v>
      </c>
      <c r="AG25" s="2">
        <f t="shared" si="13"/>
        <v>2858.8824272155762</v>
      </c>
      <c r="AH25" s="2">
        <v>-2.1386380676631234E-3</v>
      </c>
      <c r="AI25" s="2">
        <f t="shared" si="14"/>
        <v>2858.891487121582</v>
      </c>
      <c r="AJ25" s="2">
        <v>5.8848173375736224E-4</v>
      </c>
      <c r="AK25" s="2">
        <f t="shared" si="9"/>
        <v>2858.8869571685791</v>
      </c>
      <c r="AL25" s="2">
        <v>-7.7507719424829702E-4</v>
      </c>
      <c r="AM25" s="2">
        <f t="shared" si="10"/>
        <v>1.6576095929969333E-6</v>
      </c>
      <c r="AN25" s="2">
        <f t="shared" si="11"/>
        <v>-4.5611877106702966E-7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3502.6630422011222</v>
      </c>
      <c r="H26" s="6" t="s">
        <v>21</v>
      </c>
      <c r="J26" s="14" t="s">
        <v>65</v>
      </c>
      <c r="K26" s="6">
        <f xml:space="preserve"> $C$80 * (0.0268 * $C$5)</f>
        <v>61.294424818145686</v>
      </c>
      <c r="L26" s="6" t="s">
        <v>7</v>
      </c>
      <c r="N26" s="6" t="s">
        <v>32</v>
      </c>
      <c r="O26" s="17">
        <f>Z34</f>
        <v>0.9586576740257442</v>
      </c>
      <c r="U26" s="2">
        <v>22</v>
      </c>
      <c r="V26" s="2">
        <f t="shared" si="7"/>
        <v>0.95865750312805176</v>
      </c>
      <c r="W26" s="2">
        <f t="shared" si="0"/>
        <v>1.7615726854991465E-7</v>
      </c>
      <c r="X26" s="2">
        <f t="shared" si="8"/>
        <v>0.95865774154663086</v>
      </c>
      <c r="Y26" s="2">
        <f t="shared" si="1"/>
        <v>-6.9298988436550246E-8</v>
      </c>
      <c r="Z26" s="2">
        <f t="shared" si="3"/>
        <v>0.95865762233734131</v>
      </c>
      <c r="AA26" s="2">
        <f t="shared" si="2"/>
        <v>5.3429139668104142E-8</v>
      </c>
      <c r="AB26" s="2">
        <f t="shared" si="4"/>
        <v>9.4119313049051186E-15</v>
      </c>
      <c r="AC26" s="2">
        <f t="shared" si="5"/>
        <v>-3.7025853320347769E-15</v>
      </c>
      <c r="AD26" s="2">
        <f t="shared" si="6"/>
        <v>2.384185791015625E-7</v>
      </c>
      <c r="AF26" s="2">
        <v>22</v>
      </c>
      <c r="AG26" s="2">
        <f t="shared" si="13"/>
        <v>2858.8869571685791</v>
      </c>
      <c r="AH26" s="2">
        <v>-7.7507719424829702E-4</v>
      </c>
      <c r="AI26" s="2">
        <f t="shared" si="14"/>
        <v>2858.891487121582</v>
      </c>
      <c r="AJ26" s="2">
        <v>5.8848173375736224E-4</v>
      </c>
      <c r="AK26" s="2">
        <f t="shared" si="9"/>
        <v>2858.8892221450806</v>
      </c>
      <c r="AL26" s="2">
        <v>-9.2971150479570497E-5</v>
      </c>
      <c r="AM26" s="2">
        <f t="shared" si="10"/>
        <v>7.2059818459741717E-8</v>
      </c>
      <c r="AN26" s="2">
        <f t="shared" si="11"/>
        <v>-5.4711823823634265E-8</v>
      </c>
      <c r="AO26" s="2">
        <f t="shared" si="12"/>
        <v>4.5299530029296875E-3</v>
      </c>
    </row>
    <row r="27" spans="2:41" x14ac:dyDescent="0.2">
      <c r="B27" s="27" t="s">
        <v>146</v>
      </c>
      <c r="C27" s="27"/>
      <c r="D27" s="27"/>
      <c r="F27" t="s">
        <v>93</v>
      </c>
      <c r="G27" s="6">
        <f>G29/$C$21</f>
        <v>70.957059470087927</v>
      </c>
      <c r="H27" t="s">
        <v>97</v>
      </c>
      <c r="J27" s="14" t="s">
        <v>66</v>
      </c>
      <c r="K27" s="6">
        <f xml:space="preserve"> $C$80 * (11.5 * ($C$5*2.20462/1000)^0.4 * 0.453592)</f>
        <v>8.7149557840482519</v>
      </c>
      <c r="L27" s="6" t="s">
        <v>7</v>
      </c>
      <c r="N27" s="6" t="s">
        <v>33</v>
      </c>
      <c r="O27" s="6">
        <f xml:space="preserve"> O21 * $C$10 * O26 - $C$7 * SIN(O19/180*PI())</f>
        <v>2.0469024965315583</v>
      </c>
      <c r="P27" s="6" t="s">
        <v>10</v>
      </c>
      <c r="U27" s="2">
        <v>23</v>
      </c>
      <c r="V27" s="2">
        <f t="shared" si="7"/>
        <v>0.95865762233734131</v>
      </c>
      <c r="W27" s="2">
        <f t="shared" si="0"/>
        <v>5.3429139668104142E-8</v>
      </c>
      <c r="X27" s="2">
        <f t="shared" si="8"/>
        <v>0.95865774154663086</v>
      </c>
      <c r="Y27" s="2">
        <f t="shared" si="1"/>
        <v>-6.9298988436550246E-8</v>
      </c>
      <c r="Z27" s="2">
        <f t="shared" si="3"/>
        <v>0.95865768194198608</v>
      </c>
      <c r="AA27" s="2">
        <f t="shared" si="2"/>
        <v>-7.9349244952453546E-9</v>
      </c>
      <c r="AB27" s="2">
        <f t="shared" si="4"/>
        <v>-4.2395618911232479E-16</v>
      </c>
      <c r="AC27" s="2">
        <f t="shared" si="5"/>
        <v>5.4988224084090715E-16</v>
      </c>
      <c r="AD27" s="2">
        <f t="shared" si="6"/>
        <v>1.1920928955078125E-7</v>
      </c>
      <c r="AF27" s="2">
        <v>23</v>
      </c>
      <c r="AG27" s="2">
        <f t="shared" si="13"/>
        <v>2858.8892221450806</v>
      </c>
      <c r="AH27" s="2">
        <v>-9.2971150479570497E-5</v>
      </c>
      <c r="AI27" s="2">
        <f t="shared" si="14"/>
        <v>2858.891487121582</v>
      </c>
      <c r="AJ27" s="2">
        <v>5.8848173375736224E-4</v>
      </c>
      <c r="AK27" s="2">
        <f t="shared" si="9"/>
        <v>2858.8903546333313</v>
      </c>
      <c r="AL27" s="2">
        <v>2.4808168927847873E-4</v>
      </c>
      <c r="AM27" s="2">
        <f t="shared" si="10"/>
        <v>-2.3064440065135499E-8</v>
      </c>
      <c r="AN27" s="2">
        <f t="shared" si="11"/>
        <v>1.4599154262005438E-7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5.036288453763464</v>
      </c>
      <c r="H28" s="6" t="s">
        <v>172</v>
      </c>
      <c r="J28" s="14" t="s">
        <v>67</v>
      </c>
      <c r="K28" s="6">
        <f xml:space="preserve"> $C$80 * (8 * ($C$5/1000))</f>
        <v>18.29684322929722</v>
      </c>
      <c r="L28" s="6" t="s">
        <v>7</v>
      </c>
      <c r="N28" s="6" t="s">
        <v>34</v>
      </c>
      <c r="O28" s="6">
        <f xml:space="preserve"> 1/$C$31 - O25 * SQRT( (2*$C$71*PI()*$C$10^2) / O20^3 )</f>
        <v>1.2260057049769222</v>
      </c>
      <c r="U28" s="2">
        <v>24</v>
      </c>
      <c r="V28" s="2">
        <f t="shared" si="7"/>
        <v>0.95865762233734131</v>
      </c>
      <c r="W28" s="2">
        <f t="shared" si="0"/>
        <v>5.3429139668104142E-8</v>
      </c>
      <c r="X28" s="2">
        <f t="shared" si="8"/>
        <v>0.95865768194198608</v>
      </c>
      <c r="Y28" s="2">
        <f t="shared" si="1"/>
        <v>-7.9349244952453546E-9</v>
      </c>
      <c r="Z28" s="2">
        <f t="shared" si="3"/>
        <v>0.9586576521396637</v>
      </c>
      <c r="AA28" s="2">
        <f t="shared" si="2"/>
        <v>2.2747107530918242E-8</v>
      </c>
      <c r="AB28" s="2">
        <f t="shared" si="4"/>
        <v>1.2153583853148143E-15</v>
      </c>
      <c r="AC28" s="2">
        <f t="shared" si="5"/>
        <v>-1.8049658074306324E-16</v>
      </c>
      <c r="AD28" s="2">
        <f t="shared" si="6"/>
        <v>5.9604644775390625E-8</v>
      </c>
      <c r="AF28" s="2">
        <v>24</v>
      </c>
      <c r="AG28" s="2">
        <f t="shared" si="13"/>
        <v>2858.8892221450806</v>
      </c>
      <c r="AH28" s="2">
        <v>-9.2971150479570497E-5</v>
      </c>
      <c r="AI28" s="2">
        <f t="shared" si="14"/>
        <v>2858.8903546333313</v>
      </c>
      <c r="AJ28" s="2">
        <v>2.4808168927847873E-4</v>
      </c>
      <c r="AK28" s="2">
        <f t="shared" si="9"/>
        <v>2858.8897883892059</v>
      </c>
      <c r="AL28" s="2">
        <v>7.7228948157426203E-5</v>
      </c>
      <c r="AM28" s="2">
        <f t="shared" si="10"/>
        <v>-7.1800641605230197E-9</v>
      </c>
      <c r="AN28" s="2">
        <f t="shared" si="11"/>
        <v>1.9159087920094351E-8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567.65647576070342</v>
      </c>
      <c r="H29" s="22" t="s">
        <v>97</v>
      </c>
      <c r="J29" s="14" t="s">
        <v>68</v>
      </c>
      <c r="K29" s="6">
        <f xml:space="preserve"> $C$80 * (13 * ($C$5*2.20462/1000)^1.3 * 0.453592)</f>
        <v>51.652059464212243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0.9586576521396637</v>
      </c>
      <c r="W29" s="2">
        <f t="shared" si="0"/>
        <v>2.2747107530918242E-8</v>
      </c>
      <c r="X29" s="2">
        <f t="shared" si="8"/>
        <v>0.95865768194198608</v>
      </c>
      <c r="Y29" s="2">
        <f t="shared" si="1"/>
        <v>-7.9349244952453546E-9</v>
      </c>
      <c r="Z29" s="2">
        <f t="shared" si="3"/>
        <v>0.95865766704082489</v>
      </c>
      <c r="AA29" s="2">
        <f t="shared" si="2"/>
        <v>7.4060915178364439E-9</v>
      </c>
      <c r="AB29" s="2">
        <f t="shared" si="4"/>
        <v>1.6846716014004709E-16</v>
      </c>
      <c r="AC29" s="2">
        <f t="shared" si="5"/>
        <v>-5.8766776998909247E-17</v>
      </c>
      <c r="AD29" s="2">
        <f t="shared" si="6"/>
        <v>2.9802322387695312E-8</v>
      </c>
      <c r="AF29" s="2">
        <v>25</v>
      </c>
      <c r="AG29" s="2">
        <f t="shared" si="13"/>
        <v>2858.8892221450806</v>
      </c>
      <c r="AH29" s="2">
        <v>-9.2971150479570497E-5</v>
      </c>
      <c r="AI29" s="2">
        <f t="shared" si="14"/>
        <v>2858.8897883892059</v>
      </c>
      <c r="AJ29" s="2">
        <v>7.7228948157426203E-5</v>
      </c>
      <c r="AK29" s="2">
        <f t="shared" si="9"/>
        <v>2858.8895052671432</v>
      </c>
      <c r="AL29" s="2">
        <v>-7.5447615017765202E-6</v>
      </c>
      <c r="AM29" s="2">
        <f t="shared" si="10"/>
        <v>7.0144515691413514E-10</v>
      </c>
      <c r="AN29" s="2">
        <f t="shared" si="11"/>
        <v>-5.8267399488084394E-10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-2.3407786775351269E-3</v>
      </c>
      <c r="L30" s="9" t="s">
        <v>7</v>
      </c>
      <c r="N30" s="6" t="s">
        <v>36</v>
      </c>
      <c r="O30" s="6">
        <f xml:space="preserve"> 1/$C$77 * LN( EXP($C$77 * O28) + EXP($C$77 * O29) )</f>
        <v>1.2292513282467226</v>
      </c>
      <c r="U30" s="2">
        <v>26</v>
      </c>
      <c r="V30" s="2">
        <f>IF(AB29&gt;0, Z29, V29)</f>
        <v>0.95865766704082489</v>
      </c>
      <c r="W30" s="2">
        <f t="shared" si="0"/>
        <v>7.4060915178364439E-9</v>
      </c>
      <c r="X30" s="2">
        <f t="shared" si="8"/>
        <v>0.95865768194198608</v>
      </c>
      <c r="Y30" s="2">
        <f t="shared" si="1"/>
        <v>-7.9349244952453546E-9</v>
      </c>
      <c r="Z30" s="2">
        <f t="shared" si="3"/>
        <v>0.95865767449140549</v>
      </c>
      <c r="AA30" s="2">
        <f t="shared" si="2"/>
        <v>-2.6441648870445533E-10</v>
      </c>
      <c r="AB30" s="2">
        <f t="shared" si="4"/>
        <v>-1.9582927141701625E-18</v>
      </c>
      <c r="AC30" s="2">
        <f t="shared" si="5"/>
        <v>2.0981248731677492E-18</v>
      </c>
      <c r="AD30" s="2">
        <f t="shared" si="6"/>
        <v>1.4901161193847656E-8</v>
      </c>
      <c r="AF30" s="2">
        <v>26</v>
      </c>
      <c r="AG30" s="2">
        <f t="shared" si="13"/>
        <v>2858.8895052671432</v>
      </c>
      <c r="AH30" s="2">
        <v>-7.5447615017765202E-6</v>
      </c>
      <c r="AI30" s="2">
        <f t="shared" si="14"/>
        <v>2858.8897883892059</v>
      </c>
      <c r="AJ30" s="2">
        <v>7.7228948157426203E-5</v>
      </c>
      <c r="AK30" s="2">
        <f t="shared" si="9"/>
        <v>2858.8896468281746</v>
      </c>
      <c r="AL30" s="2">
        <v>3.4515757761255372E-5</v>
      </c>
      <c r="AM30" s="2">
        <f t="shared" si="10"/>
        <v>-2.6041316036176366E-10</v>
      </c>
      <c r="AN30" s="2">
        <f t="shared" si="11"/>
        <v>2.6656156667582722E-9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28" t="s">
        <v>175</v>
      </c>
      <c r="G31" s="29"/>
      <c r="H31" s="29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0.95865766704082489</v>
      </c>
      <c r="W31" s="2">
        <f t="shared" si="0"/>
        <v>7.4060915178364439E-9</v>
      </c>
      <c r="X31" s="2">
        <f t="shared" si="8"/>
        <v>0.95865767449140549</v>
      </c>
      <c r="Y31" s="2">
        <f t="shared" si="1"/>
        <v>-2.6441648870445533E-10</v>
      </c>
      <c r="Z31" s="2">
        <f t="shared" si="3"/>
        <v>0.95865767076611519</v>
      </c>
      <c r="AA31" s="2">
        <f t="shared" si="2"/>
        <v>3.5708375145659943E-9</v>
      </c>
      <c r="AB31" s="2">
        <f t="shared" si="4"/>
        <v>2.644594942819938E-17</v>
      </c>
      <c r="AC31" s="2">
        <f t="shared" si="5"/>
        <v>-9.4418831733568458E-19</v>
      </c>
      <c r="AD31" s="2">
        <f t="shared" si="6"/>
        <v>7.4505805969238281E-9</v>
      </c>
      <c r="AF31" s="2">
        <v>27</v>
      </c>
      <c r="AG31" s="2">
        <f t="shared" si="13"/>
        <v>2858.8895052671432</v>
      </c>
      <c r="AH31" s="2">
        <v>-7.5447615017765202E-6</v>
      </c>
      <c r="AI31" s="2">
        <f t="shared" si="14"/>
        <v>2858.8896468281746</v>
      </c>
      <c r="AJ31" s="2">
        <v>3.4515757761255372E-5</v>
      </c>
      <c r="AK31" s="2">
        <f t="shared" si="9"/>
        <v>2858.8895760476589</v>
      </c>
      <c r="AL31" s="2">
        <v>1.3485498584486777E-5</v>
      </c>
      <c r="AM31" s="2">
        <f t="shared" si="10"/>
        <v>-1.0174487055249759E-10</v>
      </c>
      <c r="AN31" s="2">
        <f t="shared" si="11"/>
        <v>4.6546220243189781E-10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0.95865767076611519</v>
      </c>
      <c r="W32" s="2">
        <f t="shared" si="0"/>
        <v>3.5708375145659943E-9</v>
      </c>
      <c r="X32" s="2">
        <f t="shared" si="8"/>
        <v>0.95865767449140549</v>
      </c>
      <c r="Y32" s="2">
        <f t="shared" si="1"/>
        <v>-2.6441648870445533E-10</v>
      </c>
      <c r="Z32" s="2">
        <f t="shared" si="3"/>
        <v>0.95865767262876034</v>
      </c>
      <c r="AA32" s="2">
        <f t="shared" si="2"/>
        <v>1.6532104574196183E-9</v>
      </c>
      <c r="AB32" s="2">
        <f t="shared" si="4"/>
        <v>5.9033459208267802E-18</v>
      </c>
      <c r="AC32" s="2">
        <f t="shared" si="5"/>
        <v>-4.3713610424038192E-19</v>
      </c>
      <c r="AD32" s="2">
        <f t="shared" si="6"/>
        <v>3.7252902984619141E-9</v>
      </c>
      <c r="AF32" s="2">
        <v>28</v>
      </c>
      <c r="AG32" s="2">
        <f t="shared" si="13"/>
        <v>2858.8895052671432</v>
      </c>
      <c r="AH32" s="2">
        <v>-7.5447615017765202E-6</v>
      </c>
      <c r="AI32" s="2">
        <f t="shared" si="14"/>
        <v>2858.8895760476589</v>
      </c>
      <c r="AJ32" s="2">
        <v>1.3485498584486777E-5</v>
      </c>
      <c r="AK32" s="2">
        <f t="shared" si="9"/>
        <v>2858.8895406574011</v>
      </c>
      <c r="AL32" s="2">
        <v>2.6440325200383086E-6</v>
      </c>
      <c r="AM32" s="2">
        <f t="shared" si="10"/>
        <v>-1.9948594766630186E-11</v>
      </c>
      <c r="AN32" s="2">
        <f t="shared" si="11"/>
        <v>3.5656096806313616E-11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119.0254472559464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0.95865767262876034</v>
      </c>
      <c r="W33" s="2">
        <f t="shared" si="0"/>
        <v>1.6532104574196183E-9</v>
      </c>
      <c r="X33" s="2">
        <f t="shared" si="8"/>
        <v>0.95865767449140549</v>
      </c>
      <c r="Y33" s="2">
        <f t="shared" si="1"/>
        <v>-2.6441648870445533E-10</v>
      </c>
      <c r="Z33" s="2">
        <f t="shared" si="3"/>
        <v>0.95865767356008291</v>
      </c>
      <c r="AA33" s="2">
        <f t="shared" si="2"/>
        <v>6.9439698435758146E-10</v>
      </c>
      <c r="AB33" s="2">
        <f t="shared" si="4"/>
        <v>1.1479843561406007E-18</v>
      </c>
      <c r="AC33" s="2">
        <f t="shared" si="5"/>
        <v>-1.8361001237079428E-19</v>
      </c>
      <c r="AD33" s="2">
        <f t="shared" si="6"/>
        <v>1.862645149230957E-9</v>
      </c>
      <c r="AF33" s="2">
        <v>29</v>
      </c>
      <c r="AG33" s="2">
        <f t="shared" si="13"/>
        <v>2858.8895052671432</v>
      </c>
      <c r="AH33" s="2">
        <v>-7.5447615017765202E-6</v>
      </c>
      <c r="AI33" s="2">
        <f t="shared" si="14"/>
        <v>2858.8895406574011</v>
      </c>
      <c r="AJ33" s="2">
        <v>2.6440325200383086E-6</v>
      </c>
      <c r="AK33" s="2">
        <f t="shared" si="9"/>
        <v>2858.8895229622722</v>
      </c>
      <c r="AL33" s="2">
        <v>-2.7767009669332765E-6</v>
      </c>
      <c r="AM33" s="2">
        <f t="shared" si="10"/>
        <v>2.0949546557263823E-11</v>
      </c>
      <c r="AN33" s="2">
        <f t="shared" si="11"/>
        <v>-7.3416876549933992E-12</v>
      </c>
      <c r="AO33" s="2">
        <f t="shared" si="12"/>
        <v>3.5390257835388184E-5</v>
      </c>
    </row>
    <row r="34" spans="2:41" x14ac:dyDescent="0.2">
      <c r="B34" s="27" t="s">
        <v>100</v>
      </c>
      <c r="C34" s="27"/>
      <c r="D34" s="27"/>
      <c r="J34" s="6" t="s">
        <v>58</v>
      </c>
      <c r="K34" s="6">
        <f>ROUND($C$16/$C$5 * 100, 2)</f>
        <v>20.99</v>
      </c>
      <c r="L34" s="6" t="s">
        <v>59</v>
      </c>
      <c r="U34" s="2">
        <v>30</v>
      </c>
      <c r="V34" s="2">
        <f t="shared" si="7"/>
        <v>0.95865767356008291</v>
      </c>
      <c r="W34" s="2">
        <f t="shared" si="0"/>
        <v>6.9439698435758146E-10</v>
      </c>
      <c r="X34" s="2">
        <f t="shared" si="8"/>
        <v>0.95865767449140549</v>
      </c>
      <c r="Y34" s="2">
        <f t="shared" si="1"/>
        <v>-2.6441648870445533E-10</v>
      </c>
      <c r="Z34" s="2">
        <f t="shared" si="3"/>
        <v>0.9586576740257442</v>
      </c>
      <c r="AA34" s="2">
        <f t="shared" si="2"/>
        <v>2.1499024782656306E-10</v>
      </c>
      <c r="AB34" s="2">
        <f t="shared" si="4"/>
        <v>1.4928857975705447E-19</v>
      </c>
      <c r="AC34" s="2">
        <f t="shared" si="5"/>
        <v>-5.6846966436000465E-20</v>
      </c>
      <c r="AD34" s="2">
        <f t="shared" si="6"/>
        <v>9.3132257461547852E-10</v>
      </c>
      <c r="AF34" s="2">
        <v>30</v>
      </c>
      <c r="AG34" s="2">
        <f t="shared" si="13"/>
        <v>2858.8895229622722</v>
      </c>
      <c r="AH34" s="2">
        <v>-2.7767009669332765E-6</v>
      </c>
      <c r="AI34" s="2">
        <f t="shared" si="14"/>
        <v>2858.8895406574011</v>
      </c>
      <c r="AJ34" s="2">
        <v>2.6440325200383086E-6</v>
      </c>
      <c r="AK34" s="2">
        <f t="shared" si="9"/>
        <v>2858.8895318098366</v>
      </c>
      <c r="AL34" s="2">
        <v>-6.6333996073808521E-8</v>
      </c>
      <c r="AM34" s="2">
        <f t="shared" si="10"/>
        <v>1.8418967103869229E-13</v>
      </c>
      <c r="AN34" s="2">
        <f t="shared" si="11"/>
        <v>-1.7538924280324321E-13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28.68</v>
      </c>
      <c r="L35" s="6" t="s">
        <v>59</v>
      </c>
      <c r="AF35" s="2">
        <v>31</v>
      </c>
      <c r="AG35" s="2">
        <f t="shared" si="13"/>
        <v>2858.8895318098366</v>
      </c>
      <c r="AH35" s="2">
        <v>-6.6333996073808521E-8</v>
      </c>
      <c r="AI35" s="2">
        <f t="shared" si="14"/>
        <v>2858.8895406574011</v>
      </c>
      <c r="AJ35" s="2">
        <v>2.6440325200383086E-6</v>
      </c>
      <c r="AK35" s="2">
        <f t="shared" si="9"/>
        <v>2858.8895362336189</v>
      </c>
      <c r="AL35" s="2">
        <v>1.2888494893559255E-6</v>
      </c>
      <c r="AM35" s="2">
        <f t="shared" si="10"/>
        <v>-8.5494536966666077E-14</v>
      </c>
      <c r="AN35" s="2">
        <f t="shared" si="11"/>
        <v>3.4077599632918348E-12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17.57</v>
      </c>
      <c r="L36" s="6" t="s">
        <v>59</v>
      </c>
      <c r="AF36" s="2">
        <v>32</v>
      </c>
      <c r="AG36" s="2">
        <f t="shared" si="13"/>
        <v>2858.8895318098366</v>
      </c>
      <c r="AH36" s="2">
        <v>-6.6333996073808521E-8</v>
      </c>
      <c r="AI36" s="2">
        <f t="shared" si="14"/>
        <v>2858.8895362336189</v>
      </c>
      <c r="AJ36" s="2">
        <v>1.2888494893559255E-6</v>
      </c>
      <c r="AK36" s="2">
        <f t="shared" si="9"/>
        <v>2858.8895340217277</v>
      </c>
      <c r="AL36" s="2">
        <v>6.1125729189370759E-7</v>
      </c>
      <c r="AM36" s="2">
        <f t="shared" si="10"/>
        <v>-4.0547138800564028E-14</v>
      </c>
      <c r="AN36" s="2">
        <f t="shared" si="11"/>
        <v>7.8781864852229091E-13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27.87</v>
      </c>
      <c r="L37" s="6" t="s">
        <v>59</v>
      </c>
      <c r="AF37" s="2">
        <v>33</v>
      </c>
      <c r="AG37" s="2">
        <f t="shared" si="13"/>
        <v>2858.8895318098366</v>
      </c>
      <c r="AH37" s="2">
        <v>-6.6333996073808521E-8</v>
      </c>
      <c r="AI37" s="2">
        <f t="shared" si="14"/>
        <v>2858.8895340217277</v>
      </c>
      <c r="AJ37" s="2">
        <v>6.1125729189370759E-7</v>
      </c>
      <c r="AK37" s="2">
        <f t="shared" si="9"/>
        <v>2858.8895329157822</v>
      </c>
      <c r="AL37" s="2">
        <v>2.7246142053627409E-7</v>
      </c>
      <c r="AM37" s="2">
        <f t="shared" si="10"/>
        <v>-1.8073454800117498E-14</v>
      </c>
      <c r="AN37" s="2">
        <f t="shared" si="11"/>
        <v>1.6654403006251551E-13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4.9000000000000004</v>
      </c>
      <c r="L38" s="6" t="s">
        <v>59</v>
      </c>
      <c r="AF38" s="2">
        <v>34</v>
      </c>
      <c r="AG38" s="2">
        <f t="shared" si="13"/>
        <v>2858.8895318098366</v>
      </c>
      <c r="AH38" s="2">
        <v>-6.6333996073808521E-8</v>
      </c>
      <c r="AI38" s="2">
        <f t="shared" si="14"/>
        <v>2858.8895329157822</v>
      </c>
      <c r="AJ38" s="2">
        <v>2.7246142053627409E-7</v>
      </c>
      <c r="AK38" s="2">
        <f t="shared" si="9"/>
        <v>2858.8895323628094</v>
      </c>
      <c r="AL38" s="2">
        <v>1.0306348485755734E-7</v>
      </c>
      <c r="AM38" s="2">
        <f t="shared" si="10"/>
        <v>-6.8366127998942326E-15</v>
      </c>
      <c r="AN38" s="2">
        <f t="shared" si="11"/>
        <v>2.8080823489708848E-14</v>
      </c>
      <c r="AO38" s="2">
        <f t="shared" si="12"/>
        <v>1.1059455573558807E-6</v>
      </c>
    </row>
    <row r="39" spans="2:41" x14ac:dyDescent="0.2">
      <c r="B39" s="27" t="s">
        <v>104</v>
      </c>
      <c r="C39" s="27"/>
      <c r="D39" s="27"/>
      <c r="J39" s="9" t="s">
        <v>60</v>
      </c>
      <c r="K39" s="9">
        <f>SUM(K34:K38)</f>
        <v>100.01000000000002</v>
      </c>
      <c r="L39" s="9" t="s">
        <v>59</v>
      </c>
      <c r="AF39" s="2">
        <v>35</v>
      </c>
      <c r="AG39" s="2">
        <f t="shared" si="13"/>
        <v>2858.8895318098366</v>
      </c>
      <c r="AH39" s="2">
        <v>-6.6333996073808521E-8</v>
      </c>
      <c r="AI39" s="2">
        <f t="shared" si="14"/>
        <v>2858.8895323628094</v>
      </c>
      <c r="AJ39" s="2">
        <v>1.0306348485755734E-7</v>
      </c>
      <c r="AK39" s="2">
        <f t="shared" si="9"/>
        <v>2858.889532086323</v>
      </c>
      <c r="AL39" s="2">
        <v>1.8364971765549853E-8</v>
      </c>
      <c r="AM39" s="2">
        <f t="shared" si="10"/>
        <v>-1.2182219649915883E-15</v>
      </c>
      <c r="AN39" s="2">
        <f t="shared" si="11"/>
        <v>1.8927579894682154E-15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2858.8895318098366</v>
      </c>
      <c r="AH40" s="2">
        <v>-6.6333996073808521E-8</v>
      </c>
      <c r="AI40" s="2">
        <f t="shared" si="14"/>
        <v>2858.889532086323</v>
      </c>
      <c r="AJ40" s="2">
        <v>1.8364971765549853E-8</v>
      </c>
      <c r="AK40" s="2">
        <f t="shared" si="9"/>
        <v>2858.8895319480798</v>
      </c>
      <c r="AL40" s="2">
        <v>-2.3985194275155663E-8</v>
      </c>
      <c r="AM40" s="2">
        <f t="shared" si="10"/>
        <v>1.5910337828777104E-15</v>
      </c>
      <c r="AN40" s="2">
        <f t="shared" si="11"/>
        <v>-4.4048741565446174E-16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7" t="s">
        <v>109</v>
      </c>
      <c r="K41" s="27"/>
      <c r="L41" s="27"/>
      <c r="AF41" s="2">
        <v>37</v>
      </c>
      <c r="AG41" s="2">
        <f t="shared" si="13"/>
        <v>2858.8895319480798</v>
      </c>
      <c r="AH41" s="2">
        <v>-2.3985194275155663E-8</v>
      </c>
      <c r="AI41" s="2">
        <f t="shared" si="14"/>
        <v>2858.889532086323</v>
      </c>
      <c r="AJ41" s="2">
        <v>1.8364971765549853E-8</v>
      </c>
      <c r="AK41" s="2">
        <f t="shared" si="9"/>
        <v>2858.8895320172014</v>
      </c>
      <c r="AL41" s="2">
        <v>-2.8098838811274618E-9</v>
      </c>
      <c r="AM41" s="2">
        <f t="shared" si="10"/>
        <v>6.7395610779470573E-17</v>
      </c>
      <c r="AN41" s="2">
        <f t="shared" si="11"/>
        <v>-5.1603438141379476E-17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2858.8895320172014</v>
      </c>
      <c r="AH42" s="2">
        <v>-2.8098838811274618E-9</v>
      </c>
      <c r="AI42" s="2">
        <f t="shared" si="14"/>
        <v>2858.889532086323</v>
      </c>
      <c r="AJ42" s="2">
        <v>1.8364971765549853E-8</v>
      </c>
      <c r="AK42" s="2">
        <f t="shared" si="9"/>
        <v>2858.8895320517622</v>
      </c>
      <c r="AL42" s="2">
        <v>7.7779986895620823E-9</v>
      </c>
      <c r="AM42" s="2">
        <f t="shared" si="10"/>
        <v>-2.1855273145231016E-17</v>
      </c>
      <c r="AN42" s="2">
        <f t="shared" si="11"/>
        <v>1.428427263262914E-16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819.95</v>
      </c>
      <c r="L43" s="6" t="s">
        <v>7</v>
      </c>
      <c r="AF43" s="2">
        <v>39</v>
      </c>
      <c r="AG43" s="2">
        <f t="shared" si="13"/>
        <v>2858.8895320172014</v>
      </c>
      <c r="AH43" s="2">
        <v>-2.8098838811274618E-9</v>
      </c>
      <c r="AI43" s="2">
        <f t="shared" si="14"/>
        <v>2858.8895320517622</v>
      </c>
      <c r="AJ43" s="2">
        <v>7.7779986895620823E-9</v>
      </c>
      <c r="AK43" s="2">
        <f t="shared" si="9"/>
        <v>2858.8895320344818</v>
      </c>
      <c r="AL43" s="2">
        <v>2.483830030541867E-9</v>
      </c>
      <c r="AM43" s="2">
        <f t="shared" si="10"/>
        <v>-6.9792739662799233E-18</v>
      </c>
      <c r="AN43" s="2">
        <f t="shared" si="11"/>
        <v>1.9319226722649588E-17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502.25</v>
      </c>
      <c r="L44" s="6" t="s">
        <v>7</v>
      </c>
      <c r="AF44" s="2">
        <v>40</v>
      </c>
      <c r="AG44" s="2">
        <f t="shared" si="13"/>
        <v>2858.8895320172014</v>
      </c>
      <c r="AH44" s="2">
        <v>-2.8098838811274618E-9</v>
      </c>
      <c r="AI44" s="2">
        <f t="shared" si="14"/>
        <v>2858.8895320344818</v>
      </c>
      <c r="AJ44" s="2">
        <v>2.483830030541867E-9</v>
      </c>
      <c r="AK44" s="5">
        <f t="shared" si="9"/>
        <v>2858.8895320258416</v>
      </c>
      <c r="AL44" s="2">
        <v>-1.6325429896824062E-10</v>
      </c>
      <c r="AM44" s="2">
        <f t="shared" si="10"/>
        <v>4.5872562319562293E-19</v>
      </c>
      <c r="AN44" s="2">
        <f t="shared" si="11"/>
        <v>-4.0549593039237619E-19</v>
      </c>
      <c r="AO44" s="2">
        <f t="shared" si="12"/>
        <v>1.7280399333685637E-8</v>
      </c>
    </row>
    <row r="45" spans="2:41" x14ac:dyDescent="0.2">
      <c r="B45" s="27" t="s">
        <v>151</v>
      </c>
      <c r="C45" s="27"/>
      <c r="D45" s="27"/>
      <c r="J45" s="19" t="s">
        <v>70</v>
      </c>
      <c r="K45" s="6">
        <f>ROUND(SUM(K20:K25), 2)</f>
        <v>796.73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139.96</v>
      </c>
      <c r="L46" s="6" t="s">
        <v>7</v>
      </c>
    </row>
    <row r="47" spans="2:41" x14ac:dyDescent="0.2">
      <c r="J47" s="9" t="s">
        <v>60</v>
      </c>
      <c r="K47" s="9">
        <f>SUM(K42:K46)</f>
        <v>2858.8900000000003</v>
      </c>
      <c r="L47" s="6" t="s">
        <v>7</v>
      </c>
    </row>
    <row r="48" spans="2:41" x14ac:dyDescent="0.2">
      <c r="B48" s="27" t="s">
        <v>152</v>
      </c>
      <c r="C48" s="27"/>
      <c r="D48" s="27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7" t="s">
        <v>156</v>
      </c>
      <c r="C53" s="27"/>
      <c r="D53" s="27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28" t="s">
        <v>2</v>
      </c>
      <c r="C59" s="29"/>
      <c r="D59" s="29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7" t="s">
        <v>169</v>
      </c>
      <c r="C64" s="30"/>
      <c r="D64" s="30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7" t="s">
        <v>170</v>
      </c>
      <c r="C70" s="30"/>
      <c r="D70" s="30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7" t="s">
        <v>72</v>
      </c>
      <c r="C76" s="27"/>
      <c r="D76" s="27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J9:L9"/>
    <mergeCell ref="F12:H12"/>
    <mergeCell ref="B15:D15"/>
    <mergeCell ref="N18:P18"/>
    <mergeCell ref="B20:D20"/>
    <mergeCell ref="F22:H22"/>
    <mergeCell ref="B27:D27"/>
    <mergeCell ref="B39:D39"/>
    <mergeCell ref="J41:L41"/>
    <mergeCell ref="B45:D45"/>
    <mergeCell ref="B34:D34"/>
    <mergeCell ref="F31:H31"/>
    <mergeCell ref="B48:D48"/>
    <mergeCell ref="B53:D53"/>
    <mergeCell ref="B76:D76"/>
    <mergeCell ref="B59:D59"/>
    <mergeCell ref="B64:D64"/>
    <mergeCell ref="B70:D70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7B6D-1E68-C045-9E0B-786C7F81DBC6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2" t="s">
        <v>0</v>
      </c>
      <c r="C1" s="32"/>
      <c r="D1" s="32"/>
    </row>
    <row r="2" spans="2:41" x14ac:dyDescent="0.2">
      <c r="U2" s="15" t="s">
        <v>89</v>
      </c>
      <c r="AF2" s="26" t="s">
        <v>129</v>
      </c>
    </row>
    <row r="3" spans="2:41" x14ac:dyDescent="0.2">
      <c r="B3" s="27" t="s">
        <v>118</v>
      </c>
      <c r="C3" s="30"/>
      <c r="D3" s="30"/>
      <c r="F3" s="28" t="s">
        <v>76</v>
      </c>
      <c r="G3" s="29"/>
      <c r="H3" s="29"/>
      <c r="J3" s="27" t="s">
        <v>94</v>
      </c>
      <c r="K3" s="27"/>
      <c r="L3" s="27"/>
      <c r="N3" s="27" t="s">
        <v>88</v>
      </c>
      <c r="O3" s="27"/>
      <c r="P3" s="27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581.39175997916902</v>
      </c>
      <c r="L4" s="6" t="s">
        <v>97</v>
      </c>
      <c r="N4" s="6" t="s">
        <v>131</v>
      </c>
      <c r="O4" s="6">
        <f xml:space="preserve"> $C$5 * $C$74</f>
        <v>21980.221940595235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1.0897918249561378</v>
      </c>
      <c r="X4" s="3">
        <v>1</v>
      </c>
      <c r="Y4" s="2">
        <f t="shared" ref="Y4:Y34" si="1" xml:space="preserve"> $O$22 * TAN($O$19/180*PI()) + $O$23 / (2 * SQRT($O$22^2 + X4^2)) - X4</f>
        <v>-3.7217165579368161E-2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0.47403635031763269</v>
      </c>
      <c r="AB4" s="2">
        <f>W4*AA4</f>
        <v>0.51660093930819995</v>
      </c>
      <c r="AC4" s="2">
        <f>Y4*AA4</f>
        <v>-1.7642289340410709E-2</v>
      </c>
      <c r="AD4" s="2">
        <f>X4-V4</f>
        <v>1</v>
      </c>
      <c r="AF4" s="2">
        <v>0</v>
      </c>
      <c r="AH4" s="2">
        <f>K30</f>
        <v>-5.4907575377001194E-3</v>
      </c>
      <c r="AJ4" s="2">
        <f>K30</f>
        <v>-5.4907575377001194E-3</v>
      </c>
      <c r="AL4" s="2">
        <f>K30</f>
        <v>-5.4907575377001194E-3</v>
      </c>
    </row>
    <row r="5" spans="2:41" x14ac:dyDescent="0.2">
      <c r="B5" s="9" t="s">
        <v>38</v>
      </c>
      <c r="C5" s="9">
        <v>2242.7530823765001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72.673969997396128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0.47403635031763269</v>
      </c>
      <c r="X5" s="2">
        <f>IF(AC4&gt;0, Z4, X4)</f>
        <v>1</v>
      </c>
      <c r="Y5" s="2">
        <f t="shared" si="1"/>
        <v>-3.7217165579368161E-2</v>
      </c>
      <c r="Z5" s="2">
        <f t="shared" ref="Z5:Z34" si="3" xml:space="preserve"> (V5 + X5)/2</f>
        <v>0.75</v>
      </c>
      <c r="AA5" s="2">
        <f t="shared" si="2"/>
        <v>0.21657101477957075</v>
      </c>
      <c r="AB5" s="2">
        <f t="shared" ref="AB5:AB34" si="4">W5*AA5</f>
        <v>0.1026625334306938</v>
      </c>
      <c r="AC5" s="2">
        <f t="shared" ref="AC5:AC34" si="5">Y5*AA5</f>
        <v>-8.0601593167430735E-3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-863.31750532040314</v>
      </c>
      <c r="AI5" s="3">
        <v>10000</v>
      </c>
      <c r="AJ5" s="2">
        <f t="dataTable" ref="AJ5:AJ44" dt2D="0" dtr="0" r1="C5"/>
        <v>2433.369449337767</v>
      </c>
      <c r="AK5" s="2">
        <f>(AG5+AI5)/2</f>
        <v>5250</v>
      </c>
      <c r="AL5" s="2">
        <f t="dataTable" ref="AL5:AL44" dt2D="0" dtr="0" r1="C5" ca="1"/>
        <v>749.16603864939407</v>
      </c>
      <c r="AM5" s="2">
        <f>AH5*AL5</f>
        <v>-646768.15555756364</v>
      </c>
      <c r="AN5" s="2">
        <f>AJ5*AL5</f>
        <v>1822997.7509308322</v>
      </c>
      <c r="AO5" s="2">
        <f>AI5-AG5</f>
        <v>9500</v>
      </c>
    </row>
    <row r="6" spans="2:41" x14ac:dyDescent="0.2">
      <c r="B6" s="6" t="s">
        <v>168</v>
      </c>
      <c r="C6" s="16">
        <v>319.31428571521099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168.53380330318362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0.22434387823976798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0.21657101477957075</v>
      </c>
      <c r="X6" s="2">
        <f t="shared" ref="X6:X34" si="8">IF(AC5&gt;0, Z5, X5)</f>
        <v>1</v>
      </c>
      <c r="Y6" s="2">
        <f t="shared" si="1"/>
        <v>-3.7217165579368161E-2</v>
      </c>
      <c r="Z6" s="2">
        <f t="shared" si="3"/>
        <v>0.875</v>
      </c>
      <c r="AA6" s="2">
        <f t="shared" si="2"/>
        <v>8.9410029234377575E-2</v>
      </c>
      <c r="AB6" s="2">
        <f t="shared" si="4"/>
        <v>1.9363620762760238E-2</v>
      </c>
      <c r="AC6" s="2">
        <f t="shared" si="5"/>
        <v>-3.3275878624719783E-3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-863.31750532040314</v>
      </c>
      <c r="AI6" s="2">
        <f>IF(AN5&gt;0,AK5,AI5)</f>
        <v>5250</v>
      </c>
      <c r="AJ6" s="2">
        <v>749.16603864939407</v>
      </c>
      <c r="AK6" s="2">
        <f t="shared" ref="AK6:AK44" si="9">(AG6+AI6)/2</f>
        <v>2875</v>
      </c>
      <c r="AL6" s="2">
        <v>236.52469860215047</v>
      </c>
      <c r="AM6" s="2">
        <f t="shared" ref="AM6:AM44" si="10">AH6*AL6</f>
        <v>-204195.91274386877</v>
      </c>
      <c r="AN6" s="2">
        <f t="shared" ref="AN6:AN44" si="11">AJ6*AL6</f>
        <v>177196.27149451495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2747.7905729554159</v>
      </c>
      <c r="H7" s="6" t="s">
        <v>21</v>
      </c>
      <c r="J7" s="6" t="s">
        <v>133</v>
      </c>
      <c r="K7" s="6">
        <f>K6/$C$28</f>
        <v>168.53380330318362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8.9410029234377575E-2</v>
      </c>
      <c r="X7" s="2">
        <f t="shared" si="8"/>
        <v>1</v>
      </c>
      <c r="Y7" s="2">
        <f t="shared" si="1"/>
        <v>-3.7217165579368161E-2</v>
      </c>
      <c r="Z7" s="2">
        <f t="shared" si="3"/>
        <v>0.9375</v>
      </c>
      <c r="AA7" s="2">
        <f t="shared" si="2"/>
        <v>2.6042830067883105E-2</v>
      </c>
      <c r="AB7" s="2">
        <f t="shared" si="4"/>
        <v>2.3284901977153557E-3</v>
      </c>
      <c r="AC7" s="2">
        <f t="shared" si="5"/>
        <v>-9.6924031879175331E-4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-863.31750532040314</v>
      </c>
      <c r="AI7" s="2">
        <f t="shared" ref="AI7:AI44" si="14">IF(AN6&gt;0,AK6,AI6)</f>
        <v>2875</v>
      </c>
      <c r="AJ7" s="2">
        <v>236.52469860215047</v>
      </c>
      <c r="AK7" s="2">
        <f t="shared" si="9"/>
        <v>1687.5</v>
      </c>
      <c r="AL7" s="2">
        <v>-242.47089577805514</v>
      </c>
      <c r="AM7" s="2">
        <f t="shared" si="10"/>
        <v>209329.36885591404</v>
      </c>
      <c r="AN7" s="2">
        <f t="shared" si="11"/>
        <v>-57350.35554369793</v>
      </c>
      <c r="AO7" s="2">
        <f t="shared" si="12"/>
        <v>2375</v>
      </c>
    </row>
    <row r="8" spans="2:41" x14ac:dyDescent="0.2">
      <c r="B8" s="6" t="s">
        <v>91</v>
      </c>
      <c r="C8" s="16">
        <v>1.72538114291872</v>
      </c>
      <c r="D8" s="6" t="s">
        <v>8</v>
      </c>
      <c r="F8" t="s">
        <v>93</v>
      </c>
      <c r="G8" s="6">
        <f>G10/$C$21</f>
        <v>48.449313331597416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2.6042830067883105E-2</v>
      </c>
      <c r="X8" s="2">
        <f t="shared" si="8"/>
        <v>1</v>
      </c>
      <c r="Y8" s="2">
        <f t="shared" si="1"/>
        <v>-3.7217165579368161E-2</v>
      </c>
      <c r="Z8" s="2">
        <f t="shared" si="3"/>
        <v>0.96875</v>
      </c>
      <c r="AA8" s="2">
        <f t="shared" si="2"/>
        <v>-5.5992909387825307E-3</v>
      </c>
      <c r="AB8" s="2">
        <f t="shared" si="4"/>
        <v>-1.4582138241935109E-4</v>
      </c>
      <c r="AC8" s="2">
        <f t="shared" si="5"/>
        <v>2.0838973799572523E-4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-242.47089577805514</v>
      </c>
      <c r="AI8" s="2">
        <f t="shared" si="14"/>
        <v>2875</v>
      </c>
      <c r="AJ8" s="2">
        <v>236.52469860215047</v>
      </c>
      <c r="AK8" s="2">
        <f t="shared" si="9"/>
        <v>2281.25</v>
      </c>
      <c r="AL8" s="2">
        <v>15.600988557259825</v>
      </c>
      <c r="AM8" s="2">
        <f t="shared" si="10"/>
        <v>-3782.7856705019776</v>
      </c>
      <c r="AN8" s="2">
        <f t="shared" si="11"/>
        <v>3690.0191164014782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5.7863386706500366</v>
      </c>
      <c r="H9" s="6" t="s">
        <v>172</v>
      </c>
      <c r="J9" s="27" t="s">
        <v>22</v>
      </c>
      <c r="K9" s="27"/>
      <c r="L9" s="27"/>
      <c r="N9" s="6" t="s">
        <v>114</v>
      </c>
      <c r="O9" s="6">
        <f xml:space="preserve"> $O$8/$C$12 + $O$7</f>
        <v>2.100533447748381E-2</v>
      </c>
      <c r="U9" s="2">
        <v>5</v>
      </c>
      <c r="V9" s="2">
        <f t="shared" si="7"/>
        <v>0.9375</v>
      </c>
      <c r="W9" s="2">
        <f t="shared" si="0"/>
        <v>2.6042830067883105E-2</v>
      </c>
      <c r="X9" s="2">
        <f t="shared" si="8"/>
        <v>0.96875</v>
      </c>
      <c r="Y9" s="2">
        <f t="shared" si="1"/>
        <v>-5.5992909387825307E-3</v>
      </c>
      <c r="Z9" s="2">
        <f t="shared" si="3"/>
        <v>0.953125</v>
      </c>
      <c r="AA9" s="2">
        <f t="shared" si="2"/>
        <v>1.0218591947157241E-2</v>
      </c>
      <c r="AB9" s="2">
        <f t="shared" si="4"/>
        <v>2.6612105361285474E-4</v>
      </c>
      <c r="AC9" s="2">
        <f t="shared" si="5"/>
        <v>-5.7216869296833677E-5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-242.47089577805514</v>
      </c>
      <c r="AI9" s="2">
        <f t="shared" si="14"/>
        <v>2281.25</v>
      </c>
      <c r="AJ9" s="2">
        <v>15.600988557259825</v>
      </c>
      <c r="AK9" s="2">
        <f t="shared" si="9"/>
        <v>1984.375</v>
      </c>
      <c r="AL9" s="2">
        <v>-108.79580788684757</v>
      </c>
      <c r="AM9" s="2">
        <f t="shared" si="10"/>
        <v>26379.816995221125</v>
      </c>
      <c r="AN9" s="2">
        <f t="shared" si="11"/>
        <v>-1697.3221539205472</v>
      </c>
      <c r="AO9" s="2">
        <f t="shared" si="12"/>
        <v>593.75</v>
      </c>
    </row>
    <row r="10" spans="2:41" x14ac:dyDescent="0.2">
      <c r="B10" s="6" t="s">
        <v>134</v>
      </c>
      <c r="C10" s="16">
        <v>2.0999999999992598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387.59450665277933</v>
      </c>
      <c r="H10" s="22" t="s">
        <v>97</v>
      </c>
      <c r="J10" s="6" t="s">
        <v>92</v>
      </c>
      <c r="K10" s="6">
        <f xml:space="preserve"> $C$18 * (G10*G6 + G20*G13 + G29*G25 + G33*G32)/3600</f>
        <v>114.66901998199202</v>
      </c>
      <c r="L10" s="6" t="s">
        <v>98</v>
      </c>
      <c r="N10" s="6" t="s">
        <v>39</v>
      </c>
      <c r="O10" s="6">
        <f xml:space="preserve"> O5 * $C$12 * O9</f>
        <v>1096.7405612223665</v>
      </c>
      <c r="P10" s="6" t="s">
        <v>21</v>
      </c>
      <c r="U10" s="2">
        <v>6</v>
      </c>
      <c r="V10" s="2">
        <f t="shared" si="7"/>
        <v>0.953125</v>
      </c>
      <c r="W10" s="2">
        <f t="shared" si="0"/>
        <v>1.0218591947157241E-2</v>
      </c>
      <c r="X10" s="2">
        <f t="shared" si="8"/>
        <v>0.96875</v>
      </c>
      <c r="Y10" s="2">
        <f t="shared" si="1"/>
        <v>-5.5992909387825307E-3</v>
      </c>
      <c r="Z10" s="2">
        <f t="shared" si="3"/>
        <v>0.9609375</v>
      </c>
      <c r="AA10" s="2">
        <f t="shared" si="2"/>
        <v>2.3088751846618294E-3</v>
      </c>
      <c r="AB10" s="2">
        <f t="shared" si="4"/>
        <v>2.3593453368976556E-5</v>
      </c>
      <c r="AC10" s="2">
        <f t="shared" si="5"/>
        <v>-1.2928063900256824E-5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-108.79580788684757</v>
      </c>
      <c r="AI10" s="2">
        <f t="shared" si="14"/>
        <v>2281.25</v>
      </c>
      <c r="AJ10" s="2">
        <v>15.600988557259825</v>
      </c>
      <c r="AK10" s="2">
        <f t="shared" si="9"/>
        <v>2132.8125</v>
      </c>
      <c r="AL10" s="2">
        <v>-45.435610508444825</v>
      </c>
      <c r="AM10" s="2">
        <f t="shared" si="10"/>
        <v>4943.2039520983953</v>
      </c>
      <c r="AN10" s="2">
        <f t="shared" si="11"/>
        <v>-708.84043963436193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0.83379141417175984</v>
      </c>
      <c r="U11" s="2">
        <v>7</v>
      </c>
      <c r="V11" s="2">
        <f t="shared" si="7"/>
        <v>0.9609375</v>
      </c>
      <c r="W11" s="2">
        <f t="shared" si="0"/>
        <v>2.3088751846618294E-3</v>
      </c>
      <c r="X11" s="2">
        <f t="shared" si="8"/>
        <v>0.96875</v>
      </c>
      <c r="Y11" s="2">
        <f t="shared" si="1"/>
        <v>-5.5992909387825307E-3</v>
      </c>
      <c r="Z11" s="2">
        <f t="shared" si="3"/>
        <v>0.96484375</v>
      </c>
      <c r="AA11" s="2">
        <f t="shared" si="2"/>
        <v>-1.6453993876810458E-3</v>
      </c>
      <c r="AB11" s="2">
        <f t="shared" si="4"/>
        <v>-3.7990218150745355E-6</v>
      </c>
      <c r="AC11" s="2">
        <f t="shared" si="5"/>
        <v>9.2130698821208044E-6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-45.435610508444825</v>
      </c>
      <c r="AI11" s="2">
        <f t="shared" si="14"/>
        <v>2281.25</v>
      </c>
      <c r="AJ11" s="2">
        <v>15.600988557259825</v>
      </c>
      <c r="AK11" s="2">
        <f t="shared" si="9"/>
        <v>2207.03125</v>
      </c>
      <c r="AL11" s="2">
        <v>-14.626791790748712</v>
      </c>
      <c r="AM11" s="2">
        <f t="shared" si="10"/>
        <v>664.57721479257668</v>
      </c>
      <c r="AN11" s="2">
        <f t="shared" si="11"/>
        <v>-228.19241135689259</v>
      </c>
      <c r="AO11" s="2">
        <f t="shared" si="12"/>
        <v>148.4375</v>
      </c>
    </row>
    <row r="12" spans="2:41" x14ac:dyDescent="0.2">
      <c r="B12" s="6" t="s">
        <v>135</v>
      </c>
      <c r="C12" s="16">
        <v>23.0268188562764</v>
      </c>
      <c r="D12" s="6" t="s">
        <v>11</v>
      </c>
      <c r="F12" s="28" t="s">
        <v>82</v>
      </c>
      <c r="G12" s="29"/>
      <c r="H12" s="29"/>
      <c r="N12" s="6" t="s">
        <v>138</v>
      </c>
      <c r="O12" s="6">
        <f xml:space="preserve"> O4 / (O5 * $C$12)</f>
        <v>0.42097641874113212</v>
      </c>
      <c r="U12" s="2">
        <v>8</v>
      </c>
      <c r="V12" s="2">
        <f t="shared" si="7"/>
        <v>0.9609375</v>
      </c>
      <c r="W12" s="2">
        <f t="shared" si="0"/>
        <v>2.3088751846618294E-3</v>
      </c>
      <c r="X12" s="2">
        <f t="shared" si="8"/>
        <v>0.96484375</v>
      </c>
      <c r="Y12" s="2">
        <f t="shared" si="1"/>
        <v>-1.6453993876810458E-3</v>
      </c>
      <c r="Z12" s="2">
        <f t="shared" si="3"/>
        <v>0.962890625</v>
      </c>
      <c r="AA12" s="2">
        <f t="shared" si="2"/>
        <v>3.3168973381292322E-4</v>
      </c>
      <c r="AB12" s="2">
        <f t="shared" si="4"/>
        <v>7.6583019540774609E-7</v>
      </c>
      <c r="AC12" s="2">
        <f t="shared" si="5"/>
        <v>-5.4576208491587293E-7</v>
      </c>
      <c r="AD12" s="2">
        <f t="shared" si="6"/>
        <v>3.90625E-3</v>
      </c>
      <c r="AF12" s="2">
        <v>8</v>
      </c>
      <c r="AG12" s="2">
        <f t="shared" si="13"/>
        <v>2207.03125</v>
      </c>
      <c r="AH12" s="2">
        <v>-14.626791790748712</v>
      </c>
      <c r="AI12" s="2">
        <f t="shared" si="14"/>
        <v>2281.25</v>
      </c>
      <c r="AJ12" s="2">
        <v>15.600988557259825</v>
      </c>
      <c r="AK12" s="2">
        <f t="shared" si="9"/>
        <v>2244.140625</v>
      </c>
      <c r="AL12" s="2">
        <v>0.55972894897445258</v>
      </c>
      <c r="AM12" s="2">
        <f t="shared" si="10"/>
        <v>-8.187038795903927</v>
      </c>
      <c r="AN12" s="2">
        <f t="shared" si="11"/>
        <v>8.732324928117503</v>
      </c>
      <c r="AO12" s="2">
        <f t="shared" si="12"/>
        <v>74.21875</v>
      </c>
    </row>
    <row r="13" spans="2:41" x14ac:dyDescent="0.2">
      <c r="B13" s="6" t="s">
        <v>136</v>
      </c>
      <c r="C13" s="16">
        <v>7.1853562518093597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3.0421193372754785E-2</v>
      </c>
      <c r="U13" s="2">
        <v>9</v>
      </c>
      <c r="V13" s="2">
        <f t="shared" si="7"/>
        <v>0.962890625</v>
      </c>
      <c r="W13" s="2">
        <f t="shared" si="0"/>
        <v>3.3168973381292322E-4</v>
      </c>
      <c r="X13" s="2">
        <f t="shared" si="8"/>
        <v>0.96484375</v>
      </c>
      <c r="Y13" s="2">
        <f t="shared" si="1"/>
        <v>-1.6453993876810458E-3</v>
      </c>
      <c r="Z13" s="2">
        <f t="shared" si="3"/>
        <v>0.9638671875</v>
      </c>
      <c r="AA13" s="2">
        <f t="shared" si="2"/>
        <v>-6.5686683204724261E-4</v>
      </c>
      <c r="AB13" s="2">
        <f t="shared" si="4"/>
        <v>-2.1787598467228804E-7</v>
      </c>
      <c r="AC13" s="2">
        <f t="shared" si="5"/>
        <v>1.0808082832385213E-6</v>
      </c>
      <c r="AD13" s="2">
        <f t="shared" si="6"/>
        <v>1.953125E-3</v>
      </c>
      <c r="AF13" s="2">
        <v>9</v>
      </c>
      <c r="AG13" s="2">
        <f t="shared" si="13"/>
        <v>2207.03125</v>
      </c>
      <c r="AH13" s="2">
        <v>-14.626791790748712</v>
      </c>
      <c r="AI13" s="2">
        <f t="shared" si="14"/>
        <v>2244.140625</v>
      </c>
      <c r="AJ13" s="2">
        <v>0.55972894897445258</v>
      </c>
      <c r="AK13" s="2">
        <f t="shared" si="9"/>
        <v>2225.5859375</v>
      </c>
      <c r="AL13" s="2">
        <v>-7.0153738985679865</v>
      </c>
      <c r="AM13" s="2">
        <f t="shared" si="10"/>
        <v>102.61241334860701</v>
      </c>
      <c r="AN13" s="2">
        <f t="shared" si="11"/>
        <v>-3.9267078589082671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70.220878993217781</v>
      </c>
      <c r="H14" s="6" t="s">
        <v>10</v>
      </c>
      <c r="J14" s="9" t="s">
        <v>75</v>
      </c>
      <c r="K14" s="17">
        <f>C5</f>
        <v>2242.7530823765001</v>
      </c>
      <c r="L14" s="6" t="s">
        <v>7</v>
      </c>
      <c r="N14" s="6" t="s">
        <v>40</v>
      </c>
      <c r="O14" s="6">
        <f xml:space="preserve"> O5 * O13 * $C$12</f>
        <v>1588.3658852684857</v>
      </c>
      <c r="P14" s="6" t="s">
        <v>21</v>
      </c>
      <c r="U14" s="2">
        <v>10</v>
      </c>
      <c r="V14" s="2">
        <f t="shared" si="7"/>
        <v>0.962890625</v>
      </c>
      <c r="W14" s="2">
        <f t="shared" si="0"/>
        <v>3.3168973381292322E-4</v>
      </c>
      <c r="X14" s="2">
        <f t="shared" si="8"/>
        <v>0.9638671875</v>
      </c>
      <c r="Y14" s="2">
        <f t="shared" si="1"/>
        <v>-6.5686683204724261E-4</v>
      </c>
      <c r="Z14" s="2">
        <f t="shared" si="3"/>
        <v>0.96337890625</v>
      </c>
      <c r="AA14" s="2">
        <f t="shared" si="2"/>
        <v>-1.6259155489128929E-4</v>
      </c>
      <c r="AB14" s="2">
        <f t="shared" si="4"/>
        <v>-5.3929949562121042E-8</v>
      </c>
      <c r="AC14" s="2">
        <f t="shared" si="5"/>
        <v>1.0680099957907655E-7</v>
      </c>
      <c r="AD14" s="2">
        <f t="shared" si="6"/>
        <v>9.765625E-4</v>
      </c>
      <c r="AF14" s="2">
        <v>10</v>
      </c>
      <c r="AG14" s="2">
        <f t="shared" si="13"/>
        <v>2225.5859375</v>
      </c>
      <c r="AH14" s="2">
        <v>-7.0153738985679865</v>
      </c>
      <c r="AI14" s="2">
        <f t="shared" si="14"/>
        <v>2244.140625</v>
      </c>
      <c r="AJ14" s="2">
        <v>0.55972894897445258</v>
      </c>
      <c r="AK14" s="2">
        <f t="shared" si="9"/>
        <v>2234.86328125</v>
      </c>
      <c r="AL14" s="2">
        <v>-3.223283307872407</v>
      </c>
      <c r="AM14" s="2">
        <f t="shared" si="10"/>
        <v>22.612537585737964</v>
      </c>
      <c r="AN14" s="2">
        <f t="shared" si="11"/>
        <v>-1.8041649781623192</v>
      </c>
      <c r="AO14" s="2">
        <f t="shared" si="12"/>
        <v>18.5546875</v>
      </c>
    </row>
    <row r="15" spans="2:41" x14ac:dyDescent="0.2">
      <c r="B15" s="27" t="s">
        <v>12</v>
      </c>
      <c r="C15" s="27"/>
      <c r="D15" s="27"/>
      <c r="F15" s="6" t="s">
        <v>143</v>
      </c>
      <c r="G15" s="6">
        <f>G14/$C$73</f>
        <v>0.21104985934902978</v>
      </c>
      <c r="H15" s="6" t="s">
        <v>120</v>
      </c>
      <c r="J15" s="10" t="s">
        <v>53</v>
      </c>
      <c r="K15" s="6">
        <f xml:space="preserve"> 1000 * K10 / ($C$60 * $C$61 * $C$62)</f>
        <v>674.5236469528943</v>
      </c>
      <c r="L15" s="6" t="s">
        <v>7</v>
      </c>
      <c r="N15" s="6" t="s">
        <v>140</v>
      </c>
      <c r="O15" s="6">
        <f>O4/O14</f>
        <v>13.838261161646555</v>
      </c>
      <c r="U15" s="2">
        <v>11</v>
      </c>
      <c r="V15" s="2">
        <f t="shared" si="7"/>
        <v>0.962890625</v>
      </c>
      <c r="W15" s="2">
        <f t="shared" si="0"/>
        <v>3.3168973381292322E-4</v>
      </c>
      <c r="X15" s="2">
        <f t="shared" si="8"/>
        <v>0.96337890625</v>
      </c>
      <c r="Y15" s="2">
        <f t="shared" si="1"/>
        <v>-1.6259155489128929E-4</v>
      </c>
      <c r="Z15" s="2">
        <f t="shared" si="3"/>
        <v>0.963134765625</v>
      </c>
      <c r="AA15" s="2">
        <f t="shared" si="2"/>
        <v>8.4548337454415368E-5</v>
      </c>
      <c r="AB15" s="2">
        <f t="shared" si="4"/>
        <v>2.8043815544580239E-8</v>
      </c>
      <c r="AC15" s="2">
        <f t="shared" si="5"/>
        <v>-1.3746845650186827E-8</v>
      </c>
      <c r="AD15" s="2">
        <f t="shared" si="6"/>
        <v>4.8828125E-4</v>
      </c>
      <c r="AF15" s="2">
        <v>11</v>
      </c>
      <c r="AG15" s="2">
        <f t="shared" si="13"/>
        <v>2234.86328125</v>
      </c>
      <c r="AH15" s="2">
        <v>-3.223283307872407</v>
      </c>
      <c r="AI15" s="2">
        <f t="shared" si="14"/>
        <v>2244.140625</v>
      </c>
      <c r="AJ15" s="2">
        <v>0.55972894897445258</v>
      </c>
      <c r="AK15" s="2">
        <f t="shared" si="9"/>
        <v>2239.501953125</v>
      </c>
      <c r="AL15" s="2">
        <v>-1.3306426006224683</v>
      </c>
      <c r="AM15" s="2">
        <f t="shared" si="10"/>
        <v>4.2890380833303317</v>
      </c>
      <c r="AN15" s="2">
        <f t="shared" si="11"/>
        <v>-0.74479918430704639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1588.3658852684857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165.25924756372979</v>
      </c>
      <c r="L16" s="6" t="s">
        <v>7</v>
      </c>
      <c r="N16" s="6" t="s">
        <v>111</v>
      </c>
      <c r="O16" s="6">
        <f>(O13*$C$12)/(0.3048^2)/($C$5*2.20462/1000)^(2/3)</f>
        <v>2.5979859363494033</v>
      </c>
      <c r="U16" s="2">
        <v>12</v>
      </c>
      <c r="V16" s="2">
        <f t="shared" si="7"/>
        <v>0.963134765625</v>
      </c>
      <c r="W16" s="2">
        <f t="shared" si="0"/>
        <v>8.4548337454415368E-5</v>
      </c>
      <c r="X16" s="2">
        <f t="shared" si="8"/>
        <v>0.96337890625</v>
      </c>
      <c r="Y16" s="2">
        <f t="shared" si="1"/>
        <v>-1.6259155489128929E-4</v>
      </c>
      <c r="Z16" s="2">
        <f t="shared" si="3"/>
        <v>0.9632568359375</v>
      </c>
      <c r="AA16" s="2">
        <f t="shared" si="2"/>
        <v>-3.9021796649607587E-5</v>
      </c>
      <c r="AB16" s="2">
        <f t="shared" si="4"/>
        <v>-3.2992280312085974E-9</v>
      </c>
      <c r="AC16" s="2">
        <f t="shared" si="5"/>
        <v>6.3446145919114006E-9</v>
      </c>
      <c r="AD16" s="2">
        <f t="shared" si="6"/>
        <v>2.44140625E-4</v>
      </c>
      <c r="AF16" s="2">
        <v>12</v>
      </c>
      <c r="AG16" s="2">
        <f t="shared" si="13"/>
        <v>2239.501953125</v>
      </c>
      <c r="AH16" s="2">
        <v>-1.3306426006224683</v>
      </c>
      <c r="AI16" s="2">
        <f t="shared" si="14"/>
        <v>2244.140625</v>
      </c>
      <c r="AJ16" s="2">
        <v>0.55972894897445258</v>
      </c>
      <c r="AK16" s="2">
        <f t="shared" si="9"/>
        <v>2241.8212890625</v>
      </c>
      <c r="AL16" s="2">
        <v>-0.38517318158574199</v>
      </c>
      <c r="AM16" s="2">
        <f t="shared" si="10"/>
        <v>0.51252784403528195</v>
      </c>
      <c r="AN16" s="2">
        <f t="shared" si="11"/>
        <v>-0.21559258010213334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112.35586886878909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0.963134765625</v>
      </c>
      <c r="W17" s="2">
        <f t="shared" si="0"/>
        <v>8.4548337454415368E-5</v>
      </c>
      <c r="X17" s="2">
        <f t="shared" si="8"/>
        <v>0.9632568359375</v>
      </c>
      <c r="Y17" s="2">
        <f t="shared" si="1"/>
        <v>-3.9021796649607587E-5</v>
      </c>
      <c r="Z17" s="2">
        <f t="shared" si="3"/>
        <v>0.96319580078125</v>
      </c>
      <c r="AA17" s="2">
        <f t="shared" si="2"/>
        <v>2.2763223410771083E-5</v>
      </c>
      <c r="AB17" s="2">
        <f t="shared" si="4"/>
        <v>1.9245926944841213E-9</v>
      </c>
      <c r="AC17" s="2">
        <f t="shared" si="5"/>
        <v>-8.8826187502469607E-10</v>
      </c>
      <c r="AD17" s="2">
        <f t="shared" si="6"/>
        <v>1.220703125E-4</v>
      </c>
      <c r="AF17" s="2">
        <v>13</v>
      </c>
      <c r="AG17" s="2">
        <f t="shared" si="13"/>
        <v>2241.8212890625</v>
      </c>
      <c r="AH17" s="2">
        <v>-0.38517318158574199</v>
      </c>
      <c r="AI17" s="2">
        <f t="shared" si="14"/>
        <v>2244.140625</v>
      </c>
      <c r="AJ17" s="2">
        <v>0.55972894897445258</v>
      </c>
      <c r="AK17" s="2">
        <f t="shared" si="9"/>
        <v>2242.98095703125</v>
      </c>
      <c r="AL17" s="2">
        <v>8.7348794689432907E-2</v>
      </c>
      <c r="AM17" s="2">
        <f t="shared" si="10"/>
        <v>-3.3644413158208639E-2</v>
      </c>
      <c r="AN17" s="2">
        <f t="shared" si="11"/>
        <v>4.8891649045701528E-2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1.4424613228894836</v>
      </c>
      <c r="H18" s="6" t="s">
        <v>172</v>
      </c>
      <c r="J18" s="12" t="s">
        <v>54</v>
      </c>
      <c r="K18" s="6">
        <f xml:space="preserve"> $C$78 * (0.2138 * K4 + 0.2138 * K6)</f>
        <v>128.26726834381358</v>
      </c>
      <c r="L18" s="6" t="s">
        <v>7</v>
      </c>
      <c r="N18" s="28" t="s">
        <v>141</v>
      </c>
      <c r="O18" s="31"/>
      <c r="P18" s="31"/>
      <c r="U18" s="2">
        <v>14</v>
      </c>
      <c r="V18" s="2">
        <f t="shared" si="7"/>
        <v>0.96319580078125</v>
      </c>
      <c r="W18" s="2">
        <f t="shared" si="0"/>
        <v>2.2763223410771083E-5</v>
      </c>
      <c r="X18" s="2">
        <f t="shared" si="8"/>
        <v>0.9632568359375</v>
      </c>
      <c r="Y18" s="2">
        <f t="shared" si="1"/>
        <v>-3.9021796649607587E-5</v>
      </c>
      <c r="Z18" s="2">
        <f t="shared" si="3"/>
        <v>0.963226318359375</v>
      </c>
      <c r="AA18" s="2">
        <f t="shared" si="2"/>
        <v>-8.1292983662439866E-6</v>
      </c>
      <c r="AB18" s="2">
        <f t="shared" si="4"/>
        <v>-1.8504903488362824E-10</v>
      </c>
      <c r="AC18" s="2">
        <f t="shared" si="5"/>
        <v>3.1721982775156002E-10</v>
      </c>
      <c r="AD18" s="2">
        <f t="shared" si="6"/>
        <v>6.103515625E-5</v>
      </c>
      <c r="AF18" s="2">
        <v>14</v>
      </c>
      <c r="AG18" s="2">
        <f t="shared" si="13"/>
        <v>2241.8212890625</v>
      </c>
      <c r="AH18" s="2">
        <v>-0.38517318158574199</v>
      </c>
      <c r="AI18" s="2">
        <f t="shared" si="14"/>
        <v>2242.98095703125</v>
      </c>
      <c r="AJ18" s="2">
        <v>8.7348794689432907E-2</v>
      </c>
      <c r="AK18" s="2">
        <f t="shared" si="9"/>
        <v>2242.401123046875</v>
      </c>
      <c r="AL18" s="2">
        <v>-0.14889432509085054</v>
      </c>
      <c r="AM18" s="2">
        <f t="shared" si="10"/>
        <v>5.7350100915304673E-2</v>
      </c>
      <c r="AN18" s="2">
        <f t="shared" si="11"/>
        <v>-1.3005739832782384E-2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2.7122162545294932E-2</v>
      </c>
      <c r="J19" s="12" t="s">
        <v>73</v>
      </c>
      <c r="K19" s="6">
        <f xml:space="preserve"> $C$78 * (0.1149 * K4 + 0.1149 * K6)</f>
        <v>68.933157776913859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0.96319580078125</v>
      </c>
      <c r="W19" s="2">
        <f t="shared" si="0"/>
        <v>2.2763223410771083E-5</v>
      </c>
      <c r="X19" s="2">
        <f t="shared" si="8"/>
        <v>0.963226318359375</v>
      </c>
      <c r="Y19" s="2">
        <f t="shared" si="1"/>
        <v>-8.1292983662439866E-6</v>
      </c>
      <c r="Z19" s="2">
        <f t="shared" si="3"/>
        <v>0.9632110595703125</v>
      </c>
      <c r="AA19" s="2">
        <f t="shared" si="2"/>
        <v>7.3169595854460923E-6</v>
      </c>
      <c r="AB19" s="2">
        <f t="shared" si="4"/>
        <v>1.6655758573109235E-10</v>
      </c>
      <c r="AC19" s="2">
        <f t="shared" si="5"/>
        <v>-5.9481747603840197E-11</v>
      </c>
      <c r="AD19" s="2">
        <f t="shared" si="6"/>
        <v>3.0517578125E-5</v>
      </c>
      <c r="AF19" s="2">
        <v>15</v>
      </c>
      <c r="AG19" s="2">
        <f t="shared" si="13"/>
        <v>2242.401123046875</v>
      </c>
      <c r="AH19" s="2">
        <v>-0.14889432509085054</v>
      </c>
      <c r="AI19" s="2">
        <f t="shared" si="14"/>
        <v>2242.98095703125</v>
      </c>
      <c r="AJ19" s="2">
        <v>8.7348794689432907E-2</v>
      </c>
      <c r="AK19" s="2">
        <f t="shared" si="9"/>
        <v>2242.6910400390625</v>
      </c>
      <c r="AL19" s="2">
        <v>-3.0768368410008406E-2</v>
      </c>
      <c r="AM19" s="2">
        <f t="shared" si="10"/>
        <v>4.5812354485548481E-3</v>
      </c>
      <c r="AN19" s="2">
        <f t="shared" si="11"/>
        <v>-2.6875798951746573E-3</v>
      </c>
      <c r="AO19" s="2">
        <f t="shared" si="12"/>
        <v>0.579833984375</v>
      </c>
    </row>
    <row r="20" spans="2:41" x14ac:dyDescent="0.2">
      <c r="B20" s="27" t="s">
        <v>108</v>
      </c>
      <c r="C20" s="27"/>
      <c r="D20" s="27"/>
      <c r="F20" s="23" t="s">
        <v>128</v>
      </c>
      <c r="G20" s="22">
        <f xml:space="preserve"> $C$28 * G17</f>
        <v>112.35586886878909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215.50535249130598</v>
      </c>
      <c r="L20" s="6" t="s">
        <v>7</v>
      </c>
      <c r="N20" s="6" t="s">
        <v>20</v>
      </c>
      <c r="O20" s="6">
        <f xml:space="preserve"> O14 / $C$28</f>
        <v>1588.3658852684857</v>
      </c>
      <c r="P20" s="6" t="s">
        <v>21</v>
      </c>
      <c r="U20" s="2">
        <v>16</v>
      </c>
      <c r="V20" s="2">
        <f t="shared" si="7"/>
        <v>0.9632110595703125</v>
      </c>
      <c r="W20" s="2">
        <f t="shared" si="0"/>
        <v>7.3169595854460923E-6</v>
      </c>
      <c r="X20" s="2">
        <f t="shared" si="8"/>
        <v>0.963226318359375</v>
      </c>
      <c r="Y20" s="2">
        <f t="shared" si="1"/>
        <v>-8.1292983662439866E-6</v>
      </c>
      <c r="Z20" s="2">
        <f t="shared" si="3"/>
        <v>0.96321868896484375</v>
      </c>
      <c r="AA20" s="2">
        <f t="shared" si="2"/>
        <v>-4.0617012464494451E-7</v>
      </c>
      <c r="AB20" s="2">
        <f t="shared" si="4"/>
        <v>-2.9719303868426609E-12</v>
      </c>
      <c r="AC20" s="2">
        <f t="shared" si="5"/>
        <v>3.3018781306932638E-12</v>
      </c>
      <c r="AD20" s="2">
        <f t="shared" si="6"/>
        <v>1.52587890625E-5</v>
      </c>
      <c r="AF20" s="2">
        <v>16</v>
      </c>
      <c r="AG20" s="2">
        <f t="shared" si="13"/>
        <v>2242.6910400390625</v>
      </c>
      <c r="AH20" s="2">
        <v>-3.0768368410008406E-2</v>
      </c>
      <c r="AI20" s="2">
        <f t="shared" si="14"/>
        <v>2242.98095703125</v>
      </c>
      <c r="AJ20" s="2">
        <v>8.7348794689432907E-2</v>
      </c>
      <c r="AK20" s="2">
        <f t="shared" si="9"/>
        <v>2242.8359985351562</v>
      </c>
      <c r="AL20" s="2">
        <v>2.8291312335795737E-2</v>
      </c>
      <c r="AM20" s="2">
        <f t="shared" si="10"/>
        <v>-8.7047752075037873E-4</v>
      </c>
      <c r="AN20" s="2">
        <f t="shared" si="11"/>
        <v>2.4712120327140424E-3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58.311580141789008</v>
      </c>
      <c r="L21" s="6" t="s">
        <v>7</v>
      </c>
      <c r="N21" s="6" t="s">
        <v>27</v>
      </c>
      <c r="O21" s="6">
        <f>$C$6*2*PI()/60</f>
        <v>33.43851380630597</v>
      </c>
      <c r="P21" s="6" t="s">
        <v>28</v>
      </c>
      <c r="U21" s="2">
        <v>17</v>
      </c>
      <c r="V21" s="2">
        <f t="shared" si="7"/>
        <v>0.9632110595703125</v>
      </c>
      <c r="W21" s="2">
        <f t="shared" si="0"/>
        <v>7.3169595854460923E-6</v>
      </c>
      <c r="X21" s="2">
        <f t="shared" si="8"/>
        <v>0.96321868896484375</v>
      </c>
      <c r="Y21" s="2">
        <f t="shared" si="1"/>
        <v>-4.0617012464494451E-7</v>
      </c>
      <c r="Z21" s="2">
        <f t="shared" si="3"/>
        <v>0.96321487426757812</v>
      </c>
      <c r="AA21" s="2">
        <f t="shared" si="2"/>
        <v>3.4553945468251968E-6</v>
      </c>
      <c r="AB21" s="2">
        <f t="shared" si="4"/>
        <v>2.528298225089078E-11</v>
      </c>
      <c r="AC21" s="2">
        <f t="shared" si="5"/>
        <v>-1.4034780337814516E-12</v>
      </c>
      <c r="AD21" s="2">
        <f t="shared" si="6"/>
        <v>7.62939453125E-6</v>
      </c>
      <c r="AF21" s="2">
        <v>17</v>
      </c>
      <c r="AG21" s="2">
        <f t="shared" si="13"/>
        <v>2242.6910400390625</v>
      </c>
      <c r="AH21" s="2">
        <v>-3.0768368410008406E-2</v>
      </c>
      <c r="AI21" s="2">
        <f t="shared" si="14"/>
        <v>2242.8359985351562</v>
      </c>
      <c r="AJ21" s="2">
        <v>2.8291312335795737E-2</v>
      </c>
      <c r="AK21" s="2">
        <f t="shared" si="9"/>
        <v>2242.7635192871094</v>
      </c>
      <c r="AL21" s="2">
        <v>-1.2382532374886068E-3</v>
      </c>
      <c r="AM21" s="2">
        <f t="shared" si="10"/>
        <v>3.8099031795935089E-5</v>
      </c>
      <c r="AN21" s="2">
        <f t="shared" si="11"/>
        <v>-3.503180909260043E-5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7" t="s">
        <v>77</v>
      </c>
      <c r="G22" s="27"/>
      <c r="H22" s="27"/>
      <c r="J22" s="13" t="s">
        <v>144</v>
      </c>
      <c r="K22" s="6">
        <f xml:space="preserve"> $C$79 * (0.04674 * ($C$5*2.20462)^0.397 * ($C$12*3.28084^2)^0.36 * $C$46^0.397 * $C$13^1.712 * 0.453592)</f>
        <v>163.52264819192405</v>
      </c>
      <c r="L22" s="6" t="s">
        <v>7</v>
      </c>
      <c r="N22" s="6" t="s">
        <v>29</v>
      </c>
      <c r="O22" s="6">
        <f xml:space="preserve"> $C$7 * COS(O19/180*PI()) / (O21 * $C$10)</f>
        <v>8.3227603662600777E-2</v>
      </c>
      <c r="U22" s="2">
        <v>18</v>
      </c>
      <c r="V22" s="2">
        <f t="shared" si="7"/>
        <v>0.96321487426757812</v>
      </c>
      <c r="W22" s="2">
        <f t="shared" si="0"/>
        <v>3.4553945468251968E-6</v>
      </c>
      <c r="X22" s="2">
        <f t="shared" si="8"/>
        <v>0.96321868896484375</v>
      </c>
      <c r="Y22" s="2">
        <f t="shared" si="1"/>
        <v>-4.0617012464494451E-7</v>
      </c>
      <c r="Z22" s="2">
        <f t="shared" si="3"/>
        <v>0.96321678161621094</v>
      </c>
      <c r="AA22" s="2">
        <f t="shared" si="2"/>
        <v>1.5246121652934264E-6</v>
      </c>
      <c r="AB22" s="2">
        <f t="shared" si="4"/>
        <v>5.2681365619782613E-12</v>
      </c>
      <c r="AC22" s="2">
        <f t="shared" si="5"/>
        <v>-6.192519132124297E-13</v>
      </c>
      <c r="AD22" s="2">
        <f t="shared" si="6"/>
        <v>3.814697265625E-6</v>
      </c>
      <c r="AF22" s="2">
        <v>18</v>
      </c>
      <c r="AG22" s="2">
        <f t="shared" si="13"/>
        <v>2242.7635192871094</v>
      </c>
      <c r="AH22" s="2">
        <v>-1.2382532374886068E-3</v>
      </c>
      <c r="AI22" s="2">
        <f t="shared" si="14"/>
        <v>2242.8359985351562</v>
      </c>
      <c r="AJ22" s="2">
        <v>2.8291312335795737E-2</v>
      </c>
      <c r="AK22" s="2">
        <f t="shared" si="9"/>
        <v>2242.7997589111328</v>
      </c>
      <c r="AL22" s="2">
        <v>1.352631701752216E-2</v>
      </c>
      <c r="AM22" s="2">
        <f t="shared" si="10"/>
        <v>-1.6749005838244051E-5</v>
      </c>
      <c r="AN22" s="2">
        <f t="shared" si="11"/>
        <v>3.826772594957085E-4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25.249717102527597</v>
      </c>
      <c r="L23" s="6" t="s">
        <v>7</v>
      </c>
      <c r="N23" s="6" t="s">
        <v>30</v>
      </c>
      <c r="O23" s="6">
        <f xml:space="preserve"> O20 / ( $C$71 * PI() * $C$10^2 * O21^2 * $C$10^2)</f>
        <v>2.3053374078254293E-2</v>
      </c>
      <c r="U23" s="2">
        <v>19</v>
      </c>
      <c r="V23" s="2">
        <f t="shared" si="7"/>
        <v>0.96321678161621094</v>
      </c>
      <c r="W23" s="2">
        <f t="shared" si="0"/>
        <v>1.5246121652934264E-6</v>
      </c>
      <c r="X23" s="2">
        <f t="shared" si="8"/>
        <v>0.96321868896484375</v>
      </c>
      <c r="Y23" s="2">
        <f t="shared" si="1"/>
        <v>-4.0617012464494451E-7</v>
      </c>
      <c r="Z23" s="2">
        <f t="shared" si="3"/>
        <v>0.96321773529052734</v>
      </c>
      <c r="AA23" s="2">
        <f t="shared" si="2"/>
        <v>5.5922100883343262E-7</v>
      </c>
      <c r="AB23" s="2">
        <f t="shared" si="4"/>
        <v>8.5259515315511399E-13</v>
      </c>
      <c r="AC23" s="2">
        <f t="shared" si="5"/>
        <v>-2.2713886686194693E-13</v>
      </c>
      <c r="AD23" s="2">
        <f t="shared" si="6"/>
        <v>1.9073486328125E-6</v>
      </c>
      <c r="AF23" s="2">
        <v>19</v>
      </c>
      <c r="AG23" s="2">
        <f t="shared" si="13"/>
        <v>2242.7635192871094</v>
      </c>
      <c r="AH23" s="2">
        <v>-1.2382532374886068E-3</v>
      </c>
      <c r="AI23" s="2">
        <f t="shared" si="14"/>
        <v>2242.7997589111328</v>
      </c>
      <c r="AJ23" s="2">
        <v>1.352631701752216E-2</v>
      </c>
      <c r="AK23" s="2">
        <f t="shared" si="9"/>
        <v>2242.7816390991211</v>
      </c>
      <c r="AL23" s="2">
        <v>6.1443302963652968E-3</v>
      </c>
      <c r="AM23" s="2">
        <f t="shared" si="10"/>
        <v>-7.6082368816736602E-6</v>
      </c>
      <c r="AN23" s="2">
        <f t="shared" si="11"/>
        <v>8.3110159449002892E-5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8.7588771569984125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0.96321773529052734</v>
      </c>
      <c r="W24" s="2">
        <f t="shared" si="0"/>
        <v>5.5922100883343262E-7</v>
      </c>
      <c r="X24" s="2">
        <f t="shared" si="8"/>
        <v>0.96321868896484375</v>
      </c>
      <c r="Y24" s="2">
        <f t="shared" si="1"/>
        <v>-4.0617012464494451E-7</v>
      </c>
      <c r="Z24" s="2">
        <f t="shared" si="3"/>
        <v>0.96321821212768555</v>
      </c>
      <c r="AA24" s="2">
        <f t="shared" si="2"/>
        <v>7.6525439207664192E-8</v>
      </c>
      <c r="AB24" s="2">
        <f t="shared" si="4"/>
        <v>4.279463331513149E-14</v>
      </c>
      <c r="AC24" s="2">
        <f t="shared" si="5"/>
        <v>-3.108234718148609E-14</v>
      </c>
      <c r="AD24" s="2">
        <f t="shared" si="6"/>
        <v>9.5367431640625E-7</v>
      </c>
      <c r="AF24" s="2">
        <v>20</v>
      </c>
      <c r="AG24" s="2">
        <f t="shared" si="13"/>
        <v>2242.7635192871094</v>
      </c>
      <c r="AH24" s="2">
        <v>-1.2382532374886068E-3</v>
      </c>
      <c r="AI24" s="2">
        <f t="shared" si="14"/>
        <v>2242.7816390991211</v>
      </c>
      <c r="AJ24" s="2">
        <v>6.1443302963652968E-3</v>
      </c>
      <c r="AK24" s="2">
        <f t="shared" si="9"/>
        <v>2242.7725791931152</v>
      </c>
      <c r="AL24" s="2">
        <v>2.4527615928491286E-3</v>
      </c>
      <c r="AM24" s="2">
        <f t="shared" si="10"/>
        <v>-3.0371399831331455E-6</v>
      </c>
      <c r="AN24" s="2">
        <f t="shared" si="11"/>
        <v>1.5070577364704104E-5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26.405651006711171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4722.3751656659333</v>
      </c>
      <c r="P25" s="6" t="s">
        <v>19</v>
      </c>
      <c r="U25" s="2">
        <v>21</v>
      </c>
      <c r="V25" s="2">
        <f t="shared" si="7"/>
        <v>0.96321821212768555</v>
      </c>
      <c r="W25" s="2">
        <f t="shared" si="0"/>
        <v>7.6525439207664192E-8</v>
      </c>
      <c r="X25" s="2">
        <f t="shared" si="8"/>
        <v>0.96321868896484375</v>
      </c>
      <c r="Y25" s="2">
        <f t="shared" si="1"/>
        <v>-4.0617012464494451E-7</v>
      </c>
      <c r="Z25" s="2">
        <f t="shared" si="3"/>
        <v>0.96321845054626465</v>
      </c>
      <c r="AA25" s="2">
        <f t="shared" si="2"/>
        <v>-1.6482234344028512E-7</v>
      </c>
      <c r="AB25" s="2">
        <f t="shared" si="4"/>
        <v>-1.2613102223004288E-14</v>
      </c>
      <c r="AC25" s="2">
        <f t="shared" si="5"/>
        <v>6.6945911779412465E-14</v>
      </c>
      <c r="AD25" s="2">
        <f t="shared" si="6"/>
        <v>4.76837158203125E-7</v>
      </c>
      <c r="AF25" s="2">
        <v>21</v>
      </c>
      <c r="AG25" s="2">
        <f t="shared" si="13"/>
        <v>2242.7635192871094</v>
      </c>
      <c r="AH25" s="2">
        <v>-1.2382532374886068E-3</v>
      </c>
      <c r="AI25" s="2">
        <f t="shared" si="14"/>
        <v>2242.7725791931152</v>
      </c>
      <c r="AJ25" s="2">
        <v>2.4527615928491286E-3</v>
      </c>
      <c r="AK25" s="2">
        <f t="shared" si="9"/>
        <v>2242.7680492401123</v>
      </c>
      <c r="AL25" s="2">
        <v>6.0725525145244319E-4</v>
      </c>
      <c r="AM25" s="2">
        <f t="shared" si="10"/>
        <v>-7.5193578109294582E-7</v>
      </c>
      <c r="AN25" s="2">
        <f t="shared" si="11"/>
        <v>1.4894523578184928E-6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2747.7905729554159</v>
      </c>
      <c r="H26" s="6" t="s">
        <v>21</v>
      </c>
      <c r="J26" s="14" t="s">
        <v>65</v>
      </c>
      <c r="K26" s="6">
        <f xml:space="preserve"> $C$80 * (0.0268 * $C$5)</f>
        <v>48.084626086152163</v>
      </c>
      <c r="L26" s="6" t="s">
        <v>7</v>
      </c>
      <c r="N26" s="6" t="s">
        <v>32</v>
      </c>
      <c r="O26" s="17">
        <f>Z34</f>
        <v>0.96321828803047538</v>
      </c>
      <c r="U26" s="2">
        <v>22</v>
      </c>
      <c r="V26" s="2">
        <f t="shared" si="7"/>
        <v>0.96321821212768555</v>
      </c>
      <c r="W26" s="2">
        <f t="shared" si="0"/>
        <v>7.6525439207664192E-8</v>
      </c>
      <c r="X26" s="2">
        <f t="shared" si="8"/>
        <v>0.96321845054626465</v>
      </c>
      <c r="Y26" s="2">
        <f t="shared" si="1"/>
        <v>-1.6482234344028512E-7</v>
      </c>
      <c r="Z26" s="2">
        <f t="shared" si="3"/>
        <v>0.9632183313369751</v>
      </c>
      <c r="AA26" s="2">
        <f t="shared" si="2"/>
        <v>-4.4148452227332768E-8</v>
      </c>
      <c r="AB26" s="2">
        <f t="shared" si="4"/>
        <v>-3.3784796970352206E-15</v>
      </c>
      <c r="AC26" s="2">
        <f t="shared" si="5"/>
        <v>7.2766513553704627E-15</v>
      </c>
      <c r="AD26" s="2">
        <f t="shared" si="6"/>
        <v>2.384185791015625E-7</v>
      </c>
      <c r="AF26" s="2">
        <v>22</v>
      </c>
      <c r="AG26" s="2">
        <f t="shared" si="13"/>
        <v>2242.7635192871094</v>
      </c>
      <c r="AH26" s="2">
        <v>-1.2382532374886068E-3</v>
      </c>
      <c r="AI26" s="2">
        <f t="shared" si="14"/>
        <v>2242.7680492401123</v>
      </c>
      <c r="AJ26" s="2">
        <v>6.0725525145244319E-4</v>
      </c>
      <c r="AK26" s="2">
        <f t="shared" si="9"/>
        <v>2242.7657842636108</v>
      </c>
      <c r="AL26" s="2">
        <v>-3.1549872460345796E-4</v>
      </c>
      <c r="AM26" s="2">
        <f t="shared" si="10"/>
        <v>3.906673171637582E-7</v>
      </c>
      <c r="AN26" s="2">
        <f t="shared" si="11"/>
        <v>-1.9158825734199798E-7</v>
      </c>
      <c r="AO26" s="2">
        <f t="shared" si="12"/>
        <v>4.5299530029296875E-3</v>
      </c>
    </row>
    <row r="27" spans="2:41" x14ac:dyDescent="0.2">
      <c r="B27" s="27" t="s">
        <v>146</v>
      </c>
      <c r="C27" s="27"/>
      <c r="D27" s="27"/>
      <c r="F27" t="s">
        <v>93</v>
      </c>
      <c r="G27" s="6">
        <f>G29/$C$21</f>
        <v>43.548523327021641</v>
      </c>
      <c r="H27" t="s">
        <v>97</v>
      </c>
      <c r="J27" s="14" t="s">
        <v>66</v>
      </c>
      <c r="K27" s="6">
        <f xml:space="preserve"> $C$80 * (11.5 * ($C$5*2.20462/1000)^0.4 * 0.453592)</f>
        <v>7.9085942693734239</v>
      </c>
      <c r="L27" s="6" t="s">
        <v>7</v>
      </c>
      <c r="N27" s="6" t="s">
        <v>33</v>
      </c>
      <c r="O27" s="6">
        <f xml:space="preserve"> O21 * $C$10 * O26 - $C$7 * SIN(O19/180*PI())</f>
        <v>0.83720317260231525</v>
      </c>
      <c r="P27" s="6" t="s">
        <v>10</v>
      </c>
      <c r="U27" s="2">
        <v>23</v>
      </c>
      <c r="V27" s="2">
        <f t="shared" si="7"/>
        <v>0.96321821212768555</v>
      </c>
      <c r="W27" s="2">
        <f t="shared" si="0"/>
        <v>7.6525439207664192E-8</v>
      </c>
      <c r="X27" s="2">
        <f t="shared" si="8"/>
        <v>0.9632183313369751</v>
      </c>
      <c r="Y27" s="2">
        <f t="shared" si="1"/>
        <v>-4.4148452227332768E-8</v>
      </c>
      <c r="Z27" s="2">
        <f t="shared" si="3"/>
        <v>0.96321827173233032</v>
      </c>
      <c r="AA27" s="2">
        <f t="shared" si="2"/>
        <v>1.6188493434654561E-8</v>
      </c>
      <c r="AB27" s="2">
        <f t="shared" si="4"/>
        <v>1.2388315701973284E-15</v>
      </c>
      <c r="AC27" s="2">
        <f t="shared" si="5"/>
        <v>-7.1469692903233698E-16</v>
      </c>
      <c r="AD27" s="2">
        <f t="shared" si="6"/>
        <v>1.1920928955078125E-7</v>
      </c>
      <c r="AF27" s="2">
        <v>23</v>
      </c>
      <c r="AG27" s="2">
        <f t="shared" si="13"/>
        <v>2242.7657842636108</v>
      </c>
      <c r="AH27" s="2">
        <v>-3.1549872460345796E-4</v>
      </c>
      <c r="AI27" s="2">
        <f t="shared" si="14"/>
        <v>2242.7680492401123</v>
      </c>
      <c r="AJ27" s="2">
        <v>6.0725525145244319E-4</v>
      </c>
      <c r="AK27" s="2">
        <f t="shared" si="9"/>
        <v>2242.7669167518616</v>
      </c>
      <c r="AL27" s="2">
        <v>1.4587833061341371E-4</v>
      </c>
      <c r="AM27" s="2">
        <f t="shared" si="10"/>
        <v>-4.6024427255813601E-8</v>
      </c>
      <c r="AN27" s="2">
        <f t="shared" si="11"/>
        <v>8.8585382338111179E-8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6.4375118575630408</v>
      </c>
      <c r="H28" s="6" t="s">
        <v>172</v>
      </c>
      <c r="J28" s="14" t="s">
        <v>67</v>
      </c>
      <c r="K28" s="6">
        <f xml:space="preserve"> $C$80 * (8 * ($C$5/1000))</f>
        <v>14.353619727209599</v>
      </c>
      <c r="L28" s="6" t="s">
        <v>7</v>
      </c>
      <c r="N28" s="6" t="s">
        <v>34</v>
      </c>
      <c r="O28" s="6">
        <f xml:space="preserve"> 1/$C$31 - O25 * SQRT( (2*$C$71*PI()*$C$10^2) / O20^3 )</f>
        <v>0.93897463615294896</v>
      </c>
      <c r="U28" s="2">
        <v>24</v>
      </c>
      <c r="V28" s="2">
        <f t="shared" si="7"/>
        <v>0.96321827173233032</v>
      </c>
      <c r="W28" s="2">
        <f t="shared" si="0"/>
        <v>1.6188493434654561E-8</v>
      </c>
      <c r="X28" s="2">
        <f t="shared" si="8"/>
        <v>0.9632183313369751</v>
      </c>
      <c r="Y28" s="2">
        <f t="shared" si="1"/>
        <v>-4.4148452227332768E-8</v>
      </c>
      <c r="Z28" s="2">
        <f t="shared" si="3"/>
        <v>0.96321830153465271</v>
      </c>
      <c r="AA28" s="2">
        <f t="shared" si="2"/>
        <v>-1.3979979396339104E-8</v>
      </c>
      <c r="AB28" s="2">
        <f t="shared" si="4"/>
        <v>-2.2631480467424161E-16</v>
      </c>
      <c r="AC28" s="2">
        <f t="shared" si="5"/>
        <v>6.1719445251837332E-16</v>
      </c>
      <c r="AD28" s="2">
        <f t="shared" si="6"/>
        <v>5.9604644775390625E-8</v>
      </c>
      <c r="AF28" s="2">
        <v>24</v>
      </c>
      <c r="AG28" s="2">
        <f t="shared" si="13"/>
        <v>2242.7657842636108</v>
      </c>
      <c r="AH28" s="2">
        <v>-3.1549872460345796E-4</v>
      </c>
      <c r="AI28" s="2">
        <f t="shared" si="14"/>
        <v>2242.7669167518616</v>
      </c>
      <c r="AJ28" s="2">
        <v>1.4587833061341371E-4</v>
      </c>
      <c r="AK28" s="2">
        <f t="shared" si="9"/>
        <v>2242.7663505077362</v>
      </c>
      <c r="AL28" s="2">
        <v>-8.4810180396743817E-5</v>
      </c>
      <c r="AM28" s="2">
        <f t="shared" si="10"/>
        <v>2.6757503748561867E-8</v>
      </c>
      <c r="AN28" s="2">
        <f t="shared" si="11"/>
        <v>-1.2371967535299452E-8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348.38818661617313</v>
      </c>
      <c r="H29" s="22" t="s">
        <v>97</v>
      </c>
      <c r="J29" s="14" t="s">
        <v>68</v>
      </c>
      <c r="K29" s="6">
        <f xml:space="preserve"> $C$80 * (13 * ($C$5*2.20462/1000)^1.3 * 0.453592)</f>
        <v>37.674586322694772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0.96321827173233032</v>
      </c>
      <c r="W29" s="2">
        <f t="shared" si="0"/>
        <v>1.6188493434654561E-8</v>
      </c>
      <c r="X29" s="2">
        <f t="shared" si="8"/>
        <v>0.96321830153465271</v>
      </c>
      <c r="Y29" s="2">
        <f t="shared" si="1"/>
        <v>-1.3979979396339104E-8</v>
      </c>
      <c r="Z29" s="2">
        <f t="shared" si="3"/>
        <v>0.96321828663349152</v>
      </c>
      <c r="AA29" s="2">
        <f t="shared" si="2"/>
        <v>1.1042570191577283E-9</v>
      </c>
      <c r="AB29" s="2">
        <f t="shared" si="4"/>
        <v>1.7876257504806101E-17</v>
      </c>
      <c r="AC29" s="2">
        <f t="shared" si="5"/>
        <v>-1.5437490376087877E-17</v>
      </c>
      <c r="AD29" s="2">
        <f t="shared" si="6"/>
        <v>2.9802322387695312E-8</v>
      </c>
      <c r="AF29" s="2">
        <v>25</v>
      </c>
      <c r="AG29" s="2">
        <f t="shared" si="13"/>
        <v>2242.7663505077362</v>
      </c>
      <c r="AH29" s="2">
        <v>-8.4810180396743817E-5</v>
      </c>
      <c r="AI29" s="2">
        <f t="shared" si="14"/>
        <v>2242.7669167518616</v>
      </c>
      <c r="AJ29" s="2">
        <v>1.4587833061341371E-4</v>
      </c>
      <c r="AK29" s="2">
        <f t="shared" si="9"/>
        <v>2242.7666336297989</v>
      </c>
      <c r="AL29" s="2">
        <v>3.0534079542121617E-5</v>
      </c>
      <c r="AM29" s="2">
        <f t="shared" si="10"/>
        <v>-2.589600794215859E-9</v>
      </c>
      <c r="AN29" s="2">
        <f t="shared" si="11"/>
        <v>4.4542605504218895E-9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-5.4907575377001194E-3</v>
      </c>
      <c r="L30" s="9" t="s">
        <v>7</v>
      </c>
      <c r="N30" s="6" t="s">
        <v>36</v>
      </c>
      <c r="O30" s="6">
        <f xml:space="preserve"> 1/$C$77 * LN( EXP($C$77 * O28) + EXP($C$77 * O29) )</f>
        <v>1.150059303159328</v>
      </c>
      <c r="U30" s="2">
        <v>26</v>
      </c>
      <c r="V30" s="2">
        <f>IF(AB29&gt;0, Z29, V29)</f>
        <v>0.96321828663349152</v>
      </c>
      <c r="W30" s="2">
        <f t="shared" si="0"/>
        <v>1.1042570191577283E-9</v>
      </c>
      <c r="X30" s="2">
        <f t="shared" si="8"/>
        <v>0.96321830153465271</v>
      </c>
      <c r="Y30" s="2">
        <f t="shared" si="1"/>
        <v>-1.3979979396339104E-8</v>
      </c>
      <c r="Z30" s="2">
        <f t="shared" si="3"/>
        <v>0.96321829408407211</v>
      </c>
      <c r="AA30" s="2">
        <f t="shared" si="2"/>
        <v>-6.437861244101839E-9</v>
      </c>
      <c r="AB30" s="2">
        <f t="shared" si="4"/>
        <v>-7.1090534671629612E-18</v>
      </c>
      <c r="AC30" s="2">
        <f t="shared" si="5"/>
        <v>9.000116754903374E-17</v>
      </c>
      <c r="AD30" s="2">
        <f t="shared" si="6"/>
        <v>1.4901161193847656E-8</v>
      </c>
      <c r="AF30" s="2">
        <v>26</v>
      </c>
      <c r="AG30" s="2">
        <f t="shared" si="13"/>
        <v>2242.7663505077362</v>
      </c>
      <c r="AH30" s="2">
        <v>-8.4810180396743817E-5</v>
      </c>
      <c r="AI30" s="2">
        <f t="shared" si="14"/>
        <v>2242.7666336297989</v>
      </c>
      <c r="AJ30" s="2">
        <v>3.0534079542121617E-5</v>
      </c>
      <c r="AK30" s="2">
        <f t="shared" si="9"/>
        <v>2242.7664920687675</v>
      </c>
      <c r="AL30" s="2">
        <v>-2.6856819886234007E-5</v>
      </c>
      <c r="AM30" s="2">
        <f t="shared" si="10"/>
        <v>2.2777317394343628E-9</v>
      </c>
      <c r="AN30" s="2">
        <f t="shared" si="11"/>
        <v>-8.200482746547028E-10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28" t="s">
        <v>175</v>
      </c>
      <c r="G31" s="29"/>
      <c r="H31" s="29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0.96321828663349152</v>
      </c>
      <c r="W31" s="2">
        <f t="shared" si="0"/>
        <v>1.1042570191577283E-9</v>
      </c>
      <c r="X31" s="2">
        <f t="shared" si="8"/>
        <v>0.96321829408407211</v>
      </c>
      <c r="Y31" s="2">
        <f t="shared" si="1"/>
        <v>-6.437861244101839E-9</v>
      </c>
      <c r="Z31" s="2">
        <f t="shared" si="3"/>
        <v>0.96321829035878181</v>
      </c>
      <c r="AA31" s="2">
        <f t="shared" si="2"/>
        <v>-2.6668021124720553E-9</v>
      </c>
      <c r="AB31" s="2">
        <f t="shared" si="4"/>
        <v>-2.9448349514019248E-18</v>
      </c>
      <c r="AC31" s="2">
        <f t="shared" si="5"/>
        <v>1.7168501965572759E-17</v>
      </c>
      <c r="AD31" s="2">
        <f t="shared" si="6"/>
        <v>7.4505805969238281E-9</v>
      </c>
      <c r="AF31" s="2">
        <v>27</v>
      </c>
      <c r="AG31" s="2">
        <f t="shared" si="13"/>
        <v>2242.7664920687675</v>
      </c>
      <c r="AH31" s="2">
        <v>-2.6856819886234007E-5</v>
      </c>
      <c r="AI31" s="2">
        <f t="shared" si="14"/>
        <v>2242.7666336297989</v>
      </c>
      <c r="AJ31" s="2">
        <v>3.0534079542121617E-5</v>
      </c>
      <c r="AK31" s="2">
        <f t="shared" si="9"/>
        <v>2242.7665628492832</v>
      </c>
      <c r="AL31" s="2">
        <v>1.5574005374219269E-6</v>
      </c>
      <c r="AM31" s="2">
        <f t="shared" si="10"/>
        <v>-4.1826825724264735E-11</v>
      </c>
      <c r="AN31" s="2">
        <f t="shared" si="11"/>
        <v>4.7553791888584069E-11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0.96321828663349152</v>
      </c>
      <c r="W32" s="2">
        <f t="shared" si="0"/>
        <v>1.1042570191577283E-9</v>
      </c>
      <c r="X32" s="2">
        <f t="shared" si="8"/>
        <v>0.96321829035878181</v>
      </c>
      <c r="Y32" s="2">
        <f t="shared" si="1"/>
        <v>-2.6668021124720553E-9</v>
      </c>
      <c r="Z32" s="2">
        <f t="shared" si="3"/>
        <v>0.96321828849613667</v>
      </c>
      <c r="AA32" s="2">
        <f t="shared" si="2"/>
        <v>-7.8127249114601227E-10</v>
      </c>
      <c r="AB32" s="2">
        <f t="shared" si="4"/>
        <v>-8.6272563222282821E-19</v>
      </c>
      <c r="AC32" s="2">
        <f t="shared" si="5"/>
        <v>2.0834991298044907E-18</v>
      </c>
      <c r="AD32" s="2">
        <f t="shared" si="6"/>
        <v>3.7252902984619141E-9</v>
      </c>
      <c r="AF32" s="2">
        <v>28</v>
      </c>
      <c r="AG32" s="2">
        <f t="shared" si="13"/>
        <v>2242.7664920687675</v>
      </c>
      <c r="AH32" s="2">
        <v>-2.6856819886234007E-5</v>
      </c>
      <c r="AI32" s="2">
        <f t="shared" si="14"/>
        <v>2242.7665628492832</v>
      </c>
      <c r="AJ32" s="2">
        <v>1.5574005374219269E-6</v>
      </c>
      <c r="AK32" s="2">
        <f t="shared" si="9"/>
        <v>2242.7665274590254</v>
      </c>
      <c r="AL32" s="2">
        <v>-1.2930939647048945E-5</v>
      </c>
      <c r="AM32" s="2">
        <f t="shared" si="10"/>
        <v>3.4728391706055585E-10</v>
      </c>
      <c r="AN32" s="2">
        <f t="shared" si="11"/>
        <v>-2.0138652355684528E-11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112.35586886878909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0.96321828663349152</v>
      </c>
      <c r="W33" s="2">
        <f t="shared" si="0"/>
        <v>1.1042570191577283E-9</v>
      </c>
      <c r="X33" s="2">
        <f t="shared" si="8"/>
        <v>0.96321828849613667</v>
      </c>
      <c r="Y33" s="2">
        <f t="shared" si="1"/>
        <v>-7.8127249114601227E-10</v>
      </c>
      <c r="Z33" s="2">
        <f t="shared" si="3"/>
        <v>0.96321828756481409</v>
      </c>
      <c r="AA33" s="2">
        <f t="shared" si="2"/>
        <v>1.6149226400585803E-10</v>
      </c>
      <c r="AB33" s="2">
        <f t="shared" si="4"/>
        <v>1.783289660681417E-19</v>
      </c>
      <c r="AC33" s="2">
        <f t="shared" si="5"/>
        <v>-1.261694634006662E-19</v>
      </c>
      <c r="AD33" s="2">
        <f t="shared" si="6"/>
        <v>1.862645149230957E-9</v>
      </c>
      <c r="AF33" s="2">
        <v>29</v>
      </c>
      <c r="AG33" s="2">
        <f t="shared" si="13"/>
        <v>2242.7665274590254</v>
      </c>
      <c r="AH33" s="2">
        <v>-1.2930939647048945E-5</v>
      </c>
      <c r="AI33" s="2">
        <f t="shared" si="14"/>
        <v>2242.7665628492832</v>
      </c>
      <c r="AJ33" s="2">
        <v>1.5574005374219269E-6</v>
      </c>
      <c r="AK33" s="2">
        <f t="shared" si="9"/>
        <v>2242.7665451541543</v>
      </c>
      <c r="AL33" s="2">
        <v>-5.686769100066158E-6</v>
      </c>
      <c r="AM33" s="2">
        <f t="shared" si="10"/>
        <v>7.3535268019658329E-11</v>
      </c>
      <c r="AN33" s="2">
        <f t="shared" si="11"/>
        <v>-8.8565772526374418E-12</v>
      </c>
      <c r="AO33" s="2">
        <f t="shared" si="12"/>
        <v>3.5390257835388184E-5</v>
      </c>
    </row>
    <row r="34" spans="2:41" x14ac:dyDescent="0.2">
      <c r="B34" s="27" t="s">
        <v>100</v>
      </c>
      <c r="C34" s="27"/>
      <c r="D34" s="27"/>
      <c r="J34" s="6" t="s">
        <v>58</v>
      </c>
      <c r="K34" s="6">
        <f>ROUND($C$16/$C$5 * 100, 2)</f>
        <v>26.75</v>
      </c>
      <c r="L34" s="6" t="s">
        <v>59</v>
      </c>
      <c r="U34" s="2">
        <v>30</v>
      </c>
      <c r="V34" s="2">
        <f t="shared" si="7"/>
        <v>0.96321828756481409</v>
      </c>
      <c r="W34" s="2">
        <f t="shared" si="0"/>
        <v>1.6149226400585803E-10</v>
      </c>
      <c r="X34" s="2">
        <f t="shared" si="8"/>
        <v>0.96321828849613667</v>
      </c>
      <c r="Y34" s="2">
        <f t="shared" si="1"/>
        <v>-7.8127249114601227E-10</v>
      </c>
      <c r="Z34" s="2">
        <f t="shared" si="3"/>
        <v>0.96321828803047538</v>
      </c>
      <c r="AA34" s="2">
        <f t="shared" si="2"/>
        <v>-3.0989011357007712E-10</v>
      </c>
      <c r="AB34" s="2">
        <f t="shared" si="4"/>
        <v>-5.0044856033464223E-20</v>
      </c>
      <c r="AC34" s="2">
        <f t="shared" si="5"/>
        <v>2.4210862101041481E-19</v>
      </c>
      <c r="AD34" s="2">
        <f t="shared" si="6"/>
        <v>9.3132257461547852E-10</v>
      </c>
      <c r="AF34" s="2">
        <v>30</v>
      </c>
      <c r="AG34" s="2">
        <f t="shared" si="13"/>
        <v>2242.7665451541543</v>
      </c>
      <c r="AH34" s="2">
        <v>-5.686769100066158E-6</v>
      </c>
      <c r="AI34" s="2">
        <f t="shared" si="14"/>
        <v>2242.7665628492832</v>
      </c>
      <c r="AJ34" s="2">
        <v>1.5574005374219269E-6</v>
      </c>
      <c r="AK34" s="2">
        <f t="shared" si="9"/>
        <v>2242.7665540017188</v>
      </c>
      <c r="AL34" s="2">
        <v>-2.0646841676352778E-6</v>
      </c>
      <c r="AM34" s="2">
        <f t="shared" si="10"/>
        <v>1.1741382125904113E-11</v>
      </c>
      <c r="AN34" s="2">
        <f t="shared" si="11"/>
        <v>-3.2155402322817254E-12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30.08</v>
      </c>
      <c r="L35" s="6" t="s">
        <v>59</v>
      </c>
      <c r="AF35" s="2">
        <v>31</v>
      </c>
      <c r="AG35" s="2">
        <f t="shared" si="13"/>
        <v>2242.7665540017188</v>
      </c>
      <c r="AH35" s="2">
        <v>-2.0646841676352778E-6</v>
      </c>
      <c r="AI35" s="2">
        <f t="shared" si="14"/>
        <v>2242.7665628492832</v>
      </c>
      <c r="AJ35" s="2">
        <v>1.5574005374219269E-6</v>
      </c>
      <c r="AK35" s="2">
        <f t="shared" si="9"/>
        <v>2242.766558425501</v>
      </c>
      <c r="AL35" s="2">
        <v>-2.5364170141983777E-7</v>
      </c>
      <c r="AM35" s="2">
        <f t="shared" si="10"/>
        <v>5.2369000517361342E-13</v>
      </c>
      <c r="AN35" s="2">
        <f t="shared" si="11"/>
        <v>-3.9502172210386726E-13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16.16</v>
      </c>
      <c r="L36" s="6" t="s">
        <v>59</v>
      </c>
      <c r="AF36" s="2">
        <v>32</v>
      </c>
      <c r="AG36" s="2">
        <f t="shared" si="13"/>
        <v>2242.766558425501</v>
      </c>
      <c r="AH36" s="2">
        <v>-2.5364170141983777E-7</v>
      </c>
      <c r="AI36" s="2">
        <f t="shared" si="14"/>
        <v>2242.7665628492832</v>
      </c>
      <c r="AJ36" s="2">
        <v>1.5574005374219269E-6</v>
      </c>
      <c r="AK36" s="2">
        <f t="shared" si="9"/>
        <v>2242.7665606373921</v>
      </c>
      <c r="AL36" s="2">
        <v>6.5187896325369366E-7</v>
      </c>
      <c r="AM36" s="2">
        <f t="shared" si="10"/>
        <v>-1.6534368935946677E-13</v>
      </c>
      <c r="AN36" s="2">
        <f t="shared" si="11"/>
        <v>1.015236647705351E-12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22.19</v>
      </c>
      <c r="L37" s="6" t="s">
        <v>59</v>
      </c>
      <c r="AF37" s="2">
        <v>33</v>
      </c>
      <c r="AG37" s="2">
        <f t="shared" si="13"/>
        <v>2242.766558425501</v>
      </c>
      <c r="AH37" s="2">
        <v>-2.5364170141983777E-7</v>
      </c>
      <c r="AI37" s="2">
        <f t="shared" si="14"/>
        <v>2242.7665606373921</v>
      </c>
      <c r="AJ37" s="2">
        <v>6.5187896325369366E-7</v>
      </c>
      <c r="AK37" s="2">
        <f t="shared" si="9"/>
        <v>2242.7665595314465</v>
      </c>
      <c r="AL37" s="2">
        <v>1.9911863091692794E-7</v>
      </c>
      <c r="AM37" s="2">
        <f t="shared" si="10"/>
        <v>-5.0504788330158315E-14</v>
      </c>
      <c r="AN37" s="2">
        <f t="shared" si="11"/>
        <v>1.2980124668662186E-13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4.82</v>
      </c>
      <c r="L38" s="6" t="s">
        <v>59</v>
      </c>
      <c r="AF38" s="2">
        <v>34</v>
      </c>
      <c r="AG38" s="2">
        <f t="shared" si="13"/>
        <v>2242.766558425501</v>
      </c>
      <c r="AH38" s="2">
        <v>-2.5364170141983777E-7</v>
      </c>
      <c r="AI38" s="2">
        <f t="shared" si="14"/>
        <v>2242.7665595314465</v>
      </c>
      <c r="AJ38" s="2">
        <v>1.9911863091692794E-7</v>
      </c>
      <c r="AK38" s="2">
        <f t="shared" si="9"/>
        <v>2242.7665589784738</v>
      </c>
      <c r="AL38" s="2">
        <v>-2.7261876311968081E-8</v>
      </c>
      <c r="AM38" s="2">
        <f t="shared" si="10"/>
        <v>6.9147486916647561E-15</v>
      </c>
      <c r="AN38" s="2">
        <f t="shared" si="11"/>
        <v>-5.428347487465713E-15</v>
      </c>
      <c r="AO38" s="2">
        <f t="shared" si="12"/>
        <v>1.1059455573558807E-6</v>
      </c>
    </row>
    <row r="39" spans="2:41" x14ac:dyDescent="0.2">
      <c r="B39" s="27" t="s">
        <v>104</v>
      </c>
      <c r="C39" s="27"/>
      <c r="D39" s="27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2242.7665589784738</v>
      </c>
      <c r="AH39" s="2">
        <v>-2.7261876311968081E-8</v>
      </c>
      <c r="AI39" s="2">
        <f t="shared" si="14"/>
        <v>2242.7665595314465</v>
      </c>
      <c r="AJ39" s="2">
        <v>1.9911863091692794E-7</v>
      </c>
      <c r="AK39" s="2">
        <f t="shared" si="9"/>
        <v>2242.7665592549602</v>
      </c>
      <c r="AL39" s="2">
        <v>8.5928832049830817E-8</v>
      </c>
      <c r="AM39" s="2">
        <f t="shared" si="10"/>
        <v>-2.3425811909743664E-15</v>
      </c>
      <c r="AN39" s="2">
        <f t="shared" si="11"/>
        <v>1.7110031394052951E-14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2242.7665589784738</v>
      </c>
      <c r="AH40" s="2">
        <v>-2.7261876311968081E-8</v>
      </c>
      <c r="AI40" s="2">
        <f t="shared" si="14"/>
        <v>2242.7665592549602</v>
      </c>
      <c r="AJ40" s="2">
        <v>8.5928832049830817E-8</v>
      </c>
      <c r="AK40" s="2">
        <f t="shared" si="9"/>
        <v>2242.766559116717</v>
      </c>
      <c r="AL40" s="2">
        <v>2.9333477868931368E-8</v>
      </c>
      <c r="AM40" s="2">
        <f t="shared" si="10"/>
        <v>-7.9968564546266E-16</v>
      </c>
      <c r="AN40" s="2">
        <f t="shared" si="11"/>
        <v>2.5205914932368327E-15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7" t="s">
        <v>109</v>
      </c>
      <c r="K41" s="27"/>
      <c r="L41" s="27"/>
      <c r="AF41" s="2">
        <v>37</v>
      </c>
      <c r="AG41" s="2">
        <f t="shared" si="13"/>
        <v>2242.7665589784738</v>
      </c>
      <c r="AH41" s="2">
        <v>-2.7261876311968081E-8</v>
      </c>
      <c r="AI41" s="2">
        <f t="shared" si="14"/>
        <v>2242.766559116717</v>
      </c>
      <c r="AJ41" s="2">
        <v>2.9333477868931368E-8</v>
      </c>
      <c r="AK41" s="2">
        <f t="shared" si="9"/>
        <v>2242.7665590475954</v>
      </c>
      <c r="AL41" s="2">
        <v>1.035687091643922E-9</v>
      </c>
      <c r="AM41" s="2">
        <f t="shared" si="10"/>
        <v>-2.8234773390298553E-17</v>
      </c>
      <c r="AN41" s="2">
        <f t="shared" si="11"/>
        <v>3.038030438187488E-17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2242.7665589784738</v>
      </c>
      <c r="AH42" s="2">
        <v>-2.7261876311968081E-8</v>
      </c>
      <c r="AI42" s="2">
        <f t="shared" si="14"/>
        <v>2242.7665590475954</v>
      </c>
      <c r="AJ42" s="2">
        <v>1.035687091643922E-9</v>
      </c>
      <c r="AK42" s="2">
        <f t="shared" si="9"/>
        <v>2242.7665590130346</v>
      </c>
      <c r="AL42" s="2">
        <v>-1.3113549357512966E-8</v>
      </c>
      <c r="AM42" s="2">
        <f t="shared" si="10"/>
        <v>3.5749996059540697E-16</v>
      </c>
      <c r="AN42" s="2">
        <f t="shared" si="11"/>
        <v>-1.3581533795211626E-17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674.52</v>
      </c>
      <c r="L43" s="6" t="s">
        <v>7</v>
      </c>
      <c r="AF43" s="2">
        <v>39</v>
      </c>
      <c r="AG43" s="2">
        <f t="shared" si="13"/>
        <v>2242.7665590130346</v>
      </c>
      <c r="AH43" s="2">
        <v>-1.3113549357512966E-8</v>
      </c>
      <c r="AI43" s="2">
        <f t="shared" si="14"/>
        <v>2242.7665590475954</v>
      </c>
      <c r="AJ43" s="2">
        <v>1.035687091643922E-9</v>
      </c>
      <c r="AK43" s="2">
        <f t="shared" si="9"/>
        <v>2242.766559030315</v>
      </c>
      <c r="AL43" s="2">
        <v>-6.038590072421357E-9</v>
      </c>
      <c r="AM43" s="2">
        <f t="shared" si="10"/>
        <v>7.918734896448526E-17</v>
      </c>
      <c r="AN43" s="2">
        <f t="shared" si="11"/>
        <v>-6.2540897897359358E-18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362.46</v>
      </c>
      <c r="L44" s="6" t="s">
        <v>7</v>
      </c>
      <c r="AF44" s="2">
        <v>40</v>
      </c>
      <c r="AG44" s="2">
        <f t="shared" si="13"/>
        <v>2242.766559030315</v>
      </c>
      <c r="AH44" s="2">
        <v>-6.038590072421357E-9</v>
      </c>
      <c r="AI44" s="2">
        <f t="shared" si="14"/>
        <v>2242.7665590475954</v>
      </c>
      <c r="AJ44" s="2">
        <v>1.035687091643922E-9</v>
      </c>
      <c r="AK44" s="5">
        <f t="shared" si="9"/>
        <v>2242.7665590389552</v>
      </c>
      <c r="AL44" s="2">
        <v>-2.5013378035509959E-9</v>
      </c>
      <c r="AM44" s="2">
        <f t="shared" si="10"/>
        <v>1.5104553628295286E-17</v>
      </c>
      <c r="AN44" s="2">
        <f t="shared" si="11"/>
        <v>-2.5906032749787269E-18</v>
      </c>
      <c r="AO44" s="2">
        <f t="shared" si="12"/>
        <v>1.7280399333685637E-8</v>
      </c>
    </row>
    <row r="45" spans="2:41" x14ac:dyDescent="0.2">
      <c r="B45" s="27" t="s">
        <v>151</v>
      </c>
      <c r="C45" s="27"/>
      <c r="D45" s="27"/>
      <c r="J45" s="19" t="s">
        <v>70</v>
      </c>
      <c r="K45" s="6">
        <f>ROUND(SUM(K20:K25), 2)</f>
        <v>497.75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108.02</v>
      </c>
      <c r="L46" s="6" t="s">
        <v>7</v>
      </c>
    </row>
    <row r="47" spans="2:41" x14ac:dyDescent="0.2">
      <c r="J47" s="9" t="s">
        <v>60</v>
      </c>
      <c r="K47" s="9">
        <f>SUM(K42:K46)</f>
        <v>2242.75</v>
      </c>
      <c r="L47" s="6" t="s">
        <v>7</v>
      </c>
    </row>
    <row r="48" spans="2:41" x14ac:dyDescent="0.2">
      <c r="B48" s="27" t="s">
        <v>152</v>
      </c>
      <c r="C48" s="27"/>
      <c r="D48" s="27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7" t="s">
        <v>156</v>
      </c>
      <c r="C53" s="27"/>
      <c r="D53" s="27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28" t="s">
        <v>2</v>
      </c>
      <c r="C59" s="29"/>
      <c r="D59" s="29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7" t="s">
        <v>169</v>
      </c>
      <c r="C64" s="30"/>
      <c r="D64" s="30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7" t="s">
        <v>170</v>
      </c>
      <c r="C70" s="30"/>
      <c r="D70" s="30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7" t="s">
        <v>72</v>
      </c>
      <c r="C76" s="27"/>
      <c r="D76" s="27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53:D53"/>
    <mergeCell ref="B59:D59"/>
    <mergeCell ref="B64:D64"/>
    <mergeCell ref="B70:D70"/>
    <mergeCell ref="B76:D76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1:D1"/>
    <mergeCell ref="B3:D3"/>
    <mergeCell ref="F3:H3"/>
    <mergeCell ref="J3:L3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4B67-D6BE-5B48-8F16-A9BCCE1D4947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2" t="s">
        <v>0</v>
      </c>
      <c r="C1" s="32"/>
      <c r="D1" s="32"/>
    </row>
    <row r="2" spans="2:41" x14ac:dyDescent="0.2">
      <c r="U2" s="15" t="s">
        <v>89</v>
      </c>
      <c r="AF2" s="26" t="s">
        <v>129</v>
      </c>
    </row>
    <row r="3" spans="2:41" x14ac:dyDescent="0.2">
      <c r="B3" s="27" t="s">
        <v>118</v>
      </c>
      <c r="C3" s="30"/>
      <c r="D3" s="30"/>
      <c r="F3" s="28" t="s">
        <v>76</v>
      </c>
      <c r="G3" s="29"/>
      <c r="H3" s="29"/>
      <c r="J3" s="27" t="s">
        <v>94</v>
      </c>
      <c r="K3" s="27"/>
      <c r="L3" s="27"/>
      <c r="N3" s="27" t="s">
        <v>88</v>
      </c>
      <c r="O3" s="27"/>
      <c r="P3" s="27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479.59541931862816</v>
      </c>
      <c r="L4" s="6" t="s">
        <v>97</v>
      </c>
      <c r="N4" s="6" t="s">
        <v>131</v>
      </c>
      <c r="O4" s="6">
        <f xml:space="preserve"> $C$5 * $C$74</f>
        <v>22845.418393064123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1.1721654210681023</v>
      </c>
      <c r="X4" s="3">
        <v>1</v>
      </c>
      <c r="Y4" s="2">
        <f t="shared" ref="Y4:Y34" si="1" xml:space="preserve"> $O$22 * TAN($O$19/180*PI()) + $O$23 / (2 * SQRT($O$22^2 + X4^2)) - X4</f>
        <v>-3.0628334482765029E-2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0.48733490481446284</v>
      </c>
      <c r="AB4" s="2">
        <f>W4*AA4</f>
        <v>0.57123712390302839</v>
      </c>
      <c r="AC4" s="2">
        <f>Y4*AA4</f>
        <v>-1.4926256469783825E-2</v>
      </c>
      <c r="AD4" s="2">
        <f>X4-V4</f>
        <v>1</v>
      </c>
      <c r="AF4" s="2">
        <v>0</v>
      </c>
      <c r="AH4" s="2">
        <f>K30</f>
        <v>-5.0381259411551582E-3</v>
      </c>
      <c r="AJ4" s="2">
        <f>K30</f>
        <v>-5.0381259411551582E-3</v>
      </c>
      <c r="AL4" s="2">
        <f>K30</f>
        <v>-5.0381259411551582E-3</v>
      </c>
    </row>
    <row r="5" spans="2:41" x14ac:dyDescent="0.2">
      <c r="B5" s="9" t="s">
        <v>38</v>
      </c>
      <c r="C5" s="9">
        <v>2331.0334471462502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59.94942741482852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0.48733490481446284</v>
      </c>
      <c r="X5" s="2">
        <f>IF(AC4&gt;0, Z4, X4)</f>
        <v>1</v>
      </c>
      <c r="Y5" s="2">
        <f t="shared" si="1"/>
        <v>-3.0628334482765029E-2</v>
      </c>
      <c r="Z5" s="2">
        <f t="shared" ref="Z5:Z34" si="3" xml:space="preserve"> (V5 + X5)/2</f>
        <v>0.75</v>
      </c>
      <c r="AA5" s="2">
        <f t="shared" si="2"/>
        <v>0.22541845416484096</v>
      </c>
      <c r="AB5" s="2">
        <f t="shared" ref="AB5:AB34" si="4">W5*AA5</f>
        <v>0.10985428090384612</v>
      </c>
      <c r="AC5" s="2">
        <f t="shared" ref="AC5:AC34" si="5">Y5*AA5</f>
        <v>-6.9041918127485868E-3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-953.39204387604559</v>
      </c>
      <c r="AI5" s="3">
        <v>10000</v>
      </c>
      <c r="AJ5" s="2">
        <f t="dataTable" ref="AJ5:AJ44" dt2D="0" dtr="0" r1="C5" ca="1"/>
        <v>3323.8110196154212</v>
      </c>
      <c r="AK5" s="2">
        <f>(AG5+AI5)/2</f>
        <v>5250</v>
      </c>
      <c r="AL5" s="2">
        <f t="dataTable" ref="AL5:AL44" dt2D="0" dtr="0" r1="C5" ca="1"/>
        <v>1080.1971985535988</v>
      </c>
      <c r="AM5" s="2">
        <f>AH5*AL5</f>
        <v>-1029851.4149181942</v>
      </c>
      <c r="AN5" s="2">
        <f>AJ5*AL5</f>
        <v>3590371.351910159</v>
      </c>
      <c r="AO5" s="2">
        <f>AI5-AG5</f>
        <v>9500</v>
      </c>
    </row>
    <row r="6" spans="2:41" x14ac:dyDescent="0.2">
      <c r="B6" s="6" t="s">
        <v>168</v>
      </c>
      <c r="C6" s="16">
        <v>413.20537226906902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159.63751601950861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0.23019307363584118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0.22541845416484096</v>
      </c>
      <c r="X6" s="2">
        <f t="shared" ref="X6:X34" si="8">IF(AC5&gt;0, Z5, X5)</f>
        <v>1</v>
      </c>
      <c r="Y6" s="2">
        <f t="shared" si="1"/>
        <v>-3.0628334482765029E-2</v>
      </c>
      <c r="Z6" s="2">
        <f t="shared" si="3"/>
        <v>0.875</v>
      </c>
      <c r="AA6" s="2">
        <f t="shared" si="2"/>
        <v>9.696903156652581E-2</v>
      </c>
      <c r="AB6" s="2">
        <f t="shared" si="4"/>
        <v>2.1858609197587916E-2</v>
      </c>
      <c r="AC6" s="2">
        <f t="shared" si="5"/>
        <v>-2.969999933289353E-3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-953.39204387604559</v>
      </c>
      <c r="AI6" s="2">
        <f>IF(AN5&gt;0,AK5,AI5)</f>
        <v>5250</v>
      </c>
      <c r="AJ6" s="2">
        <v>1080.1971985535988</v>
      </c>
      <c r="AK6" s="2">
        <f t="shared" ref="AK6:AK44" si="9">(AG6+AI6)/2</f>
        <v>2875</v>
      </c>
      <c r="AL6" s="2">
        <v>246.9531275711779</v>
      </c>
      <c r="AM6" s="2">
        <f t="shared" ref="AM6:AM44" si="10">AH6*AL6</f>
        <v>-235443.14703666713</v>
      </c>
      <c r="AN6" s="2">
        <f t="shared" ref="AN6:AN44" si="11">AJ6*AL6</f>
        <v>266758.07657643588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2855.9504751744967</v>
      </c>
      <c r="H7" s="6" t="s">
        <v>21</v>
      </c>
      <c r="J7" s="6" t="s">
        <v>133</v>
      </c>
      <c r="K7" s="6">
        <f>K6/$C$28</f>
        <v>159.63751601950861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9.696903156652581E-2</v>
      </c>
      <c r="X7" s="2">
        <f t="shared" si="8"/>
        <v>1</v>
      </c>
      <c r="Y7" s="2">
        <f t="shared" si="1"/>
        <v>-3.0628334482765029E-2</v>
      </c>
      <c r="Z7" s="2">
        <f t="shared" si="3"/>
        <v>0.9375</v>
      </c>
      <c r="AA7" s="2">
        <f t="shared" si="2"/>
        <v>3.3084787619659051E-2</v>
      </c>
      <c r="AB7" s="2">
        <f t="shared" si="4"/>
        <v>3.2081998150625206E-3</v>
      </c>
      <c r="AC7" s="2">
        <f t="shared" si="5"/>
        <v>-1.0133319415061609E-3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-953.39204387604559</v>
      </c>
      <c r="AI7" s="2">
        <f t="shared" ref="AI7:AI44" si="14">IF(AN6&gt;0,AK6,AI6)</f>
        <v>2875</v>
      </c>
      <c r="AJ7" s="2">
        <v>246.9531275711779</v>
      </c>
      <c r="AK7" s="2">
        <f t="shared" si="9"/>
        <v>1687.5</v>
      </c>
      <c r="AL7" s="2">
        <v>-317.34318574869985</v>
      </c>
      <c r="AM7" s="2">
        <f t="shared" si="10"/>
        <v>302552.46847108856</v>
      </c>
      <c r="AN7" s="2">
        <f t="shared" si="11"/>
        <v>-78368.89223404268</v>
      </c>
      <c r="AO7" s="2">
        <f t="shared" si="12"/>
        <v>2375</v>
      </c>
    </row>
    <row r="8" spans="2:41" x14ac:dyDescent="0.2">
      <c r="B8" s="6" t="s">
        <v>91</v>
      </c>
      <c r="C8" s="16">
        <v>2.2881415795559699</v>
      </c>
      <c r="D8" s="6" t="s">
        <v>8</v>
      </c>
      <c r="F8" t="s">
        <v>93</v>
      </c>
      <c r="G8" s="6">
        <f>G10/$C$21</f>
        <v>39.966284943219016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3.3084787619659051E-2</v>
      </c>
      <c r="X8" s="2">
        <f t="shared" si="8"/>
        <v>1</v>
      </c>
      <c r="Y8" s="2">
        <f t="shared" si="1"/>
        <v>-3.0628334482765029E-2</v>
      </c>
      <c r="Z8" s="2">
        <f t="shared" si="3"/>
        <v>0.96875</v>
      </c>
      <c r="AA8" s="2">
        <f t="shared" si="2"/>
        <v>1.2088751550022314E-3</v>
      </c>
      <c r="AB8" s="2">
        <f t="shared" si="4"/>
        <v>3.9995377761931239E-5</v>
      </c>
      <c r="AC8" s="2">
        <f t="shared" si="5"/>
        <v>-3.7025832595312761E-5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-317.34318574869985</v>
      </c>
      <c r="AI8" s="2">
        <f t="shared" si="14"/>
        <v>2875</v>
      </c>
      <c r="AJ8" s="2">
        <v>246.9531275711779</v>
      </c>
      <c r="AK8" s="2">
        <f t="shared" si="9"/>
        <v>2281.25</v>
      </c>
      <c r="AL8" s="2">
        <v>-23.604213820024597</v>
      </c>
      <c r="AM8" s="2">
        <f t="shared" si="10"/>
        <v>7490.6364107400941</v>
      </c>
      <c r="AN8" s="2">
        <f t="shared" si="11"/>
        <v>-5829.1344267138948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7.2906246179060714</v>
      </c>
      <c r="H9" s="6" t="s">
        <v>172</v>
      </c>
      <c r="J9" s="27" t="s">
        <v>22</v>
      </c>
      <c r="K9" s="27"/>
      <c r="L9" s="27"/>
      <c r="N9" s="6" t="s">
        <v>114</v>
      </c>
      <c r="O9" s="6">
        <f xml:space="preserve"> $O$8/$C$12 + $O$7</f>
        <v>1.9820614429894905E-2</v>
      </c>
      <c r="U9" s="2">
        <v>5</v>
      </c>
      <c r="V9" s="2">
        <f t="shared" si="7"/>
        <v>0.96875</v>
      </c>
      <c r="W9" s="2">
        <f t="shared" si="0"/>
        <v>1.2088751550022314E-3</v>
      </c>
      <c r="X9" s="2">
        <f t="shared" si="8"/>
        <v>1</v>
      </c>
      <c r="Y9" s="2">
        <f t="shared" si="1"/>
        <v>-3.0628334482765029E-2</v>
      </c>
      <c r="Z9" s="2">
        <f t="shared" si="3"/>
        <v>0.984375</v>
      </c>
      <c r="AA9" s="2">
        <f t="shared" si="2"/>
        <v>-1.4714340459108133E-2</v>
      </c>
      <c r="AB9" s="2">
        <f t="shared" si="4"/>
        <v>-1.7787800603259948E-5</v>
      </c>
      <c r="AC9" s="2">
        <f t="shared" si="5"/>
        <v>4.5067574127484624E-4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-23.604213820024597</v>
      </c>
      <c r="AI9" s="2">
        <f t="shared" si="14"/>
        <v>2875</v>
      </c>
      <c r="AJ9" s="2">
        <v>246.9531275711779</v>
      </c>
      <c r="AK9" s="2">
        <f t="shared" si="9"/>
        <v>2578.125</v>
      </c>
      <c r="AL9" s="2">
        <v>114.6701515185232</v>
      </c>
      <c r="AM9" s="2">
        <f t="shared" si="10"/>
        <v>-2706.6987752178397</v>
      </c>
      <c r="AN9" s="2">
        <f t="shared" si="11"/>
        <v>28318.152556560159</v>
      </c>
      <c r="AO9" s="2">
        <f t="shared" si="12"/>
        <v>593.75</v>
      </c>
    </row>
    <row r="10" spans="2:41" x14ac:dyDescent="0.2">
      <c r="B10" s="6" t="s">
        <v>134</v>
      </c>
      <c r="C10" s="16">
        <v>1.6232684383795399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319.73027954575213</v>
      </c>
      <c r="H10" s="22" t="s">
        <v>97</v>
      </c>
      <c r="J10" s="6" t="s">
        <v>92</v>
      </c>
      <c r="K10" s="6">
        <f xml:space="preserve"> $C$18 * (G10*G6 + G20*G13 + G29*G25 + G33*G32)/3600</f>
        <v>104.16745980762769</v>
      </c>
      <c r="L10" s="6" t="s">
        <v>98</v>
      </c>
      <c r="N10" s="6" t="s">
        <v>39</v>
      </c>
      <c r="O10" s="6">
        <f xml:space="preserve"> O5 * $C$12 * O9</f>
        <v>1149.8195027540614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1.2088751550022314E-3</v>
      </c>
      <c r="X10" s="2">
        <f t="shared" si="8"/>
        <v>0.984375</v>
      </c>
      <c r="Y10" s="2">
        <f t="shared" si="1"/>
        <v>-1.4714340459108133E-2</v>
      </c>
      <c r="Z10" s="2">
        <f t="shared" si="3"/>
        <v>0.9765625</v>
      </c>
      <c r="AA10" s="2">
        <f t="shared" si="2"/>
        <v>-6.753912618480129E-3</v>
      </c>
      <c r="AB10" s="2">
        <f t="shared" si="4"/>
        <v>-8.1646371635366927E-6</v>
      </c>
      <c r="AC10" s="2">
        <f t="shared" si="5"/>
        <v>9.9379369699383112E-5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-23.604213820024597</v>
      </c>
      <c r="AI10" s="2">
        <f t="shared" si="14"/>
        <v>2578.125</v>
      </c>
      <c r="AJ10" s="2">
        <v>114.6701515185232</v>
      </c>
      <c r="AK10" s="2">
        <f t="shared" si="9"/>
        <v>2429.6875</v>
      </c>
      <c r="AL10" s="2">
        <v>46.272853668227071</v>
      </c>
      <c r="AM10" s="2">
        <f t="shared" si="10"/>
        <v>-1092.2343320475413</v>
      </c>
      <c r="AN10" s="2">
        <f t="shared" si="11"/>
        <v>5306.1151413300504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0.7427211430972519</v>
      </c>
      <c r="U11" s="2">
        <v>7</v>
      </c>
      <c r="V11" s="2">
        <f t="shared" si="7"/>
        <v>0.96875</v>
      </c>
      <c r="W11" s="2">
        <f t="shared" si="0"/>
        <v>1.2088751550022314E-3</v>
      </c>
      <c r="X11" s="2">
        <f t="shared" si="8"/>
        <v>0.9765625</v>
      </c>
      <c r="Y11" s="2">
        <f t="shared" si="1"/>
        <v>-6.753912618480129E-3</v>
      </c>
      <c r="Z11" s="2">
        <f t="shared" si="3"/>
        <v>0.97265625</v>
      </c>
      <c r="AA11" s="2">
        <f t="shared" si="2"/>
        <v>-2.7728172258822958E-3</v>
      </c>
      <c r="AB11" s="2">
        <f t="shared" si="4"/>
        <v>-3.3519898537313179E-6</v>
      </c>
      <c r="AC11" s="2">
        <f t="shared" si="5"/>
        <v>1.8727365250625503E-5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-23.604213820024597</v>
      </c>
      <c r="AI11" s="2">
        <f t="shared" si="14"/>
        <v>2429.6875</v>
      </c>
      <c r="AJ11" s="2">
        <v>46.272853668227071</v>
      </c>
      <c r="AK11" s="2">
        <f t="shared" si="9"/>
        <v>2355.46875</v>
      </c>
      <c r="AL11" s="2">
        <v>11.517946922019291</v>
      </c>
      <c r="AM11" s="2">
        <f t="shared" si="10"/>
        <v>-271.87208191503754</v>
      </c>
      <c r="AN11" s="2">
        <f t="shared" si="11"/>
        <v>532.9682724810051</v>
      </c>
      <c r="AO11" s="2">
        <f t="shared" si="12"/>
        <v>148.4375</v>
      </c>
    </row>
    <row r="12" spans="2:41" x14ac:dyDescent="0.2">
      <c r="B12" s="6" t="s">
        <v>135</v>
      </c>
      <c r="C12" s="16">
        <v>25.5842209979023</v>
      </c>
      <c r="D12" s="6" t="s">
        <v>11</v>
      </c>
      <c r="F12" s="28" t="s">
        <v>82</v>
      </c>
      <c r="G12" s="29"/>
      <c r="H12" s="29"/>
      <c r="N12" s="6" t="s">
        <v>138</v>
      </c>
      <c r="O12" s="6">
        <f xml:space="preserve"> O4 / (O5 * $C$12)</f>
        <v>0.39380983569506062</v>
      </c>
      <c r="U12" s="2">
        <v>8</v>
      </c>
      <c r="V12" s="2">
        <f t="shared" si="7"/>
        <v>0.96875</v>
      </c>
      <c r="W12" s="2">
        <f t="shared" si="0"/>
        <v>1.2088751550022314E-3</v>
      </c>
      <c r="X12" s="2">
        <f t="shared" si="8"/>
        <v>0.97265625</v>
      </c>
      <c r="Y12" s="2">
        <f t="shared" si="1"/>
        <v>-2.7728172258822958E-3</v>
      </c>
      <c r="Z12" s="2">
        <f t="shared" si="3"/>
        <v>0.970703125</v>
      </c>
      <c r="AA12" s="2">
        <f t="shared" si="2"/>
        <v>-7.8204610284671183E-4</v>
      </c>
      <c r="AB12" s="2">
        <f t="shared" si="4"/>
        <v>-9.4539610379770983E-7</v>
      </c>
      <c r="AC12" s="2">
        <f t="shared" si="5"/>
        <v>2.1684709054074803E-6</v>
      </c>
      <c r="AD12" s="2">
        <f t="shared" si="6"/>
        <v>3.90625E-3</v>
      </c>
      <c r="AF12" s="2">
        <v>8</v>
      </c>
      <c r="AG12" s="2">
        <f t="shared" si="13"/>
        <v>2281.25</v>
      </c>
      <c r="AH12" s="2">
        <v>-23.604213820024597</v>
      </c>
      <c r="AI12" s="2">
        <f t="shared" si="14"/>
        <v>2355.46875</v>
      </c>
      <c r="AJ12" s="2">
        <v>11.517946922019291</v>
      </c>
      <c r="AK12" s="2">
        <f t="shared" si="9"/>
        <v>2318.359375</v>
      </c>
      <c r="AL12" s="2">
        <v>-5.9974108474625609</v>
      </c>
      <c r="AM12" s="2">
        <f t="shared" si="10"/>
        <v>141.56416801004121</v>
      </c>
      <c r="AN12" s="2">
        <f t="shared" si="11"/>
        <v>-69.077859810616516</v>
      </c>
      <c r="AO12" s="2">
        <f t="shared" si="12"/>
        <v>74.21875</v>
      </c>
    </row>
    <row r="13" spans="2:41" x14ac:dyDescent="0.2">
      <c r="B13" s="6" t="s">
        <v>136</v>
      </c>
      <c r="C13" s="16">
        <v>10.5375491313563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2.6128122939669166E-2</v>
      </c>
      <c r="U13" s="2">
        <v>9</v>
      </c>
      <c r="V13" s="2">
        <f t="shared" si="7"/>
        <v>0.96875</v>
      </c>
      <c r="W13" s="2">
        <f t="shared" si="0"/>
        <v>1.2088751550022314E-3</v>
      </c>
      <c r="X13" s="2">
        <f t="shared" si="8"/>
        <v>0.970703125</v>
      </c>
      <c r="Y13" s="2">
        <f t="shared" si="1"/>
        <v>-7.8204610284671183E-4</v>
      </c>
      <c r="Z13" s="2">
        <f t="shared" si="3"/>
        <v>0.9697265625</v>
      </c>
      <c r="AA13" s="2">
        <f t="shared" si="2"/>
        <v>2.1339570335821012E-4</v>
      </c>
      <c r="AB13" s="2">
        <f t="shared" si="4"/>
        <v>2.5796876397396643E-7</v>
      </c>
      <c r="AC13" s="2">
        <f t="shared" si="5"/>
        <v>-1.6688527817552119E-7</v>
      </c>
      <c r="AD13" s="2">
        <f t="shared" si="6"/>
        <v>1.953125E-3</v>
      </c>
      <c r="AF13" s="2">
        <v>9</v>
      </c>
      <c r="AG13" s="2">
        <f t="shared" si="13"/>
        <v>2318.359375</v>
      </c>
      <c r="AH13" s="2">
        <v>-5.9974108474625609</v>
      </c>
      <c r="AI13" s="2">
        <f t="shared" si="14"/>
        <v>2355.46875</v>
      </c>
      <c r="AJ13" s="2">
        <v>11.517946922019291</v>
      </c>
      <c r="AK13" s="2">
        <f t="shared" si="9"/>
        <v>2336.9140625</v>
      </c>
      <c r="AL13" s="2">
        <v>2.7717227580383224</v>
      </c>
      <c r="AM13" s="2">
        <f t="shared" si="10"/>
        <v>-16.62316013521788</v>
      </c>
      <c r="AN13" s="2">
        <f t="shared" si="11"/>
        <v>31.924555609638315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70.240067775333884</v>
      </c>
      <c r="H14" s="6" t="s">
        <v>10</v>
      </c>
      <c r="J14" s="9" t="s">
        <v>75</v>
      </c>
      <c r="K14" s="17">
        <f>C5</f>
        <v>2331.0334471462502</v>
      </c>
      <c r="L14" s="6" t="s">
        <v>7</v>
      </c>
      <c r="N14" s="6" t="s">
        <v>40</v>
      </c>
      <c r="O14" s="6">
        <f xml:space="preserve"> O5 * O13 * $C$12</f>
        <v>1515.7262370774388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2.1339570335821012E-4</v>
      </c>
      <c r="X14" s="2">
        <f t="shared" si="8"/>
        <v>0.970703125</v>
      </c>
      <c r="Y14" s="2">
        <f t="shared" si="1"/>
        <v>-7.8204610284671183E-4</v>
      </c>
      <c r="Z14" s="2">
        <f t="shared" si="3"/>
        <v>0.97021484375</v>
      </c>
      <c r="AA14" s="2">
        <f t="shared" si="2"/>
        <v>-2.8432989842341883E-4</v>
      </c>
      <c r="AB14" s="2">
        <f t="shared" si="4"/>
        <v>-6.0674778659833896E-8</v>
      </c>
      <c r="AC14" s="2">
        <f t="shared" si="5"/>
        <v>2.2235908898483612E-7</v>
      </c>
      <c r="AD14" s="2">
        <f t="shared" si="6"/>
        <v>9.765625E-4</v>
      </c>
      <c r="AF14" s="2">
        <v>10</v>
      </c>
      <c r="AG14" s="2">
        <f t="shared" si="13"/>
        <v>2318.359375</v>
      </c>
      <c r="AH14" s="2">
        <v>-5.9974108474625609</v>
      </c>
      <c r="AI14" s="2">
        <f t="shared" si="14"/>
        <v>2336.9140625</v>
      </c>
      <c r="AJ14" s="2">
        <v>2.7717227580383224</v>
      </c>
      <c r="AK14" s="2">
        <f t="shared" si="9"/>
        <v>2327.63671875</v>
      </c>
      <c r="AL14" s="2">
        <v>-1.6099835019374495</v>
      </c>
      <c r="AM14" s="2">
        <f t="shared" si="10"/>
        <v>9.6557325187554213</v>
      </c>
      <c r="AN14" s="2">
        <f t="shared" si="11"/>
        <v>-4.4624279123862642</v>
      </c>
      <c r="AO14" s="2">
        <f t="shared" si="12"/>
        <v>18.5546875</v>
      </c>
    </row>
    <row r="15" spans="2:41" x14ac:dyDescent="0.2">
      <c r="B15" s="27" t="s">
        <v>12</v>
      </c>
      <c r="C15" s="27"/>
      <c r="D15" s="27"/>
      <c r="F15" s="6" t="s">
        <v>143</v>
      </c>
      <c r="G15" s="6">
        <f>G14/$C$73</f>
        <v>0.21110753150900197</v>
      </c>
      <c r="H15" s="6" t="s">
        <v>120</v>
      </c>
      <c r="J15" s="10" t="s">
        <v>53</v>
      </c>
      <c r="K15" s="6">
        <f xml:space="preserve"> 1000 * K10 / ($C$60 * $C$61 * $C$62)</f>
        <v>612.74976357428056</v>
      </c>
      <c r="L15" s="6" t="s">
        <v>7</v>
      </c>
      <c r="N15" s="6" t="s">
        <v>140</v>
      </c>
      <c r="O15" s="6">
        <f>O4/O14</f>
        <v>15.072258983333114</v>
      </c>
      <c r="U15" s="2">
        <v>11</v>
      </c>
      <c r="V15" s="2">
        <f t="shared" si="7"/>
        <v>0.9697265625</v>
      </c>
      <c r="W15" s="2">
        <f t="shared" si="0"/>
        <v>2.1339570335821012E-4</v>
      </c>
      <c r="X15" s="2">
        <f t="shared" si="8"/>
        <v>0.97021484375</v>
      </c>
      <c r="Y15" s="2">
        <f t="shared" si="1"/>
        <v>-2.8432989842341883E-4</v>
      </c>
      <c r="Z15" s="2">
        <f t="shared" si="3"/>
        <v>0.969970703125</v>
      </c>
      <c r="AA15" s="2">
        <f t="shared" si="2"/>
        <v>-3.5468273076322276E-5</v>
      </c>
      <c r="AB15" s="2">
        <f t="shared" si="4"/>
        <v>-7.5687770800228585E-9</v>
      </c>
      <c r="AC15" s="2">
        <f t="shared" si="5"/>
        <v>1.0084690481044794E-8</v>
      </c>
      <c r="AD15" s="2">
        <f t="shared" si="6"/>
        <v>4.8828125E-4</v>
      </c>
      <c r="AF15" s="2">
        <v>11</v>
      </c>
      <c r="AG15" s="2">
        <f t="shared" si="13"/>
        <v>2327.63671875</v>
      </c>
      <c r="AH15" s="2">
        <v>-1.6099835019374495</v>
      </c>
      <c r="AI15" s="2">
        <f t="shared" si="14"/>
        <v>2336.9140625</v>
      </c>
      <c r="AJ15" s="2">
        <v>2.7717227580383224</v>
      </c>
      <c r="AK15" s="2">
        <f t="shared" si="9"/>
        <v>2332.275390625</v>
      </c>
      <c r="AL15" s="2">
        <v>0.58158506516815578</v>
      </c>
      <c r="AM15" s="2">
        <f t="shared" si="10"/>
        <v>-0.93634235989394721</v>
      </c>
      <c r="AN15" s="2">
        <f t="shared" si="11"/>
        <v>1.6119925608617782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1515.7262370774388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171.28330829239792</v>
      </c>
      <c r="L16" s="6" t="s">
        <v>7</v>
      </c>
      <c r="N16" s="6" t="s">
        <v>111</v>
      </c>
      <c r="O16" s="6">
        <f>(O13*$C$12)/(0.3048^2)/($C$5*2.20462/1000)^(2/3)</f>
        <v>2.4161783286696661</v>
      </c>
      <c r="U16" s="2">
        <v>12</v>
      </c>
      <c r="V16" s="2">
        <f t="shared" si="7"/>
        <v>0.9697265625</v>
      </c>
      <c r="W16" s="2">
        <f t="shared" si="0"/>
        <v>2.1339570335821012E-4</v>
      </c>
      <c r="X16" s="2">
        <f t="shared" si="8"/>
        <v>0.969970703125</v>
      </c>
      <c r="Y16" s="2">
        <f t="shared" si="1"/>
        <v>-3.5468273076322276E-5</v>
      </c>
      <c r="Z16" s="2">
        <f t="shared" si="3"/>
        <v>0.9698486328125</v>
      </c>
      <c r="AA16" s="2">
        <f t="shared" si="2"/>
        <v>8.896342114561584E-5</v>
      </c>
      <c r="AB16" s="2">
        <f t="shared" si="4"/>
        <v>1.8984411828521355E-8</v>
      </c>
      <c r="AC16" s="2">
        <f t="shared" si="5"/>
        <v>-3.1553789149965661E-9</v>
      </c>
      <c r="AD16" s="2">
        <f t="shared" si="6"/>
        <v>2.44140625E-4</v>
      </c>
      <c r="AF16" s="2">
        <v>12</v>
      </c>
      <c r="AG16" s="2">
        <f t="shared" si="13"/>
        <v>2327.63671875</v>
      </c>
      <c r="AH16" s="2">
        <v>-1.6099835019374495</v>
      </c>
      <c r="AI16" s="2">
        <f t="shared" si="14"/>
        <v>2332.275390625</v>
      </c>
      <c r="AJ16" s="2">
        <v>0.58158506516815578</v>
      </c>
      <c r="AK16" s="2">
        <f t="shared" si="9"/>
        <v>2329.9560546875</v>
      </c>
      <c r="AL16" s="2">
        <v>-0.51402047319447774</v>
      </c>
      <c r="AM16" s="2">
        <f t="shared" si="10"/>
        <v>0.82756448150119022</v>
      </c>
      <c r="AN16" s="2">
        <f t="shared" si="11"/>
        <v>-0.29894663040057662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106.42501067967241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0.9698486328125</v>
      </c>
      <c r="W17" s="2">
        <f t="shared" si="0"/>
        <v>8.896342114561584E-5</v>
      </c>
      <c r="X17" s="2">
        <f t="shared" si="8"/>
        <v>0.969970703125</v>
      </c>
      <c r="Y17" s="2">
        <f t="shared" si="1"/>
        <v>-3.5468273076322276E-5</v>
      </c>
      <c r="Z17" s="2">
        <f t="shared" si="3"/>
        <v>0.96990966796875</v>
      </c>
      <c r="AA17" s="2">
        <f t="shared" si="2"/>
        <v>2.6747500549539893E-5</v>
      </c>
      <c r="AB17" s="2">
        <f t="shared" si="4"/>
        <v>2.3795491559813085E-9</v>
      </c>
      <c r="AC17" s="2">
        <f t="shared" si="5"/>
        <v>-9.4868765360016117E-10</v>
      </c>
      <c r="AD17" s="2">
        <f t="shared" si="6"/>
        <v>1.220703125E-4</v>
      </c>
      <c r="AF17" s="2">
        <v>13</v>
      </c>
      <c r="AG17" s="2">
        <f t="shared" si="13"/>
        <v>2329.9560546875</v>
      </c>
      <c r="AH17" s="2">
        <v>-0.51402047319447774</v>
      </c>
      <c r="AI17" s="2">
        <f t="shared" si="14"/>
        <v>2332.275390625</v>
      </c>
      <c r="AJ17" s="2">
        <v>0.58158506516815578</v>
      </c>
      <c r="AK17" s="2">
        <f t="shared" si="9"/>
        <v>2331.11572265625</v>
      </c>
      <c r="AL17" s="2">
        <v>3.3826919897819607E-2</v>
      </c>
      <c r="AM17" s="2">
        <f t="shared" si="10"/>
        <v>-1.738772937258893E-2</v>
      </c>
      <c r="AN17" s="2">
        <f t="shared" si="11"/>
        <v>1.9673231413211402E-2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1.4532035655487887</v>
      </c>
      <c r="H18" s="6" t="s">
        <v>172</v>
      </c>
      <c r="J18" s="12" t="s">
        <v>54</v>
      </c>
      <c r="K18" s="6">
        <f xml:space="preserve"> $C$78 * (0.2138 * K4 + 0.2138 * K6)</f>
        <v>109.33440126023491</v>
      </c>
      <c r="L18" s="6" t="s">
        <v>7</v>
      </c>
      <c r="N18" s="28" t="s">
        <v>141</v>
      </c>
      <c r="O18" s="31"/>
      <c r="P18" s="31"/>
      <c r="U18" s="2">
        <v>14</v>
      </c>
      <c r="V18" s="2">
        <f t="shared" si="7"/>
        <v>0.96990966796875</v>
      </c>
      <c r="W18" s="2">
        <f t="shared" si="0"/>
        <v>2.6747500549539893E-5</v>
      </c>
      <c r="X18" s="2">
        <f t="shared" si="8"/>
        <v>0.969970703125</v>
      </c>
      <c r="Y18" s="2">
        <f t="shared" si="1"/>
        <v>-3.5468273076322276E-5</v>
      </c>
      <c r="Z18" s="2">
        <f t="shared" si="3"/>
        <v>0.969940185546875</v>
      </c>
      <c r="AA18" s="2">
        <f t="shared" si="2"/>
        <v>-4.3604046330303348E-6</v>
      </c>
      <c r="AB18" s="2">
        <f t="shared" si="4"/>
        <v>-1.1662992531819518E-10</v>
      </c>
      <c r="AC18" s="2">
        <f t="shared" si="5"/>
        <v>1.5465602224758074E-10</v>
      </c>
      <c r="AD18" s="2">
        <f t="shared" si="6"/>
        <v>6.103515625E-5</v>
      </c>
      <c r="AF18" s="2">
        <v>14</v>
      </c>
      <c r="AG18" s="2">
        <f t="shared" si="13"/>
        <v>2329.9560546875</v>
      </c>
      <c r="AH18" s="2">
        <v>-0.51402047319447774</v>
      </c>
      <c r="AI18" s="2">
        <f t="shared" si="14"/>
        <v>2331.11572265625</v>
      </c>
      <c r="AJ18" s="2">
        <v>3.3826919897819607E-2</v>
      </c>
      <c r="AK18" s="2">
        <f t="shared" si="9"/>
        <v>2330.535888671875</v>
      </c>
      <c r="AL18" s="2">
        <v>-0.24008548513461392</v>
      </c>
      <c r="AM18" s="2">
        <f t="shared" si="10"/>
        <v>0.12340885467602</v>
      </c>
      <c r="AN18" s="2">
        <f t="shared" si="11"/>
        <v>-8.1213524742777456E-3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4.3292743779960036E-2</v>
      </c>
      <c r="J19" s="12" t="s">
        <v>73</v>
      </c>
      <c r="K19" s="6">
        <f xml:space="preserve"> $C$78 * (0.1149 * K4 + 0.1149 * K6)</f>
        <v>58.758291416281537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0.96990966796875</v>
      </c>
      <c r="W19" s="2">
        <f t="shared" si="0"/>
        <v>2.6747500549539893E-5</v>
      </c>
      <c r="X19" s="2">
        <f t="shared" si="8"/>
        <v>0.969940185546875</v>
      </c>
      <c r="Y19" s="2">
        <f t="shared" si="1"/>
        <v>-4.3604046330303348E-6</v>
      </c>
      <c r="Z19" s="2">
        <f t="shared" si="3"/>
        <v>0.9699249267578125</v>
      </c>
      <c r="AA19" s="2">
        <f t="shared" si="2"/>
        <v>1.1193543365650704E-5</v>
      </c>
      <c r="AB19" s="2">
        <f t="shared" si="4"/>
        <v>2.9939930732404083E-10</v>
      </c>
      <c r="AC19" s="2">
        <f t="shared" si="5"/>
        <v>-4.8808378351609299E-11</v>
      </c>
      <c r="AD19" s="2">
        <f t="shared" si="6"/>
        <v>3.0517578125E-5</v>
      </c>
      <c r="AF19" s="2">
        <v>15</v>
      </c>
      <c r="AG19" s="2">
        <f t="shared" si="13"/>
        <v>2330.535888671875</v>
      </c>
      <c r="AH19" s="2">
        <v>-0.24008548513461392</v>
      </c>
      <c r="AI19" s="2">
        <f t="shared" si="14"/>
        <v>2331.11572265625</v>
      </c>
      <c r="AJ19" s="2">
        <v>3.3826919897819607E-2</v>
      </c>
      <c r="AK19" s="2">
        <f t="shared" si="9"/>
        <v>2330.8258056640625</v>
      </c>
      <c r="AL19" s="2">
        <v>-0.10312625526103147</v>
      </c>
      <c r="AM19" s="2">
        <f t="shared" si="10"/>
        <v>2.4759117024460771E-2</v>
      </c>
      <c r="AN19" s="2">
        <f t="shared" si="11"/>
        <v>-3.4884435760770094E-3</v>
      </c>
      <c r="AO19" s="2">
        <f t="shared" si="12"/>
        <v>0.579833984375</v>
      </c>
    </row>
    <row r="20" spans="2:41" x14ac:dyDescent="0.2">
      <c r="B20" s="27" t="s">
        <v>108</v>
      </c>
      <c r="C20" s="27"/>
      <c r="D20" s="27"/>
      <c r="F20" s="23" t="s">
        <v>128</v>
      </c>
      <c r="G20" s="22">
        <f xml:space="preserve"> $C$28 * G17</f>
        <v>106.42501067967241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216.70678810944392</v>
      </c>
      <c r="L20" s="6" t="s">
        <v>7</v>
      </c>
      <c r="N20" s="6" t="s">
        <v>20</v>
      </c>
      <c r="O20" s="6">
        <f xml:space="preserve"> O14 / $C$28</f>
        <v>1515.7262370774388</v>
      </c>
      <c r="P20" s="6" t="s">
        <v>21</v>
      </c>
      <c r="U20" s="2">
        <v>16</v>
      </c>
      <c r="V20" s="2">
        <f t="shared" si="7"/>
        <v>0.9699249267578125</v>
      </c>
      <c r="W20" s="2">
        <f t="shared" si="0"/>
        <v>1.1193543365650704E-5</v>
      </c>
      <c r="X20" s="2">
        <f t="shared" si="8"/>
        <v>0.969940185546875</v>
      </c>
      <c r="Y20" s="2">
        <f t="shared" si="1"/>
        <v>-4.3604046330303348E-6</v>
      </c>
      <c r="Z20" s="2">
        <f t="shared" si="3"/>
        <v>0.96993255615234375</v>
      </c>
      <c r="AA20" s="2">
        <f t="shared" si="2"/>
        <v>3.4165682182285551E-6</v>
      </c>
      <c r="AB20" s="2">
        <f t="shared" si="4"/>
        <v>3.8243504512445293E-11</v>
      </c>
      <c r="AC20" s="2">
        <f t="shared" si="5"/>
        <v>-1.4897619887827986E-11</v>
      </c>
      <c r="AD20" s="2">
        <f t="shared" si="6"/>
        <v>1.52587890625E-5</v>
      </c>
      <c r="AF20" s="2">
        <v>16</v>
      </c>
      <c r="AG20" s="2">
        <f t="shared" si="13"/>
        <v>2330.8258056640625</v>
      </c>
      <c r="AH20" s="2">
        <v>-0.10312625526103147</v>
      </c>
      <c r="AI20" s="2">
        <f t="shared" si="14"/>
        <v>2331.11572265625</v>
      </c>
      <c r="AJ20" s="2">
        <v>3.3826919897819607E-2</v>
      </c>
      <c r="AK20" s="2">
        <f t="shared" si="9"/>
        <v>2330.9707641601562</v>
      </c>
      <c r="AL20" s="2">
        <v>-3.4648978955601706E-2</v>
      </c>
      <c r="AM20" s="2">
        <f t="shared" si="10"/>
        <v>3.5732194483094892E-3</v>
      </c>
      <c r="AN20" s="2">
        <f t="shared" si="11"/>
        <v>-1.1720682356723762E-3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60.60686962580251</v>
      </c>
      <c r="L21" s="6" t="s">
        <v>7</v>
      </c>
      <c r="N21" s="6" t="s">
        <v>27</v>
      </c>
      <c r="O21" s="6">
        <f>$C$6*2*PI()/60</f>
        <v>43.270765398144768</v>
      </c>
      <c r="P21" s="6" t="s">
        <v>28</v>
      </c>
      <c r="U21" s="2">
        <v>17</v>
      </c>
      <c r="V21" s="2">
        <f t="shared" si="7"/>
        <v>0.96993255615234375</v>
      </c>
      <c r="W21" s="2">
        <f t="shared" si="0"/>
        <v>3.4165682182285551E-6</v>
      </c>
      <c r="X21" s="2">
        <f t="shared" si="8"/>
        <v>0.969940185546875</v>
      </c>
      <c r="Y21" s="2">
        <f t="shared" si="1"/>
        <v>-4.3604046330303348E-6</v>
      </c>
      <c r="Z21" s="2">
        <f t="shared" si="3"/>
        <v>0.96993637084960938</v>
      </c>
      <c r="AA21" s="2">
        <f t="shared" si="2"/>
        <v>-4.7191849439354172E-7</v>
      </c>
      <c r="AB21" s="2">
        <f t="shared" si="4"/>
        <v>-1.6123417295392453E-12</v>
      </c>
      <c r="AC21" s="2">
        <f t="shared" si="5"/>
        <v>2.0577555893662994E-12</v>
      </c>
      <c r="AD21" s="2">
        <f t="shared" si="6"/>
        <v>7.62939453125E-6</v>
      </c>
      <c r="AF21" s="2">
        <v>17</v>
      </c>
      <c r="AG21" s="2">
        <f t="shared" si="13"/>
        <v>2330.9707641601562</v>
      </c>
      <c r="AH21" s="2">
        <v>-3.4648978955601706E-2</v>
      </c>
      <c r="AI21" s="2">
        <f t="shared" si="14"/>
        <v>2331.11572265625</v>
      </c>
      <c r="AJ21" s="2">
        <v>3.3826919897819607E-2</v>
      </c>
      <c r="AK21" s="2">
        <f t="shared" si="9"/>
        <v>2331.0432434082031</v>
      </c>
      <c r="AL21" s="2">
        <v>-4.1085734619628056E-4</v>
      </c>
      <c r="AM21" s="2">
        <f t="shared" si="10"/>
        <v>1.423578754210929E-5</v>
      </c>
      <c r="AN21" s="2">
        <f t="shared" si="11"/>
        <v>-1.3898038539212321E-5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7" t="s">
        <v>77</v>
      </c>
      <c r="G22" s="27"/>
      <c r="H22" s="27"/>
      <c r="J22" s="13" t="s">
        <v>144</v>
      </c>
      <c r="K22" s="6">
        <f xml:space="preserve"> $C$79 * (0.04674 * ($C$5*2.20462)^0.397 * ($C$12*3.28084^2)^0.36 * $C$46^0.397 * $C$13^1.712 * 0.453592)</f>
        <v>332.19333656896953</v>
      </c>
      <c r="L22" s="6" t="s">
        <v>7</v>
      </c>
      <c r="N22" s="6" t="s">
        <v>29</v>
      </c>
      <c r="O22" s="6">
        <f xml:space="preserve"> $C$7 * COS(O19/180*PI()) / (O21 * $C$10)</f>
        <v>8.3204866834415553E-2</v>
      </c>
      <c r="U22" s="2">
        <v>18</v>
      </c>
      <c r="V22" s="2">
        <f t="shared" si="7"/>
        <v>0.96993255615234375</v>
      </c>
      <c r="W22" s="2">
        <f t="shared" si="0"/>
        <v>3.4165682182285551E-6</v>
      </c>
      <c r="X22" s="2">
        <f t="shared" si="8"/>
        <v>0.96993637084960938</v>
      </c>
      <c r="Y22" s="2">
        <f t="shared" si="1"/>
        <v>-4.7191849439354172E-7</v>
      </c>
      <c r="Z22" s="2">
        <f t="shared" si="3"/>
        <v>0.96993446350097656</v>
      </c>
      <c r="AA22" s="2">
        <f t="shared" si="2"/>
        <v>1.472324790086077E-6</v>
      </c>
      <c r="AB22" s="2">
        <f t="shared" si="4"/>
        <v>5.0302980847181195E-12</v>
      </c>
      <c r="AC22" s="2">
        <f t="shared" si="5"/>
        <v>-6.9481729819570877E-13</v>
      </c>
      <c r="AD22" s="2">
        <f t="shared" si="6"/>
        <v>3.814697265625E-6</v>
      </c>
      <c r="AF22" s="2">
        <v>18</v>
      </c>
      <c r="AG22" s="2">
        <f t="shared" si="13"/>
        <v>2331.0432434082031</v>
      </c>
      <c r="AH22" s="2">
        <v>-4.1085734619628056E-4</v>
      </c>
      <c r="AI22" s="2">
        <f t="shared" si="14"/>
        <v>2331.11572265625</v>
      </c>
      <c r="AJ22" s="2">
        <v>3.3826919897819607E-2</v>
      </c>
      <c r="AK22" s="2">
        <f t="shared" si="9"/>
        <v>2331.0794830322266</v>
      </c>
      <c r="AL22" s="2">
        <v>1.6708346848872679E-2</v>
      </c>
      <c r="AM22" s="2">
        <f t="shared" si="10"/>
        <v>-6.8647470456548157E-6</v>
      </c>
      <c r="AN22" s="2">
        <f t="shared" si="11"/>
        <v>5.6519191048180273E-4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26.129366691520865</v>
      </c>
      <c r="L23" s="6" t="s">
        <v>7</v>
      </c>
      <c r="N23" s="6" t="s">
        <v>30</v>
      </c>
      <c r="O23" s="6">
        <f xml:space="preserve"> O20 / ( $C$71 * PI() * $C$10^2 * O21^2 * $C$10^2)</f>
        <v>3.6798091434142408E-2</v>
      </c>
      <c r="U23" s="2">
        <v>19</v>
      </c>
      <c r="V23" s="2">
        <f t="shared" si="7"/>
        <v>0.96993446350097656</v>
      </c>
      <c r="W23" s="2">
        <f t="shared" si="0"/>
        <v>1.472324790086077E-6</v>
      </c>
      <c r="X23" s="2">
        <f t="shared" si="8"/>
        <v>0.96993637084960938</v>
      </c>
      <c r="Y23" s="2">
        <f t="shared" si="1"/>
        <v>-4.7191849439354172E-7</v>
      </c>
      <c r="Z23" s="2">
        <f t="shared" si="3"/>
        <v>0.96993541717529297</v>
      </c>
      <c r="AA23" s="2">
        <f t="shared" si="2"/>
        <v>5.0020312991616578E-7</v>
      </c>
      <c r="AB23" s="2">
        <f t="shared" si="4"/>
        <v>7.3646146825421742E-13</v>
      </c>
      <c r="AC23" s="2">
        <f t="shared" si="5"/>
        <v>-2.3605510796097408E-13</v>
      </c>
      <c r="AD23" s="2">
        <f t="shared" si="6"/>
        <v>1.9073486328125E-6</v>
      </c>
      <c r="AF23" s="2">
        <v>19</v>
      </c>
      <c r="AG23" s="2">
        <f t="shared" si="13"/>
        <v>2331.0432434082031</v>
      </c>
      <c r="AH23" s="2">
        <v>-4.1085734619628056E-4</v>
      </c>
      <c r="AI23" s="2">
        <f t="shared" si="14"/>
        <v>2331.0794830322266</v>
      </c>
      <c r="AJ23" s="2">
        <v>1.6708346848872679E-2</v>
      </c>
      <c r="AK23" s="2">
        <f t="shared" si="9"/>
        <v>2331.0613632202148</v>
      </c>
      <c r="AL23" s="2">
        <v>8.1484829868259112E-3</v>
      </c>
      <c r="AM23" s="2">
        <f t="shared" si="10"/>
        <v>-3.3478640954928356E-6</v>
      </c>
      <c r="AN23" s="2">
        <f t="shared" si="11"/>
        <v>1.3614768003602536E-4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8.9527271481845858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0.96993541717529297</v>
      </c>
      <c r="W24" s="2">
        <f t="shared" si="0"/>
        <v>5.0020312991616578E-7</v>
      </c>
      <c r="X24" s="2">
        <f t="shared" si="8"/>
        <v>0.96993637084960938</v>
      </c>
      <c r="Y24" s="2">
        <f t="shared" si="1"/>
        <v>-4.7191849439354172E-7</v>
      </c>
      <c r="Z24" s="2">
        <f t="shared" si="3"/>
        <v>0.96993589401245117</v>
      </c>
      <c r="AA24" s="2">
        <f t="shared" si="2"/>
        <v>1.4142313209397628E-8</v>
      </c>
      <c r="AB24" s="2">
        <f t="shared" si="4"/>
        <v>7.074029331595429E-15</v>
      </c>
      <c r="AC24" s="2">
        <f t="shared" si="5"/>
        <v>-6.6740191570208255E-15</v>
      </c>
      <c r="AD24" s="2">
        <f t="shared" si="6"/>
        <v>9.5367431640625E-7</v>
      </c>
      <c r="AF24" s="2">
        <v>20</v>
      </c>
      <c r="AG24" s="2">
        <f t="shared" si="13"/>
        <v>2331.0432434082031</v>
      </c>
      <c r="AH24" s="2">
        <v>-4.1085734619628056E-4</v>
      </c>
      <c r="AI24" s="2">
        <f t="shared" si="14"/>
        <v>2331.0613632202148</v>
      </c>
      <c r="AJ24" s="2">
        <v>8.1484829868259112E-3</v>
      </c>
      <c r="AK24" s="2">
        <f t="shared" si="9"/>
        <v>2331.052303314209</v>
      </c>
      <c r="AL24" s="2">
        <v>3.8690880357989954E-3</v>
      </c>
      <c r="AM24" s="2">
        <f t="shared" si="10"/>
        <v>-1.5896432425881551E-6</v>
      </c>
      <c r="AN24" s="2">
        <f t="shared" si="11"/>
        <v>3.1527198034239796E-5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21.782264797489983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2823.9120332484463</v>
      </c>
      <c r="P25" s="6" t="s">
        <v>19</v>
      </c>
      <c r="U25" s="2">
        <v>21</v>
      </c>
      <c r="V25" s="2">
        <f t="shared" si="7"/>
        <v>0.96993589401245117</v>
      </c>
      <c r="W25" s="2">
        <f t="shared" si="0"/>
        <v>1.4142313209397628E-8</v>
      </c>
      <c r="X25" s="2">
        <f t="shared" si="8"/>
        <v>0.96993637084960938</v>
      </c>
      <c r="Y25" s="2">
        <f t="shared" si="1"/>
        <v>-4.7191849439354172E-7</v>
      </c>
      <c r="Z25" s="2">
        <f t="shared" si="3"/>
        <v>0.96993613243103027</v>
      </c>
      <c r="AA25" s="2">
        <f t="shared" si="2"/>
        <v>-2.2888809170229507E-7</v>
      </c>
      <c r="AB25" s="2">
        <f t="shared" si="4"/>
        <v>-3.2370070827551833E-15</v>
      </c>
      <c r="AC25" s="2">
        <f t="shared" si="5"/>
        <v>1.08016523620758E-13</v>
      </c>
      <c r="AD25" s="2">
        <f t="shared" si="6"/>
        <v>4.76837158203125E-7</v>
      </c>
      <c r="AF25" s="2">
        <v>21</v>
      </c>
      <c r="AG25" s="2">
        <f t="shared" si="13"/>
        <v>2331.0432434082031</v>
      </c>
      <c r="AH25" s="2">
        <v>-4.1085734619628056E-4</v>
      </c>
      <c r="AI25" s="2">
        <f t="shared" si="14"/>
        <v>2331.052303314209</v>
      </c>
      <c r="AJ25" s="2">
        <v>3.8690880357989954E-3</v>
      </c>
      <c r="AK25" s="2">
        <f t="shared" si="9"/>
        <v>2331.0477733612061</v>
      </c>
      <c r="AL25" s="2">
        <v>1.7293885425715416E-3</v>
      </c>
      <c r="AM25" s="2">
        <f t="shared" si="10"/>
        <v>-7.1053198714319696E-7</v>
      </c>
      <c r="AN25" s="2">
        <f t="shared" si="11"/>
        <v>6.6911565193114133E-6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2855.9504751744967</v>
      </c>
      <c r="H26" s="6" t="s">
        <v>21</v>
      </c>
      <c r="J26" s="14" t="s">
        <v>65</v>
      </c>
      <c r="K26" s="6">
        <f xml:space="preserve"> $C$80 * (0.0268 * $C$5)</f>
        <v>49.97735710681561</v>
      </c>
      <c r="L26" s="6" t="s">
        <v>7</v>
      </c>
      <c r="N26" s="6" t="s">
        <v>32</v>
      </c>
      <c r="O26" s="17">
        <f>Z34</f>
        <v>0.9699359075166285</v>
      </c>
      <c r="U26" s="2">
        <v>22</v>
      </c>
      <c r="V26" s="2">
        <f t="shared" si="7"/>
        <v>0.96993589401245117</v>
      </c>
      <c r="W26" s="2">
        <f t="shared" si="0"/>
        <v>1.4142313209397628E-8</v>
      </c>
      <c r="X26" s="2">
        <f t="shared" si="8"/>
        <v>0.96993613243103027</v>
      </c>
      <c r="Y26" s="2">
        <f t="shared" si="1"/>
        <v>-2.2888809170229507E-7</v>
      </c>
      <c r="Z26" s="2">
        <f t="shared" si="3"/>
        <v>0.96993601322174072</v>
      </c>
      <c r="AA26" s="2">
        <f t="shared" si="2"/>
        <v>-1.0737288946849333E-7</v>
      </c>
      <c r="AB26" s="2">
        <f t="shared" si="4"/>
        <v>-1.5185010330614646E-15</v>
      </c>
      <c r="AC26" s="2">
        <f t="shared" si="5"/>
        <v>2.4576375771004894E-14</v>
      </c>
      <c r="AD26" s="2">
        <f t="shared" si="6"/>
        <v>2.384185791015625E-7</v>
      </c>
      <c r="AF26" s="2">
        <v>22</v>
      </c>
      <c r="AG26" s="2">
        <f t="shared" si="13"/>
        <v>2331.0432434082031</v>
      </c>
      <c r="AH26" s="2">
        <v>-4.1085734619628056E-4</v>
      </c>
      <c r="AI26" s="2">
        <f t="shared" si="14"/>
        <v>2331.0477733612061</v>
      </c>
      <c r="AJ26" s="2">
        <v>1.7293885425715416E-3</v>
      </c>
      <c r="AK26" s="2">
        <f t="shared" si="9"/>
        <v>2331.0455083847046</v>
      </c>
      <c r="AL26" s="2">
        <v>6.5926576667152403E-4</v>
      </c>
      <c r="AM26" s="2">
        <f t="shared" si="10"/>
        <v>-2.7086418333271868E-7</v>
      </c>
      <c r="AN26" s="2">
        <f t="shared" si="11"/>
        <v>1.140126663391377E-6</v>
      </c>
      <c r="AO26" s="2">
        <f t="shared" si="12"/>
        <v>4.5299530029296875E-3</v>
      </c>
    </row>
    <row r="27" spans="2:41" x14ac:dyDescent="0.2">
      <c r="B27" s="27" t="s">
        <v>146</v>
      </c>
      <c r="C27" s="27"/>
      <c r="D27" s="27"/>
      <c r="F27" t="s">
        <v>93</v>
      </c>
      <c r="G27" s="6">
        <f>G29/$C$21</f>
        <v>34.795745979771432</v>
      </c>
      <c r="H27" t="s">
        <v>97</v>
      </c>
      <c r="J27" s="14" t="s">
        <v>66</v>
      </c>
      <c r="K27" s="6">
        <f xml:space="preserve"> $C$80 * (11.5 * ($C$5*2.20462/1000)^0.4 * 0.453592)</f>
        <v>8.0316747474691539</v>
      </c>
      <c r="L27" s="6" t="s">
        <v>7</v>
      </c>
      <c r="N27" s="6" t="s">
        <v>33</v>
      </c>
      <c r="O27" s="6">
        <f xml:space="preserve"> O21 * $C$10 * O26 - $C$7 * SIN(O19/180*PI())</f>
        <v>1.3275322064578745</v>
      </c>
      <c r="P27" s="6" t="s">
        <v>10</v>
      </c>
      <c r="U27" s="2">
        <v>23</v>
      </c>
      <c r="V27" s="2">
        <f t="shared" si="7"/>
        <v>0.96993589401245117</v>
      </c>
      <c r="W27" s="2">
        <f t="shared" si="0"/>
        <v>1.4142313209397628E-8</v>
      </c>
      <c r="X27" s="2">
        <f t="shared" si="8"/>
        <v>0.96993601322174072</v>
      </c>
      <c r="Y27" s="2">
        <f t="shared" si="1"/>
        <v>-1.0737288946849333E-7</v>
      </c>
      <c r="Z27" s="2">
        <f t="shared" si="3"/>
        <v>0.96993595361709595</v>
      </c>
      <c r="AA27" s="2">
        <f t="shared" si="2"/>
        <v>-4.6615288185059001E-8</v>
      </c>
      <c r="AB27" s="2">
        <f t="shared" si="4"/>
        <v>-6.5924800585943711E-16</v>
      </c>
      <c r="AC27" s="2">
        <f t="shared" si="5"/>
        <v>5.005218185836303E-15</v>
      </c>
      <c r="AD27" s="2">
        <f t="shared" si="6"/>
        <v>1.1920928955078125E-7</v>
      </c>
      <c r="AF27" s="2">
        <v>23</v>
      </c>
      <c r="AG27" s="2">
        <f t="shared" si="13"/>
        <v>2331.0432434082031</v>
      </c>
      <c r="AH27" s="2">
        <v>-4.1085734619628056E-4</v>
      </c>
      <c r="AI27" s="2">
        <f t="shared" si="14"/>
        <v>2331.0455083847046</v>
      </c>
      <c r="AJ27" s="2">
        <v>6.5926576667152403E-4</v>
      </c>
      <c r="AK27" s="2">
        <f t="shared" si="9"/>
        <v>2331.0443758964539</v>
      </c>
      <c r="AL27" s="2">
        <v>1.244767768184829E-4</v>
      </c>
      <c r="AM27" s="2">
        <f t="shared" si="10"/>
        <v>-5.114219818670858E-8</v>
      </c>
      <c r="AN27" s="2">
        <f t="shared" si="11"/>
        <v>8.2063277702037315E-8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8.3739886209847345</v>
      </c>
      <c r="H28" s="6" t="s">
        <v>172</v>
      </c>
      <c r="J28" s="14" t="s">
        <v>67</v>
      </c>
      <c r="K28" s="6">
        <f xml:space="preserve"> $C$80 * (8 * ($C$5/1000))</f>
        <v>14.918614061736003</v>
      </c>
      <c r="L28" s="6" t="s">
        <v>7</v>
      </c>
      <c r="N28" s="6" t="s">
        <v>34</v>
      </c>
      <c r="O28" s="6">
        <f xml:space="preserve"> 1/$C$31 - O25 * SQRT( (2*$C$71*PI()*$C$10^2) / O20^3 )</f>
        <v>1.1377878340727305</v>
      </c>
      <c r="U28" s="2">
        <v>24</v>
      </c>
      <c r="V28" s="2">
        <f t="shared" si="7"/>
        <v>0.96993589401245117</v>
      </c>
      <c r="W28" s="2">
        <f t="shared" si="0"/>
        <v>1.4142313209397628E-8</v>
      </c>
      <c r="X28" s="2">
        <f t="shared" si="8"/>
        <v>0.96993595361709595</v>
      </c>
      <c r="Y28" s="2">
        <f t="shared" si="1"/>
        <v>-4.6615288185059001E-8</v>
      </c>
      <c r="Z28" s="2">
        <f t="shared" si="3"/>
        <v>0.96993592381477356</v>
      </c>
      <c r="AA28" s="2">
        <f t="shared" si="2"/>
        <v>-1.6236487487830686E-8</v>
      </c>
      <c r="AB28" s="2">
        <f t="shared" si="4"/>
        <v>-2.2962149147336725E-16</v>
      </c>
      <c r="AC28" s="2">
        <f t="shared" si="5"/>
        <v>7.5686854335833211E-16</v>
      </c>
      <c r="AD28" s="2">
        <f t="shared" si="6"/>
        <v>5.9604644775390625E-8</v>
      </c>
      <c r="AF28" s="2">
        <v>24</v>
      </c>
      <c r="AG28" s="2">
        <f t="shared" si="13"/>
        <v>2331.0432434082031</v>
      </c>
      <c r="AH28" s="2">
        <v>-4.1085734619628056E-4</v>
      </c>
      <c r="AI28" s="2">
        <f t="shared" si="14"/>
        <v>2331.0443758964539</v>
      </c>
      <c r="AJ28" s="2">
        <v>1.244767768184829E-4</v>
      </c>
      <c r="AK28" s="2">
        <f t="shared" si="9"/>
        <v>2331.0438096523285</v>
      </c>
      <c r="AL28" s="2">
        <v>-1.4319027400233608E-4</v>
      </c>
      <c r="AM28" s="2">
        <f t="shared" si="10"/>
        <v>5.8830775977718064E-8</v>
      </c>
      <c r="AN28" s="2">
        <f t="shared" si="11"/>
        <v>-1.7823863779566205E-8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278.36596783817146</v>
      </c>
      <c r="H29" s="22" t="s">
        <v>97</v>
      </c>
      <c r="J29" s="14" t="s">
        <v>68</v>
      </c>
      <c r="K29" s="6">
        <f xml:space="preserve"> $C$80 * (13 * ($C$5*2.20462/1000)^1.3 * 0.453592)</f>
        <v>39.613721871564309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0.96993589401245117</v>
      </c>
      <c r="W29" s="2">
        <f t="shared" si="0"/>
        <v>1.4142313209397628E-8</v>
      </c>
      <c r="X29" s="2">
        <f t="shared" si="8"/>
        <v>0.96993592381477356</v>
      </c>
      <c r="Y29" s="2">
        <f t="shared" si="1"/>
        <v>-1.6236487487830686E-8</v>
      </c>
      <c r="Z29" s="2">
        <f t="shared" si="3"/>
        <v>0.96993590891361237</v>
      </c>
      <c r="AA29" s="2">
        <f t="shared" si="2"/>
        <v>-1.0470870837053781E-9</v>
      </c>
      <c r="AB29" s="2">
        <f t="shared" si="4"/>
        <v>-1.4808233495276208E-17</v>
      </c>
      <c r="AC29" s="2">
        <f t="shared" si="5"/>
        <v>1.7001016333251494E-17</v>
      </c>
      <c r="AD29" s="2">
        <f t="shared" si="6"/>
        <v>2.9802322387695312E-8</v>
      </c>
      <c r="AF29" s="2">
        <v>25</v>
      </c>
      <c r="AG29" s="2">
        <f t="shared" si="13"/>
        <v>2331.0438096523285</v>
      </c>
      <c r="AH29" s="2">
        <v>-1.4319027400233608E-4</v>
      </c>
      <c r="AI29" s="2">
        <f t="shared" si="14"/>
        <v>2331.0443758964539</v>
      </c>
      <c r="AJ29" s="2">
        <v>1.244767768184829E-4</v>
      </c>
      <c r="AK29" s="2">
        <f t="shared" si="9"/>
        <v>2331.0440927743912</v>
      </c>
      <c r="AL29" s="2">
        <v>-9.356746204502997E-6</v>
      </c>
      <c r="AM29" s="2">
        <f t="shared" si="10"/>
        <v>1.3397950527931022E-9</v>
      </c>
      <c r="AN29" s="2">
        <f t="shared" si="11"/>
        <v>-1.1646976090451067E-9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-5.0381259411551582E-3</v>
      </c>
      <c r="L30" s="9" t="s">
        <v>7</v>
      </c>
      <c r="N30" s="6" t="s">
        <v>36</v>
      </c>
      <c r="O30" s="6">
        <f xml:space="preserve"> 1/$C$77 * LN( EXP($C$77 * O28) + EXP($C$77 * O29) )</f>
        <v>1.1675549867389754</v>
      </c>
      <c r="U30" s="2">
        <v>26</v>
      </c>
      <c r="V30" s="2">
        <f>IF(AB29&gt;0, Z29, V29)</f>
        <v>0.96993589401245117</v>
      </c>
      <c r="W30" s="2">
        <f t="shared" si="0"/>
        <v>1.4142313209397628E-8</v>
      </c>
      <c r="X30" s="2">
        <f t="shared" si="8"/>
        <v>0.96993590891361237</v>
      </c>
      <c r="Y30" s="2">
        <f t="shared" si="1"/>
        <v>-1.0470870837053781E-9</v>
      </c>
      <c r="Z30" s="2">
        <f t="shared" si="3"/>
        <v>0.96993590146303177</v>
      </c>
      <c r="AA30" s="2">
        <f t="shared" si="2"/>
        <v>6.5476130073349736E-9</v>
      </c>
      <c r="AB30" s="2">
        <f t="shared" si="4"/>
        <v>9.2598393923657125E-17</v>
      </c>
      <c r="AC30" s="2">
        <f t="shared" si="5"/>
        <v>-6.8559210090817777E-18</v>
      </c>
      <c r="AD30" s="2">
        <f t="shared" si="6"/>
        <v>1.4901161193847656E-8</v>
      </c>
      <c r="AF30" s="2">
        <v>26</v>
      </c>
      <c r="AG30" s="2">
        <f t="shared" si="13"/>
        <v>2331.0440927743912</v>
      </c>
      <c r="AH30" s="2">
        <v>-9.356746204502997E-6</v>
      </c>
      <c r="AI30" s="2">
        <f t="shared" si="14"/>
        <v>2331.0443758964539</v>
      </c>
      <c r="AJ30" s="2">
        <v>1.244767768184829E-4</v>
      </c>
      <c r="AK30" s="2">
        <f t="shared" si="9"/>
        <v>2331.0442343354225</v>
      </c>
      <c r="AL30" s="2">
        <v>5.7287491017632419E-5</v>
      </c>
      <c r="AM30" s="2">
        <f t="shared" si="10"/>
        <v>-5.3602451414473167E-10</v>
      </c>
      <c r="AN30" s="2">
        <f t="shared" si="11"/>
        <v>7.1309622338926749E-9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28" t="s">
        <v>175</v>
      </c>
      <c r="G31" s="29"/>
      <c r="H31" s="29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0.96993590146303177</v>
      </c>
      <c r="W31" s="2">
        <f t="shared" si="0"/>
        <v>6.5476130073349736E-9</v>
      </c>
      <c r="X31" s="2">
        <f t="shared" si="8"/>
        <v>0.96993590891361237</v>
      </c>
      <c r="Y31" s="2">
        <f t="shared" si="1"/>
        <v>-1.0470870837053781E-9</v>
      </c>
      <c r="Z31" s="2">
        <f t="shared" si="3"/>
        <v>0.96993590518832207</v>
      </c>
      <c r="AA31" s="2">
        <f t="shared" si="2"/>
        <v>2.7502629063036466E-9</v>
      </c>
      <c r="AB31" s="2">
        <f t="shared" si="4"/>
        <v>1.8007657178904644E-17</v>
      </c>
      <c r="AC31" s="2">
        <f t="shared" si="5"/>
        <v>-2.8797647659845627E-18</v>
      </c>
      <c r="AD31" s="2">
        <f t="shared" si="6"/>
        <v>7.4505805969238281E-9</v>
      </c>
      <c r="AF31" s="2">
        <v>27</v>
      </c>
      <c r="AG31" s="2">
        <f t="shared" si="13"/>
        <v>2331.0440927743912</v>
      </c>
      <c r="AH31" s="2">
        <v>-9.356746204502997E-6</v>
      </c>
      <c r="AI31" s="2">
        <f t="shared" si="14"/>
        <v>2331.0442343354225</v>
      </c>
      <c r="AJ31" s="2">
        <v>5.7287491017632419E-5</v>
      </c>
      <c r="AK31" s="2">
        <f t="shared" si="9"/>
        <v>2331.0441635549068</v>
      </c>
      <c r="AL31" s="2">
        <v>2.3692848344580852E-5</v>
      </c>
      <c r="AM31" s="2">
        <f t="shared" si="10"/>
        <v>-2.2168796882202201E-10</v>
      </c>
      <c r="AN31" s="2">
        <f t="shared" si="11"/>
        <v>1.3573038367223026E-9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0.96993590518832207</v>
      </c>
      <c r="W32" s="2">
        <f t="shared" si="0"/>
        <v>2.7502629063036466E-9</v>
      </c>
      <c r="X32" s="2">
        <f t="shared" si="8"/>
        <v>0.96993590891361237</v>
      </c>
      <c r="Y32" s="2">
        <f t="shared" si="1"/>
        <v>-1.0470870837053781E-9</v>
      </c>
      <c r="Z32" s="2">
        <f t="shared" si="3"/>
        <v>0.96993590705096722</v>
      </c>
      <c r="AA32" s="2">
        <f t="shared" si="2"/>
        <v>8.5158791129913425E-10</v>
      </c>
      <c r="AB32" s="2">
        <f t="shared" si="4"/>
        <v>2.3420906439026089E-18</v>
      </c>
      <c r="AC32" s="2">
        <f t="shared" si="5"/>
        <v>-8.9168670256096465E-19</v>
      </c>
      <c r="AD32" s="2">
        <f t="shared" si="6"/>
        <v>3.7252902984619141E-9</v>
      </c>
      <c r="AF32" s="2">
        <v>28</v>
      </c>
      <c r="AG32" s="2">
        <f t="shared" si="13"/>
        <v>2331.0440927743912</v>
      </c>
      <c r="AH32" s="2">
        <v>-9.356746204502997E-6</v>
      </c>
      <c r="AI32" s="2">
        <f t="shared" si="14"/>
        <v>2331.0441635549068</v>
      </c>
      <c r="AJ32" s="2">
        <v>2.3692848344580852E-5</v>
      </c>
      <c r="AK32" s="2">
        <f t="shared" si="9"/>
        <v>2331.044128164649</v>
      </c>
      <c r="AL32" s="2">
        <v>7.440575700456975E-6</v>
      </c>
      <c r="AM32" s="2">
        <f t="shared" si="10"/>
        <v>-6.9619578444568029E-11</v>
      </c>
      <c r="AN32" s="2">
        <f t="shared" si="11"/>
        <v>1.7628843166730056E-10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106.42501067967241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0.96993590705096722</v>
      </c>
      <c r="W33" s="2">
        <f t="shared" si="0"/>
        <v>8.5158791129913425E-10</v>
      </c>
      <c r="X33" s="2">
        <f t="shared" si="8"/>
        <v>0.96993590891361237</v>
      </c>
      <c r="Y33" s="2">
        <f t="shared" si="1"/>
        <v>-1.0470870837053781E-9</v>
      </c>
      <c r="Z33" s="2">
        <f t="shared" si="3"/>
        <v>0.96993590798228979</v>
      </c>
      <c r="AA33" s="2">
        <f t="shared" si="2"/>
        <v>-9.7749586203121908E-11</v>
      </c>
      <c r="AB33" s="2">
        <f t="shared" si="4"/>
        <v>-8.3242365945071256E-20</v>
      </c>
      <c r="AC33" s="2">
        <f t="shared" si="5"/>
        <v>1.0235232915083438E-19</v>
      </c>
      <c r="AD33" s="2">
        <f t="shared" si="6"/>
        <v>1.862645149230957E-9</v>
      </c>
      <c r="AF33" s="2">
        <v>29</v>
      </c>
      <c r="AG33" s="2">
        <f t="shared" si="13"/>
        <v>2331.0440927743912</v>
      </c>
      <c r="AH33" s="2">
        <v>-9.356746204502997E-6</v>
      </c>
      <c r="AI33" s="2">
        <f t="shared" si="14"/>
        <v>2331.044128164649</v>
      </c>
      <c r="AJ33" s="2">
        <v>7.440575700456975E-6</v>
      </c>
      <c r="AK33" s="2">
        <f t="shared" si="9"/>
        <v>2331.0441104695201</v>
      </c>
      <c r="AL33" s="2">
        <v>-9.5808491096249782E-7</v>
      </c>
      <c r="AM33" s="2">
        <f t="shared" si="10"/>
        <v>8.9645573542399432E-12</v>
      </c>
      <c r="AN33" s="2">
        <f t="shared" si="11"/>
        <v>-7.1287033074820457E-12</v>
      </c>
      <c r="AO33" s="2">
        <f t="shared" si="12"/>
        <v>3.5390257835388184E-5</v>
      </c>
    </row>
    <row r="34" spans="2:41" x14ac:dyDescent="0.2">
      <c r="B34" s="27" t="s">
        <v>100</v>
      </c>
      <c r="C34" s="27"/>
      <c r="D34" s="27"/>
      <c r="J34" s="6" t="s">
        <v>58</v>
      </c>
      <c r="K34" s="6">
        <f>ROUND($C$16/$C$5 * 100, 2)</f>
        <v>25.74</v>
      </c>
      <c r="L34" s="6" t="s">
        <v>59</v>
      </c>
      <c r="U34" s="2">
        <v>30</v>
      </c>
      <c r="V34" s="2">
        <f t="shared" si="7"/>
        <v>0.96993590705096722</v>
      </c>
      <c r="W34" s="2">
        <f t="shared" si="0"/>
        <v>8.5158791129913425E-10</v>
      </c>
      <c r="X34" s="2">
        <f t="shared" si="8"/>
        <v>0.96993590798228979</v>
      </c>
      <c r="Y34" s="2">
        <f t="shared" si="1"/>
        <v>-9.7749586203121908E-11</v>
      </c>
      <c r="Z34" s="2">
        <f t="shared" si="3"/>
        <v>0.9699359075166285</v>
      </c>
      <c r="AA34" s="2">
        <f t="shared" si="2"/>
        <v>3.7691916254800617E-10</v>
      </c>
      <c r="AB34" s="2">
        <f t="shared" si="4"/>
        <v>3.2097980236287544E-19</v>
      </c>
      <c r="AC34" s="2">
        <f t="shared" si="5"/>
        <v>-3.6843692171094848E-20</v>
      </c>
      <c r="AD34" s="2">
        <f t="shared" si="6"/>
        <v>9.3132257461547852E-10</v>
      </c>
      <c r="AF34" s="2">
        <v>30</v>
      </c>
      <c r="AG34" s="2">
        <f t="shared" si="13"/>
        <v>2331.0441104695201</v>
      </c>
      <c r="AH34" s="2">
        <v>-9.5808491096249782E-7</v>
      </c>
      <c r="AI34" s="2">
        <f t="shared" si="14"/>
        <v>2331.044128164649</v>
      </c>
      <c r="AJ34" s="2">
        <v>7.440575700456975E-6</v>
      </c>
      <c r="AK34" s="2">
        <f t="shared" si="9"/>
        <v>2331.0441193170846</v>
      </c>
      <c r="AL34" s="2">
        <v>3.241245622120914E-6</v>
      </c>
      <c r="AM34" s="2">
        <f t="shared" si="10"/>
        <v>-3.1053885232773018E-12</v>
      </c>
      <c r="AN34" s="2">
        <f t="shared" si="11"/>
        <v>2.4116733415165424E-11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26.29</v>
      </c>
      <c r="L35" s="6" t="s">
        <v>59</v>
      </c>
      <c r="AF35" s="2">
        <v>31</v>
      </c>
      <c r="AG35" s="2">
        <f t="shared" si="13"/>
        <v>2331.0441104695201</v>
      </c>
      <c r="AH35" s="2">
        <v>-9.5808491096249782E-7</v>
      </c>
      <c r="AI35" s="2">
        <f t="shared" si="14"/>
        <v>2331.0441193170846</v>
      </c>
      <c r="AJ35" s="2">
        <v>3.241245622120914E-6</v>
      </c>
      <c r="AK35" s="2">
        <f t="shared" si="9"/>
        <v>2331.0441148933023</v>
      </c>
      <c r="AL35" s="2">
        <v>1.1415802418923704E-6</v>
      </c>
      <c r="AM35" s="2">
        <f t="shared" si="10"/>
        <v>-1.0937308044099984E-12</v>
      </c>
      <c r="AN35" s="2">
        <f t="shared" si="11"/>
        <v>3.7001419613333796E-12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14.56</v>
      </c>
      <c r="L36" s="6" t="s">
        <v>59</v>
      </c>
      <c r="AF36" s="2">
        <v>32</v>
      </c>
      <c r="AG36" s="2">
        <f t="shared" si="13"/>
        <v>2331.0441104695201</v>
      </c>
      <c r="AH36" s="2">
        <v>-9.5808491096249782E-7</v>
      </c>
      <c r="AI36" s="2">
        <f t="shared" si="14"/>
        <v>2331.0441148933023</v>
      </c>
      <c r="AJ36" s="2">
        <v>1.1415802418923704E-6</v>
      </c>
      <c r="AK36" s="2">
        <f t="shared" si="9"/>
        <v>2331.0441126814112</v>
      </c>
      <c r="AL36" s="2">
        <v>9.1747779151774012E-8</v>
      </c>
      <c r="AM36" s="2">
        <f t="shared" si="10"/>
        <v>-8.7902162819634317E-14</v>
      </c>
      <c r="AN36" s="2">
        <f t="shared" si="11"/>
        <v>1.0473745191716995E-13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28.59</v>
      </c>
      <c r="L37" s="6" t="s">
        <v>59</v>
      </c>
      <c r="AF37" s="2">
        <v>33</v>
      </c>
      <c r="AG37" s="2">
        <f t="shared" si="13"/>
        <v>2331.0441104695201</v>
      </c>
      <c r="AH37" s="2">
        <v>-9.5808491096249782E-7</v>
      </c>
      <c r="AI37" s="2">
        <f t="shared" si="14"/>
        <v>2331.0441126814112</v>
      </c>
      <c r="AJ37" s="2">
        <v>9.1747779151774012E-8</v>
      </c>
      <c r="AK37" s="2">
        <f t="shared" si="9"/>
        <v>2331.0441115754656</v>
      </c>
      <c r="AL37" s="2">
        <v>-4.3316867959219962E-7</v>
      </c>
      <c r="AM37" s="2">
        <f t="shared" si="10"/>
        <v>4.1501237581883532E-13</v>
      </c>
      <c r="AN37" s="2">
        <f t="shared" si="11"/>
        <v>-3.9742264350690689E-14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4.83</v>
      </c>
      <c r="L38" s="6" t="s">
        <v>59</v>
      </c>
      <c r="AF38" s="2">
        <v>34</v>
      </c>
      <c r="AG38" s="2">
        <f t="shared" si="13"/>
        <v>2331.0441115754656</v>
      </c>
      <c r="AH38" s="2">
        <v>-4.3316867959219962E-7</v>
      </c>
      <c r="AI38" s="2">
        <f t="shared" si="14"/>
        <v>2331.0441126814112</v>
      </c>
      <c r="AJ38" s="2">
        <v>9.1747779151774012E-8</v>
      </c>
      <c r="AK38" s="2">
        <f t="shared" si="9"/>
        <v>2331.0441121284384</v>
      </c>
      <c r="AL38" s="2">
        <v>-1.7071010915969964E-7</v>
      </c>
      <c r="AM38" s="2">
        <f t="shared" si="10"/>
        <v>7.3946272577747356E-14</v>
      </c>
      <c r="AN38" s="2">
        <f t="shared" si="11"/>
        <v>-1.5662273394159356E-14</v>
      </c>
      <c r="AO38" s="2">
        <f t="shared" si="12"/>
        <v>1.1059455573558807E-6</v>
      </c>
    </row>
    <row r="39" spans="2:41" x14ac:dyDescent="0.2">
      <c r="B39" s="27" t="s">
        <v>104</v>
      </c>
      <c r="C39" s="27"/>
      <c r="D39" s="27"/>
      <c r="J39" s="9" t="s">
        <v>60</v>
      </c>
      <c r="K39" s="9">
        <f>SUM(K34:K38)</f>
        <v>100.01</v>
      </c>
      <c r="L39" s="9" t="s">
        <v>59</v>
      </c>
      <c r="AF39" s="2">
        <v>35</v>
      </c>
      <c r="AG39" s="2">
        <f t="shared" si="13"/>
        <v>2331.0441121284384</v>
      </c>
      <c r="AH39" s="2">
        <v>-1.7071010915969964E-7</v>
      </c>
      <c r="AI39" s="2">
        <f t="shared" si="14"/>
        <v>2331.0441126814112</v>
      </c>
      <c r="AJ39" s="2">
        <v>9.1747779151774012E-8</v>
      </c>
      <c r="AK39" s="2">
        <f t="shared" si="9"/>
        <v>2331.0441124049248</v>
      </c>
      <c r="AL39" s="2">
        <v>-3.9481619751313701E-8</v>
      </c>
      <c r="AM39" s="2">
        <f t="shared" si="10"/>
        <v>6.7399116175485153E-15</v>
      </c>
      <c r="AN39" s="2">
        <f t="shared" si="11"/>
        <v>-3.6223509294978482E-15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2331.0441124049248</v>
      </c>
      <c r="AH40" s="2">
        <v>-3.9481619751313701E-8</v>
      </c>
      <c r="AI40" s="2">
        <f t="shared" si="14"/>
        <v>2331.0441126814112</v>
      </c>
      <c r="AJ40" s="2">
        <v>9.1747779151774012E-8</v>
      </c>
      <c r="AK40" s="2">
        <f t="shared" si="9"/>
        <v>2331.044112543168</v>
      </c>
      <c r="AL40" s="2">
        <v>2.6133193387067877E-8</v>
      </c>
      <c r="AM40" s="2">
        <f t="shared" si="10"/>
        <v>-1.0317808041957597E-15</v>
      </c>
      <c r="AN40" s="2">
        <f t="shared" si="11"/>
        <v>2.3976624554073046E-15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7" t="s">
        <v>109</v>
      </c>
      <c r="K41" s="27"/>
      <c r="L41" s="27"/>
      <c r="AF41" s="2">
        <v>37</v>
      </c>
      <c r="AG41" s="2">
        <f t="shared" si="13"/>
        <v>2331.0441124049248</v>
      </c>
      <c r="AH41" s="2">
        <v>-3.9481619751313701E-8</v>
      </c>
      <c r="AI41" s="2">
        <f t="shared" si="14"/>
        <v>2331.044112543168</v>
      </c>
      <c r="AJ41" s="2">
        <v>2.6133193387067877E-8</v>
      </c>
      <c r="AK41" s="2">
        <f t="shared" si="9"/>
        <v>2331.0441124740464</v>
      </c>
      <c r="AL41" s="2">
        <v>-6.6738721216097474E-9</v>
      </c>
      <c r="AM41" s="2">
        <f t="shared" si="10"/>
        <v>2.6349528137428928E-16</v>
      </c>
      <c r="AN41" s="2">
        <f t="shared" si="11"/>
        <v>-1.7440959079458851E-16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2331.0441124740464</v>
      </c>
      <c r="AH42" s="2">
        <v>-6.6738721216097474E-9</v>
      </c>
      <c r="AI42" s="2">
        <f t="shared" si="14"/>
        <v>2331.044112543168</v>
      </c>
      <c r="AJ42" s="2">
        <v>2.6133193387067877E-8</v>
      </c>
      <c r="AK42" s="2">
        <f t="shared" si="9"/>
        <v>2331.0441125086072</v>
      </c>
      <c r="AL42" s="2">
        <v>9.7297743195667863E-9</v>
      </c>
      <c r="AM42" s="2">
        <f t="shared" si="10"/>
        <v>-6.4935269580911225E-17</v>
      </c>
      <c r="AN42" s="2">
        <f t="shared" si="11"/>
        <v>2.5427007390576559E-16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612.75</v>
      </c>
      <c r="L43" s="6" t="s">
        <v>7</v>
      </c>
      <c r="AF43" s="2">
        <v>39</v>
      </c>
      <c r="AG43" s="2">
        <f t="shared" si="13"/>
        <v>2331.0441124740464</v>
      </c>
      <c r="AH43" s="2">
        <v>-6.6738721216097474E-9</v>
      </c>
      <c r="AI43" s="2">
        <f t="shared" si="14"/>
        <v>2331.0441125086072</v>
      </c>
      <c r="AJ43" s="2">
        <v>9.7297743195667863E-9</v>
      </c>
      <c r="AK43" s="2">
        <f t="shared" si="9"/>
        <v>2331.0441124913268</v>
      </c>
      <c r="AL43" s="2">
        <v>1.5272689779521897E-9</v>
      </c>
      <c r="AM43" s="2">
        <f t="shared" si="10"/>
        <v>-1.0192797854154531E-17</v>
      </c>
      <c r="AN43" s="2">
        <f t="shared" si="11"/>
        <v>1.4859982480750228E-17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339.38</v>
      </c>
      <c r="L44" s="6" t="s">
        <v>7</v>
      </c>
      <c r="AF44" s="2">
        <v>40</v>
      </c>
      <c r="AG44" s="2">
        <f t="shared" si="13"/>
        <v>2331.0441124740464</v>
      </c>
      <c r="AH44" s="2">
        <v>-6.6738721216097474E-9</v>
      </c>
      <c r="AI44" s="2">
        <f t="shared" si="14"/>
        <v>2331.0441124913268</v>
      </c>
      <c r="AJ44" s="2">
        <v>1.5272689779521897E-9</v>
      </c>
      <c r="AK44" s="5">
        <f t="shared" si="9"/>
        <v>2331.0441124826866</v>
      </c>
      <c r="AL44" s="2">
        <v>-2.5734152586665004E-9</v>
      </c>
      <c r="AM44" s="2">
        <f t="shared" si="10"/>
        <v>1.7174644352139494E-17</v>
      </c>
      <c r="AN44" s="2">
        <f t="shared" si="11"/>
        <v>-3.9302972919501561E-18</v>
      </c>
      <c r="AO44" s="2">
        <f t="shared" si="12"/>
        <v>1.7280399333685637E-8</v>
      </c>
    </row>
    <row r="45" spans="2:41" x14ac:dyDescent="0.2">
      <c r="B45" s="27" t="s">
        <v>151</v>
      </c>
      <c r="C45" s="27"/>
      <c r="D45" s="27"/>
      <c r="J45" s="19" t="s">
        <v>70</v>
      </c>
      <c r="K45" s="6">
        <f>ROUND(SUM(K20:K25), 2)</f>
        <v>666.37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112.54</v>
      </c>
      <c r="L46" s="6" t="s">
        <v>7</v>
      </c>
    </row>
    <row r="47" spans="2:41" x14ac:dyDescent="0.2">
      <c r="J47" s="9" t="s">
        <v>60</v>
      </c>
      <c r="K47" s="9">
        <f>SUM(K42:K46)</f>
        <v>2331.04</v>
      </c>
      <c r="L47" s="6" t="s">
        <v>7</v>
      </c>
    </row>
    <row r="48" spans="2:41" x14ac:dyDescent="0.2">
      <c r="B48" s="27" t="s">
        <v>152</v>
      </c>
      <c r="C48" s="27"/>
      <c r="D48" s="27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7" t="s">
        <v>156</v>
      </c>
      <c r="C53" s="27"/>
      <c r="D53" s="27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28" t="s">
        <v>2</v>
      </c>
      <c r="C59" s="29"/>
      <c r="D59" s="29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7" t="s">
        <v>169</v>
      </c>
      <c r="C64" s="30"/>
      <c r="D64" s="30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7" t="s">
        <v>170</v>
      </c>
      <c r="C70" s="30"/>
      <c r="D70" s="30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7" t="s">
        <v>72</v>
      </c>
      <c r="C76" s="27"/>
      <c r="D76" s="27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53:D53"/>
    <mergeCell ref="B59:D59"/>
    <mergeCell ref="B64:D64"/>
    <mergeCell ref="B70:D70"/>
    <mergeCell ref="B76:D76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1:D1"/>
    <mergeCell ref="B3:D3"/>
    <mergeCell ref="F3:H3"/>
    <mergeCell ref="J3:L3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E576-0519-3F4C-BF49-FEE85D4E545A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2" t="s">
        <v>0</v>
      </c>
      <c r="C1" s="32"/>
      <c r="D1" s="32"/>
    </row>
    <row r="2" spans="2:41" x14ac:dyDescent="0.2">
      <c r="U2" s="15" t="s">
        <v>89</v>
      </c>
      <c r="AF2" s="26" t="s">
        <v>129</v>
      </c>
    </row>
    <row r="3" spans="2:41" x14ac:dyDescent="0.2">
      <c r="B3" s="27" t="s">
        <v>118</v>
      </c>
      <c r="C3" s="30"/>
      <c r="D3" s="30"/>
      <c r="F3" s="28" t="s">
        <v>76</v>
      </c>
      <c r="G3" s="29"/>
      <c r="H3" s="29"/>
      <c r="J3" s="27" t="s">
        <v>94</v>
      </c>
      <c r="K3" s="27"/>
      <c r="L3" s="27"/>
      <c r="N3" s="27" t="s">
        <v>88</v>
      </c>
      <c r="O3" s="27"/>
      <c r="P3" s="27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1568.4559202062728</v>
      </c>
      <c r="L4" s="6" t="s">
        <v>97</v>
      </c>
      <c r="N4" s="6" t="s">
        <v>131</v>
      </c>
      <c r="O4" s="6">
        <f xml:space="preserve"> $C$5 * $C$74</f>
        <v>38268.425477352583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1.1617919244271251</v>
      </c>
      <c r="X4" s="3">
        <v>1</v>
      </c>
      <c r="Y4" s="2">
        <f t="shared" ref="Y4:Y34" si="1" xml:space="preserve"> $O$22 * TAN($O$19/180*PI()) + $O$23 / (2 * SQRT($O$22^2 + X4^2)) - X4</f>
        <v>-4.3530648199667343E-2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0.47440033445990282</v>
      </c>
      <c r="AB4" s="2">
        <f>W4*AA4</f>
        <v>0.5511544775210423</v>
      </c>
      <c r="AC4" s="2">
        <f>Y4*AA4</f>
        <v>-2.0650954065178553E-2</v>
      </c>
      <c r="AD4" s="2">
        <f>X4-V4</f>
        <v>1</v>
      </c>
      <c r="AF4" s="2">
        <v>0</v>
      </c>
      <c r="AH4" s="2">
        <f>K30</f>
        <v>-6.5917926485781209E-3</v>
      </c>
      <c r="AJ4" s="2">
        <f>K30</f>
        <v>-6.5917926485781209E-3</v>
      </c>
      <c r="AL4" s="2">
        <f>K30</f>
        <v>-6.5917926485781209E-3</v>
      </c>
    </row>
    <row r="5" spans="2:41" x14ac:dyDescent="0.2">
      <c r="B5" s="9" t="s">
        <v>38</v>
      </c>
      <c r="C5" s="9">
        <v>3904.72077256485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196.0569900257841</v>
      </c>
      <c r="L5" s="6" t="s">
        <v>97</v>
      </c>
      <c r="N5" s="6" t="s">
        <v>24</v>
      </c>
      <c r="O5" s="6">
        <f xml:space="preserve"> 0.5 * $C$71 * $C$7^2</f>
        <v>3984.3733596601678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0.47440033445990282</v>
      </c>
      <c r="X5" s="2">
        <f>IF(AC4&gt;0, Z4, X4)</f>
        <v>1</v>
      </c>
      <c r="Y5" s="2">
        <f t="shared" si="1"/>
        <v>-4.3530648199667343E-2</v>
      </c>
      <c r="Z5" s="2">
        <f t="shared" ref="Z5:Z34" si="3" xml:space="preserve"> (V5 + X5)/2</f>
        <v>0.75</v>
      </c>
      <c r="AA5" s="2">
        <f t="shared" si="2"/>
        <v>0.21250372064955625</v>
      </c>
      <c r="AB5" s="2">
        <f t="shared" ref="AB5:AB34" si="4">W5*AA5</f>
        <v>0.10081183615012324</v>
      </c>
      <c r="AC5" s="2">
        <f t="shared" ref="AC5:AC34" si="5">Y5*AA5</f>
        <v>-9.2504247047162178E-3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-1300.3447846479478</v>
      </c>
      <c r="AI5" s="3">
        <v>10000</v>
      </c>
      <c r="AJ5" s="2">
        <f t="dataTable" ref="AJ5:AJ44" dt2D="0" dtr="0" r1="C5"/>
        <v>119.23598678295275</v>
      </c>
      <c r="AK5" s="2">
        <f>(AG5+AI5)/2</f>
        <v>5250</v>
      </c>
      <c r="AL5" s="2">
        <f t="dataTable" ref="AL5:AL44" dt2D="0" dtr="0" r1="C5" ca="1"/>
        <v>268.41244110462321</v>
      </c>
      <c r="AM5" s="2">
        <f>AH5*AL5</f>
        <v>-349028.71792502125</v>
      </c>
      <c r="AN5" s="2">
        <f>AJ5*AL5</f>
        <v>32004.422279930935</v>
      </c>
      <c r="AO5" s="2">
        <f>AI5-AG5</f>
        <v>9500</v>
      </c>
    </row>
    <row r="6" spans="2:41" x14ac:dyDescent="0.2">
      <c r="B6" s="6" t="s">
        <v>168</v>
      </c>
      <c r="C6" s="16">
        <v>578.87582405235605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351.03298033494229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0.32467828029539791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0.21250372064955625</v>
      </c>
      <c r="X6" s="2">
        <f t="shared" ref="X6:X34" si="8">IF(AC5&gt;0, Z5, X5)</f>
        <v>1</v>
      </c>
      <c r="Y6" s="2">
        <f t="shared" si="1"/>
        <v>-4.3530648199667343E-2</v>
      </c>
      <c r="Z6" s="2">
        <f t="shared" si="3"/>
        <v>0.875</v>
      </c>
      <c r="AA6" s="2">
        <f t="shared" si="2"/>
        <v>8.406122664550375E-2</v>
      </c>
      <c r="AB6" s="2">
        <f t="shared" si="4"/>
        <v>1.7863323424535164E-2</v>
      </c>
      <c r="AC6" s="2">
        <f t="shared" si="5"/>
        <v>-3.6592396843379265E-3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-1300.3447846479478</v>
      </c>
      <c r="AI6" s="2">
        <f>IF(AN5&gt;0,AK5,AI5)</f>
        <v>5250</v>
      </c>
      <c r="AJ6" s="2">
        <v>268.41244110462321</v>
      </c>
      <c r="AK6" s="2">
        <f t="shared" ref="AK6:AK44" si="9">(AG6+AI6)/2</f>
        <v>2875</v>
      </c>
      <c r="AL6" s="2">
        <v>-301.21586712351609</v>
      </c>
      <c r="AM6" s="2">
        <f t="shared" ref="AM6:AM44" si="10">AH6*AL6</f>
        <v>391684.4818672734</v>
      </c>
      <c r="AN6" s="2">
        <f t="shared" ref="AN6:AN44" si="11">AJ6*AL6</f>
        <v>-80850.086194068776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 xml:space="preserve"> 320*1000/ 3600</f>
        <v>88.888888888888886</v>
      </c>
      <c r="D7" s="6" t="s">
        <v>10</v>
      </c>
      <c r="F7" s="6" t="s">
        <v>20</v>
      </c>
      <c r="G7" s="6">
        <f xml:space="preserve"> $C$5 * $C$68 / $C$21</f>
        <v>4784.0107826349213</v>
      </c>
      <c r="H7" s="6" t="s">
        <v>21</v>
      </c>
      <c r="J7" s="6" t="s">
        <v>133</v>
      </c>
      <c r="K7" s="6">
        <f>K6/$C$28</f>
        <v>351.03298033494229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8.406122664550375E-2</v>
      </c>
      <c r="X7" s="2">
        <f t="shared" si="8"/>
        <v>1</v>
      </c>
      <c r="Y7" s="2">
        <f t="shared" si="1"/>
        <v>-4.3530648199667343E-2</v>
      </c>
      <c r="Z7" s="2">
        <f t="shared" si="3"/>
        <v>0.9375</v>
      </c>
      <c r="AA7" s="2">
        <f t="shared" si="2"/>
        <v>2.0179882112928316E-2</v>
      </c>
      <c r="AB7" s="2">
        <f t="shared" si="4"/>
        <v>1.6963456439744143E-3</v>
      </c>
      <c r="AC7" s="2">
        <f t="shared" si="5"/>
        <v>-8.784433489686422E-4</v>
      </c>
      <c r="AD7" s="2">
        <f t="shared" si="6"/>
        <v>0.125</v>
      </c>
      <c r="AF7" s="2">
        <v>3</v>
      </c>
      <c r="AG7" s="2">
        <f t="shared" ref="AG7:AG44" si="13">IF(AM6&gt;0,AK6,AG6)</f>
        <v>2875</v>
      </c>
      <c r="AH7" s="2">
        <v>-301.21586712351609</v>
      </c>
      <c r="AI7" s="2">
        <f t="shared" ref="AI7:AI44" si="14">IF(AN6&gt;0,AK6,AI6)</f>
        <v>5250</v>
      </c>
      <c r="AJ7" s="2">
        <v>268.41244110462321</v>
      </c>
      <c r="AK7" s="2">
        <f t="shared" si="9"/>
        <v>4062.5</v>
      </c>
      <c r="AL7" s="2">
        <v>38.757291617313058</v>
      </c>
      <c r="AM7" s="2">
        <f t="shared" si="10"/>
        <v>-11674.311201867935</v>
      </c>
      <c r="AN7" s="2">
        <f t="shared" si="11"/>
        <v>10402.939253606748</v>
      </c>
      <c r="AO7" s="2">
        <f t="shared" si="12"/>
        <v>2375</v>
      </c>
    </row>
    <row r="8" spans="2:41" x14ac:dyDescent="0.2">
      <c r="B8" s="6" t="s">
        <v>91</v>
      </c>
      <c r="C8" s="16">
        <v>1.4109695870000101</v>
      </c>
      <c r="D8" s="6" t="s">
        <v>8</v>
      </c>
      <c r="F8" t="s">
        <v>93</v>
      </c>
      <c r="G8" s="6">
        <f>G10/$C$21</f>
        <v>130.70466001718941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2.0179882112928316E-2</v>
      </c>
      <c r="X8" s="2">
        <f t="shared" si="8"/>
        <v>1</v>
      </c>
      <c r="Y8" s="2">
        <f t="shared" si="1"/>
        <v>-4.3530648199667343E-2</v>
      </c>
      <c r="Z8" s="2">
        <f t="shared" si="3"/>
        <v>0.96875</v>
      </c>
      <c r="AA8" s="2">
        <f t="shared" si="2"/>
        <v>-1.1694698836636874E-2</v>
      </c>
      <c r="AB8" s="2">
        <f t="shared" si="4"/>
        <v>-2.3599764386953204E-4</v>
      </c>
      <c r="AC8" s="2">
        <f t="shared" si="5"/>
        <v>5.0907782085869875E-4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-301.21586712351609</v>
      </c>
      <c r="AI8" s="2">
        <f t="shared" si="14"/>
        <v>4062.5</v>
      </c>
      <c r="AJ8" s="2">
        <v>38.757291617313058</v>
      </c>
      <c r="AK8" s="2">
        <f t="shared" si="9"/>
        <v>3468.75</v>
      </c>
      <c r="AL8" s="2">
        <v>-117.29259542048294</v>
      </c>
      <c r="AM8" s="2">
        <f t="shared" si="10"/>
        <v>35330.39083674852</v>
      </c>
      <c r="AN8" s="2">
        <f t="shared" si="11"/>
        <v>-4545.9433252631752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3.7342975874495665</v>
      </c>
      <c r="H9" s="6" t="s">
        <v>172</v>
      </c>
      <c r="J9" s="27" t="s">
        <v>22</v>
      </c>
      <c r="K9" s="27"/>
      <c r="L9" s="27"/>
      <c r="N9" s="6" t="s">
        <v>114</v>
      </c>
      <c r="O9" s="6">
        <f xml:space="preserve"> $O$8/$C$12 + $O$7</f>
        <v>2.3444808313779771E-2</v>
      </c>
      <c r="U9" s="2">
        <v>5</v>
      </c>
      <c r="V9" s="2">
        <f t="shared" si="7"/>
        <v>0.9375</v>
      </c>
      <c r="W9" s="2">
        <f t="shared" si="0"/>
        <v>2.0179882112928316E-2</v>
      </c>
      <c r="X9" s="2">
        <f t="shared" si="8"/>
        <v>0.96875</v>
      </c>
      <c r="Y9" s="2">
        <f t="shared" si="1"/>
        <v>-1.1694698836636874E-2</v>
      </c>
      <c r="Z9" s="2">
        <f t="shared" si="3"/>
        <v>0.953125</v>
      </c>
      <c r="AA9" s="2">
        <f t="shared" si="2"/>
        <v>4.2375286628666409E-3</v>
      </c>
      <c r="AB9" s="2">
        <f t="shared" si="4"/>
        <v>8.5512828866803566E-5</v>
      </c>
      <c r="AC9" s="2">
        <f t="shared" si="5"/>
        <v>-4.9556621523841912E-5</v>
      </c>
      <c r="AD9" s="2">
        <f t="shared" si="6"/>
        <v>3.125E-2</v>
      </c>
      <c r="AF9" s="2">
        <v>5</v>
      </c>
      <c r="AG9" s="2">
        <f t="shared" si="13"/>
        <v>3468.75</v>
      </c>
      <c r="AH9" s="2">
        <v>-117.29259542048294</v>
      </c>
      <c r="AI9" s="2">
        <f t="shared" si="14"/>
        <v>4062.5</v>
      </c>
      <c r="AJ9" s="2">
        <v>38.757291617313058</v>
      </c>
      <c r="AK9" s="2">
        <f t="shared" si="9"/>
        <v>3765.625</v>
      </c>
      <c r="AL9" s="2">
        <v>-35.800457566205296</v>
      </c>
      <c r="AM9" s="2">
        <f t="shared" si="10"/>
        <v>4199.1285851810853</v>
      </c>
      <c r="AN9" s="2">
        <f t="shared" si="11"/>
        <v>-1387.5287739266603</v>
      </c>
      <c r="AO9" s="2">
        <f t="shared" si="12"/>
        <v>593.75</v>
      </c>
    </row>
    <row r="10" spans="2:41" x14ac:dyDescent="0.2">
      <c r="B10" s="6" t="s">
        <v>134</v>
      </c>
      <c r="C10" s="16">
        <v>1.5570160692541899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1045.6372801375153</v>
      </c>
      <c r="H10" s="22" t="s">
        <v>97</v>
      </c>
      <c r="J10" s="6" t="s">
        <v>92</v>
      </c>
      <c r="K10" s="6">
        <f xml:space="preserve"> $C$18 * (G10*G6 + G20*G13 + G29*G25 + G33*G32)/3600</f>
        <v>237.84997951259606</v>
      </c>
      <c r="L10" s="6" t="s">
        <v>98</v>
      </c>
      <c r="N10" s="6" t="s">
        <v>39</v>
      </c>
      <c r="O10" s="6">
        <f xml:space="preserve"> O5 * $C$12 * O9</f>
        <v>1783.8355568323489</v>
      </c>
      <c r="P10" s="6" t="s">
        <v>21</v>
      </c>
      <c r="U10" s="2">
        <v>6</v>
      </c>
      <c r="V10" s="2">
        <f t="shared" si="7"/>
        <v>0.953125</v>
      </c>
      <c r="W10" s="2">
        <f t="shared" si="0"/>
        <v>4.2375286628666409E-3</v>
      </c>
      <c r="X10" s="2">
        <f t="shared" si="8"/>
        <v>0.96875</v>
      </c>
      <c r="Y10" s="2">
        <f t="shared" si="1"/>
        <v>-1.1694698836636874E-2</v>
      </c>
      <c r="Z10" s="2">
        <f t="shared" si="3"/>
        <v>0.9609375</v>
      </c>
      <c r="AA10" s="2">
        <f t="shared" si="2"/>
        <v>-3.7298204097641063E-3</v>
      </c>
      <c r="AB10" s="2">
        <f t="shared" si="4"/>
        <v>-1.5805220893720401E-5</v>
      </c>
      <c r="AC10" s="2">
        <f t="shared" si="5"/>
        <v>4.3619126406932763E-5</v>
      </c>
      <c r="AD10" s="2">
        <f t="shared" si="6"/>
        <v>1.5625E-2</v>
      </c>
      <c r="AF10" s="2">
        <v>6</v>
      </c>
      <c r="AG10" s="2">
        <f t="shared" si="13"/>
        <v>3765.625</v>
      </c>
      <c r="AH10" s="2">
        <v>-35.800457566205296</v>
      </c>
      <c r="AI10" s="2">
        <f t="shared" si="14"/>
        <v>4062.5</v>
      </c>
      <c r="AJ10" s="2">
        <v>38.757291617313058</v>
      </c>
      <c r="AK10" s="2">
        <f t="shared" si="9"/>
        <v>3914.0625</v>
      </c>
      <c r="AL10" s="2">
        <v>2.3428815495653907</v>
      </c>
      <c r="AM10" s="2">
        <f t="shared" si="10"/>
        <v>-83.876231497861085</v>
      </c>
      <c r="AN10" s="2">
        <f t="shared" si="11"/>
        <v>90.803743441328152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43.438453333333335</v>
      </c>
      <c r="L11" s="6" t="s">
        <v>99</v>
      </c>
      <c r="N11" s="6" t="s">
        <v>137</v>
      </c>
      <c r="O11" s="6">
        <f xml:space="preserve"> 1.78 * (1 - 0.045 * $C$13^0.68) - 0.64</f>
        <v>0.70946263152096323</v>
      </c>
      <c r="U11" s="2">
        <v>7</v>
      </c>
      <c r="V11" s="2">
        <f t="shared" si="7"/>
        <v>0.953125</v>
      </c>
      <c r="W11" s="2">
        <f t="shared" si="0"/>
        <v>4.2375286628666409E-3</v>
      </c>
      <c r="X11" s="2">
        <f t="shared" si="8"/>
        <v>0.9609375</v>
      </c>
      <c r="Y11" s="2">
        <f t="shared" si="1"/>
        <v>-3.7298204097641063E-3</v>
      </c>
      <c r="Z11" s="2">
        <f t="shared" si="3"/>
        <v>0.95703125</v>
      </c>
      <c r="AA11" s="2">
        <f t="shared" si="2"/>
        <v>2.5354156939128014E-4</v>
      </c>
      <c r="AB11" s="2">
        <f t="shared" si="4"/>
        <v>1.0743896675237409E-6</v>
      </c>
      <c r="AC11" s="2">
        <f t="shared" si="5"/>
        <v>-9.456645202392191E-7</v>
      </c>
      <c r="AD11" s="2">
        <f t="shared" si="6"/>
        <v>7.8125E-3</v>
      </c>
      <c r="AF11" s="2">
        <v>7</v>
      </c>
      <c r="AG11" s="2">
        <f t="shared" si="13"/>
        <v>3765.625</v>
      </c>
      <c r="AH11" s="2">
        <v>-35.800457566205296</v>
      </c>
      <c r="AI11" s="2">
        <f t="shared" si="14"/>
        <v>3914.0625</v>
      </c>
      <c r="AJ11" s="2">
        <v>2.3428815495653907</v>
      </c>
      <c r="AK11" s="2">
        <f t="shared" si="9"/>
        <v>3839.84375</v>
      </c>
      <c r="AL11" s="2">
        <v>-16.512375187323414</v>
      </c>
      <c r="AM11" s="2">
        <f t="shared" si="10"/>
        <v>591.1505872110331</v>
      </c>
      <c r="AN11" s="2">
        <f t="shared" si="11"/>
        <v>-38.686539165881392</v>
      </c>
      <c r="AO11" s="2">
        <f t="shared" si="12"/>
        <v>148.4375</v>
      </c>
    </row>
    <row r="12" spans="2:41" x14ac:dyDescent="0.2">
      <c r="B12" s="6" t="s">
        <v>135</v>
      </c>
      <c r="C12" s="16">
        <v>19.096250475730201</v>
      </c>
      <c r="D12" s="6" t="s">
        <v>11</v>
      </c>
      <c r="F12" s="28" t="s">
        <v>82</v>
      </c>
      <c r="G12" s="29"/>
      <c r="H12" s="29"/>
      <c r="N12" s="6" t="s">
        <v>138</v>
      </c>
      <c r="O12" s="6">
        <f xml:space="preserve"> O4 / (O5 * $C$12)</f>
        <v>0.50295886095010667</v>
      </c>
      <c r="U12" s="2">
        <v>8</v>
      </c>
      <c r="V12" s="2">
        <f t="shared" si="7"/>
        <v>0.95703125</v>
      </c>
      <c r="W12" s="2">
        <f t="shared" si="0"/>
        <v>2.5354156939128014E-4</v>
      </c>
      <c r="X12" s="2">
        <f t="shared" si="8"/>
        <v>0.9609375</v>
      </c>
      <c r="Y12" s="2">
        <f t="shared" si="1"/>
        <v>-3.7298204097641063E-3</v>
      </c>
      <c r="Z12" s="2">
        <f t="shared" si="3"/>
        <v>0.958984375</v>
      </c>
      <c r="AA12" s="2">
        <f t="shared" si="2"/>
        <v>-1.7382170890145598E-3</v>
      </c>
      <c r="AB12" s="2">
        <f t="shared" si="4"/>
        <v>-4.40710288691494E-7</v>
      </c>
      <c r="AC12" s="2">
        <f t="shared" si="5"/>
        <v>6.4832375752072576E-6</v>
      </c>
      <c r="AD12" s="2">
        <f t="shared" si="6"/>
        <v>3.90625E-3</v>
      </c>
      <c r="AF12" s="2">
        <v>8</v>
      </c>
      <c r="AG12" s="2">
        <f t="shared" si="13"/>
        <v>3839.84375</v>
      </c>
      <c r="AH12" s="2">
        <v>-16.512375187323414</v>
      </c>
      <c r="AI12" s="2">
        <f t="shared" si="14"/>
        <v>3914.0625</v>
      </c>
      <c r="AJ12" s="2">
        <v>2.3428815495653907</v>
      </c>
      <c r="AK12" s="2">
        <f t="shared" si="9"/>
        <v>3876.953125</v>
      </c>
      <c r="AL12" s="2">
        <v>-7.0306805612726748</v>
      </c>
      <c r="AM12" s="2">
        <f t="shared" si="10"/>
        <v>116.09323524995597</v>
      </c>
      <c r="AN12" s="2">
        <f t="shared" si="11"/>
        <v>-16.472051767893795</v>
      </c>
      <c r="AO12" s="2">
        <f t="shared" si="12"/>
        <v>74.21875</v>
      </c>
    </row>
    <row r="13" spans="2:41" x14ac:dyDescent="0.2">
      <c r="B13" s="6" t="s">
        <v>136</v>
      </c>
      <c r="C13" s="16">
        <v>11.860030014654701</v>
      </c>
      <c r="F13" s="8" t="s">
        <v>85</v>
      </c>
      <c r="G13" s="6">
        <f xml:space="preserve"> $C$17/$C$7</f>
        <v>1086.3072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3.3014539560084148E-2</v>
      </c>
      <c r="U13" s="2">
        <v>9</v>
      </c>
      <c r="V13" s="2">
        <f t="shared" si="7"/>
        <v>0.95703125</v>
      </c>
      <c r="W13" s="2">
        <f t="shared" si="0"/>
        <v>2.5354156939128014E-4</v>
      </c>
      <c r="X13" s="2">
        <f t="shared" si="8"/>
        <v>0.958984375</v>
      </c>
      <c r="Y13" s="2">
        <f t="shared" si="1"/>
        <v>-1.7382170890145598E-3</v>
      </c>
      <c r="Z13" s="2">
        <f t="shared" si="3"/>
        <v>0.9580078125</v>
      </c>
      <c r="AA13" s="2">
        <f t="shared" si="2"/>
        <v>-7.4235723553217614E-4</v>
      </c>
      <c r="AB13" s="2">
        <f t="shared" si="4"/>
        <v>-1.8821841854580014E-7</v>
      </c>
      <c r="AC13" s="2">
        <f t="shared" si="5"/>
        <v>1.2903780329556352E-6</v>
      </c>
      <c r="AD13" s="2">
        <f t="shared" si="6"/>
        <v>1.953125E-3</v>
      </c>
      <c r="AF13" s="2">
        <v>9</v>
      </c>
      <c r="AG13" s="2">
        <f t="shared" si="13"/>
        <v>3876.953125</v>
      </c>
      <c r="AH13" s="2">
        <v>-7.0306805612726748</v>
      </c>
      <c r="AI13" s="2">
        <f t="shared" si="14"/>
        <v>3914.0625</v>
      </c>
      <c r="AJ13" s="2">
        <v>2.3428815495653907</v>
      </c>
      <c r="AK13" s="2">
        <f t="shared" si="9"/>
        <v>3895.5078125</v>
      </c>
      <c r="AL13" s="2">
        <v>-2.330387802146106</v>
      </c>
      <c r="AM13" s="2">
        <f t="shared" si="10"/>
        <v>16.384212220775581</v>
      </c>
      <c r="AN13" s="2">
        <f t="shared" si="11"/>
        <v>-5.4598225849803539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94.385900791853089</v>
      </c>
      <c r="H14" s="6" t="s">
        <v>10</v>
      </c>
      <c r="J14" s="9" t="s">
        <v>75</v>
      </c>
      <c r="K14" s="17">
        <f>C5</f>
        <v>3904.72077256485</v>
      </c>
      <c r="L14" s="6" t="s">
        <v>7</v>
      </c>
      <c r="N14" s="6" t="s">
        <v>40</v>
      </c>
      <c r="O14" s="6">
        <f xml:space="preserve"> O5 * O13 * $C$12</f>
        <v>2511.9637905127183</v>
      </c>
      <c r="P14" s="6" t="s">
        <v>21</v>
      </c>
      <c r="U14" s="2">
        <v>10</v>
      </c>
      <c r="V14" s="2">
        <f t="shared" si="7"/>
        <v>0.95703125</v>
      </c>
      <c r="W14" s="2">
        <f t="shared" si="0"/>
        <v>2.5354156939128014E-4</v>
      </c>
      <c r="X14" s="2">
        <f t="shared" si="8"/>
        <v>0.9580078125</v>
      </c>
      <c r="Y14" s="2">
        <f t="shared" si="1"/>
        <v>-7.4235723553217614E-4</v>
      </c>
      <c r="Z14" s="2">
        <f t="shared" si="3"/>
        <v>0.95751953125</v>
      </c>
      <c r="AA14" s="2">
        <f t="shared" si="2"/>
        <v>-2.4441270934039139E-4</v>
      </c>
      <c r="AB14" s="2">
        <f t="shared" si="4"/>
        <v>-6.196878190533763E-8</v>
      </c>
      <c r="AC14" s="2">
        <f t="shared" si="5"/>
        <v>1.8144154323486223E-7</v>
      </c>
      <c r="AD14" s="2">
        <f t="shared" si="6"/>
        <v>9.765625E-4</v>
      </c>
      <c r="AF14" s="2">
        <v>10</v>
      </c>
      <c r="AG14" s="2">
        <f t="shared" si="13"/>
        <v>3895.5078125</v>
      </c>
      <c r="AH14" s="2">
        <v>-2.330387802146106</v>
      </c>
      <c r="AI14" s="2">
        <f t="shared" si="14"/>
        <v>3914.0625</v>
      </c>
      <c r="AJ14" s="2">
        <v>2.3428815495653907</v>
      </c>
      <c r="AK14" s="2">
        <f t="shared" si="9"/>
        <v>3904.78515625</v>
      </c>
      <c r="AL14" s="2">
        <v>9.6246227408300911E-3</v>
      </c>
      <c r="AM14" s="2">
        <f t="shared" si="10"/>
        <v>-2.2429103435488467E-2</v>
      </c>
      <c r="AN14" s="2">
        <f t="shared" si="11"/>
        <v>2.2549351041018302E-2</v>
      </c>
      <c r="AO14" s="2">
        <f t="shared" si="12"/>
        <v>18.5546875</v>
      </c>
    </row>
    <row r="15" spans="2:41" x14ac:dyDescent="0.2">
      <c r="B15" s="27" t="s">
        <v>12</v>
      </c>
      <c r="C15" s="27"/>
      <c r="D15" s="27"/>
      <c r="F15" s="6" t="s">
        <v>143</v>
      </c>
      <c r="G15" s="6">
        <f>G14/$C$73</f>
        <v>0.28367817908653697</v>
      </c>
      <c r="H15" s="6" t="s">
        <v>120</v>
      </c>
      <c r="J15" s="10" t="s">
        <v>53</v>
      </c>
      <c r="K15" s="6">
        <f xml:space="preserve"> 1000 * K10 / ($C$60 * $C$61 * $C$62)</f>
        <v>1399.1175265446827</v>
      </c>
      <c r="L15" s="6" t="s">
        <v>7</v>
      </c>
      <c r="N15" s="6" t="s">
        <v>140</v>
      </c>
      <c r="O15" s="6">
        <f>O4/O14</f>
        <v>15.23446540984637</v>
      </c>
      <c r="U15" s="2">
        <v>11</v>
      </c>
      <c r="V15" s="2">
        <f t="shared" si="7"/>
        <v>0.95703125</v>
      </c>
      <c r="W15" s="2">
        <f t="shared" si="0"/>
        <v>2.5354156939128014E-4</v>
      </c>
      <c r="X15" s="2">
        <f t="shared" si="8"/>
        <v>0.95751953125</v>
      </c>
      <c r="Y15" s="2">
        <f t="shared" si="1"/>
        <v>-2.4441270934039139E-4</v>
      </c>
      <c r="Z15" s="2">
        <f t="shared" si="3"/>
        <v>0.957275390625</v>
      </c>
      <c r="AA15" s="2">
        <f t="shared" si="2"/>
        <v>4.5632100388326435E-6</v>
      </c>
      <c r="AB15" s="2">
        <f t="shared" si="4"/>
        <v>1.1569634347076729E-9</v>
      </c>
      <c r="AC15" s="2">
        <f t="shared" si="5"/>
        <v>-1.1153065288803589E-9</v>
      </c>
      <c r="AD15" s="2">
        <f t="shared" si="6"/>
        <v>4.8828125E-4</v>
      </c>
      <c r="AF15" s="2">
        <v>11</v>
      </c>
      <c r="AG15" s="2">
        <f t="shared" si="13"/>
        <v>3895.5078125</v>
      </c>
      <c r="AH15" s="2">
        <v>-2.330387802146106</v>
      </c>
      <c r="AI15" s="2">
        <f t="shared" si="14"/>
        <v>3904.78515625</v>
      </c>
      <c r="AJ15" s="2">
        <v>9.6246227408300911E-3</v>
      </c>
      <c r="AK15" s="2">
        <f t="shared" si="9"/>
        <v>3900.146484375</v>
      </c>
      <c r="AL15" s="2">
        <v>-1.1595372135698199</v>
      </c>
      <c r="AM15" s="2">
        <f t="shared" si="10"/>
        <v>2.7021713786375923</v>
      </c>
      <c r="AN15" s="2">
        <f t="shared" si="11"/>
        <v>-1.1160108234562847E-2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2511.9637905127183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296.08078039209988</v>
      </c>
      <c r="L16" s="6" t="s">
        <v>7</v>
      </c>
      <c r="N16" s="6" t="s">
        <v>111</v>
      </c>
      <c r="O16" s="6">
        <f>(O13*$C$12)/(0.3048^2)/($C$5*2.20462/1000)^(2/3)</f>
        <v>1.6156263884128261</v>
      </c>
      <c r="U16" s="2">
        <v>12</v>
      </c>
      <c r="V16" s="2">
        <f t="shared" si="7"/>
        <v>0.957275390625</v>
      </c>
      <c r="W16" s="2">
        <f t="shared" si="0"/>
        <v>4.5632100388326435E-6</v>
      </c>
      <c r="X16" s="2">
        <f t="shared" si="8"/>
        <v>0.95751953125</v>
      </c>
      <c r="Y16" s="2">
        <f t="shared" si="1"/>
        <v>-2.4441270934039139E-4</v>
      </c>
      <c r="Z16" s="2">
        <f t="shared" si="3"/>
        <v>0.9573974609375</v>
      </c>
      <c r="AA16" s="2">
        <f t="shared" si="2"/>
        <v>-1.1992505453239932E-4</v>
      </c>
      <c r="AB16" s="2">
        <f t="shared" si="4"/>
        <v>-5.4724321274979681E-10</v>
      </c>
      <c r="AC16" s="2">
        <f t="shared" si="5"/>
        <v>2.9311207496057904E-8</v>
      </c>
      <c r="AD16" s="2">
        <f t="shared" si="6"/>
        <v>2.44140625E-4</v>
      </c>
      <c r="AF16" s="2">
        <v>12</v>
      </c>
      <c r="AG16" s="2">
        <f t="shared" si="13"/>
        <v>3900.146484375</v>
      </c>
      <c r="AH16" s="2">
        <v>-1.1595372135698199</v>
      </c>
      <c r="AI16" s="2">
        <f t="shared" si="14"/>
        <v>3904.78515625</v>
      </c>
      <c r="AJ16" s="2">
        <v>9.6246227408300911E-3</v>
      </c>
      <c r="AK16" s="2">
        <f t="shared" si="9"/>
        <v>3902.4658203125</v>
      </c>
      <c r="AL16" s="2">
        <v>-0.57474521039694082</v>
      </c>
      <c r="AM16" s="2">
        <f t="shared" si="10"/>
        <v>0.66643845977626859</v>
      </c>
      <c r="AN16" s="2">
        <f t="shared" si="11"/>
        <v>-5.5317058221695716E-3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234.02198688996151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0.957275390625</v>
      </c>
      <c r="W17" s="2">
        <f t="shared" si="0"/>
        <v>4.5632100388326435E-6</v>
      </c>
      <c r="X17" s="2">
        <f t="shared" si="8"/>
        <v>0.9573974609375</v>
      </c>
      <c r="Y17" s="2">
        <f t="shared" si="1"/>
        <v>-1.1992505453239932E-4</v>
      </c>
      <c r="Z17" s="2">
        <f t="shared" si="3"/>
        <v>0.95733642578125</v>
      </c>
      <c r="AA17" s="2">
        <f t="shared" si="2"/>
        <v>-5.7680998481579593E-5</v>
      </c>
      <c r="AB17" s="2">
        <f t="shared" si="4"/>
        <v>-2.6321051132103449E-10</v>
      </c>
      <c r="AC17" s="2">
        <f t="shared" si="5"/>
        <v>6.9173968883866753E-9</v>
      </c>
      <c r="AD17" s="2">
        <f t="shared" si="6"/>
        <v>1.220703125E-4</v>
      </c>
      <c r="AF17" s="2">
        <v>13</v>
      </c>
      <c r="AG17" s="2">
        <f t="shared" si="13"/>
        <v>3902.4658203125</v>
      </c>
      <c r="AH17" s="2">
        <v>-0.57474521039694082</v>
      </c>
      <c r="AI17" s="2">
        <f t="shared" si="14"/>
        <v>3904.78515625</v>
      </c>
      <c r="AJ17" s="2">
        <v>9.6246227408300911E-3</v>
      </c>
      <c r="AK17" s="2">
        <f t="shared" si="9"/>
        <v>3903.62548828125</v>
      </c>
      <c r="AL17" s="2">
        <v>-0.28250805590914752</v>
      </c>
      <c r="AM17" s="2">
        <f t="shared" si="10"/>
        <v>0.16237015203233371</v>
      </c>
      <c r="AN17" s="2">
        <f t="shared" si="11"/>
        <v>-2.7190334593708799E-3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1.0952319424037604</v>
      </c>
      <c r="H18" s="6" t="s">
        <v>172</v>
      </c>
      <c r="J18" s="12" t="s">
        <v>54</v>
      </c>
      <c r="K18" s="6">
        <f xml:space="preserve"> $C$78 * (0.2138 * K4 + 0.2138 * K6)</f>
        <v>328.30938154856949</v>
      </c>
      <c r="L18" s="6" t="s">
        <v>7</v>
      </c>
      <c r="N18" s="28" t="s">
        <v>141</v>
      </c>
      <c r="O18" s="31"/>
      <c r="P18" s="31"/>
      <c r="U18" s="2">
        <v>14</v>
      </c>
      <c r="V18" s="2">
        <f t="shared" si="7"/>
        <v>0.957275390625</v>
      </c>
      <c r="W18" s="2">
        <f t="shared" si="0"/>
        <v>4.5632100388326435E-6</v>
      </c>
      <c r="X18" s="2">
        <f t="shared" si="8"/>
        <v>0.95733642578125</v>
      </c>
      <c r="Y18" s="2">
        <f t="shared" si="1"/>
        <v>-5.7680998481579593E-5</v>
      </c>
      <c r="Z18" s="2">
        <f t="shared" si="3"/>
        <v>0.957305908203125</v>
      </c>
      <c r="AA18" s="2">
        <f t="shared" si="2"/>
        <v>-2.6558913281848895E-5</v>
      </c>
      <c r="AB18" s="2">
        <f t="shared" si="4"/>
        <v>-1.211938997082185E-10</v>
      </c>
      <c r="AC18" s="2">
        <f t="shared" si="5"/>
        <v>1.5319446366827303E-9</v>
      </c>
      <c r="AD18" s="2">
        <f t="shared" si="6"/>
        <v>6.103515625E-5</v>
      </c>
      <c r="AF18" s="2">
        <v>14</v>
      </c>
      <c r="AG18" s="2">
        <f t="shared" si="13"/>
        <v>3903.62548828125</v>
      </c>
      <c r="AH18" s="2">
        <v>-0.28250805590914752</v>
      </c>
      <c r="AI18" s="2">
        <f t="shared" si="14"/>
        <v>3904.78515625</v>
      </c>
      <c r="AJ18" s="2">
        <v>9.6246227408300911E-3</v>
      </c>
      <c r="AK18" s="2">
        <f t="shared" si="9"/>
        <v>3904.205322265625</v>
      </c>
      <c r="AL18" s="2">
        <v>-0.13642865728297693</v>
      </c>
      <c r="AM18" s="2">
        <f t="shared" si="10"/>
        <v>3.8542194739309171E-2</v>
      </c>
      <c r="AN18" s="2">
        <f t="shared" si="11"/>
        <v>-1.3130743573866546E-3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4.3187474814878252E-2</v>
      </c>
      <c r="J19" s="12" t="s">
        <v>73</v>
      </c>
      <c r="K19" s="6">
        <f xml:space="preserve"> $C$78 * (0.1149 * K4 + 0.1149 * K6)</f>
        <v>176.43941973774849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0.957275390625</v>
      </c>
      <c r="W19" s="2">
        <f t="shared" si="0"/>
        <v>4.5632100388326435E-6</v>
      </c>
      <c r="X19" s="2">
        <f t="shared" si="8"/>
        <v>0.957305908203125</v>
      </c>
      <c r="Y19" s="2">
        <f t="shared" si="1"/>
        <v>-2.6558913281848895E-5</v>
      </c>
      <c r="Z19" s="2">
        <f t="shared" si="3"/>
        <v>0.9572906494140625</v>
      </c>
      <c r="AA19" s="2">
        <f t="shared" si="2"/>
        <v>-1.0997856386807392E-5</v>
      </c>
      <c r="AB19" s="2">
        <f t="shared" si="4"/>
        <v>-5.0185528669919193E-11</v>
      </c>
      <c r="AC19" s="2">
        <f t="shared" si="5"/>
        <v>2.9209111406344556E-10</v>
      </c>
      <c r="AD19" s="2">
        <f t="shared" si="6"/>
        <v>3.0517578125E-5</v>
      </c>
      <c r="AF19" s="2">
        <v>15</v>
      </c>
      <c r="AG19" s="2">
        <f t="shared" si="13"/>
        <v>3904.205322265625</v>
      </c>
      <c r="AH19" s="2">
        <v>-0.13642865728297693</v>
      </c>
      <c r="AI19" s="2">
        <f t="shared" si="14"/>
        <v>3904.78515625</v>
      </c>
      <c r="AJ19" s="2">
        <v>9.6246227408300911E-3</v>
      </c>
      <c r="AK19" s="2">
        <f t="shared" si="9"/>
        <v>3904.4952392578125</v>
      </c>
      <c r="AL19" s="2">
        <v>-6.3399284752449603E-2</v>
      </c>
      <c r="AM19" s="2">
        <f t="shared" si="10"/>
        <v>8.6494792914778122E-3</v>
      </c>
      <c r="AN19" s="2">
        <f t="shared" si="11"/>
        <v>-6.1019419778078892E-4</v>
      </c>
      <c r="AO19" s="2">
        <f t="shared" si="12"/>
        <v>0.579833984375</v>
      </c>
    </row>
    <row r="20" spans="2:41" x14ac:dyDescent="0.2">
      <c r="B20" s="27" t="s">
        <v>108</v>
      </c>
      <c r="C20" s="27"/>
      <c r="D20" s="27"/>
      <c r="F20" s="23" t="s">
        <v>128</v>
      </c>
      <c r="G20" s="22">
        <f xml:space="preserve"> $C$28 * G17</f>
        <v>234.02198688996151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233.41807770295247</v>
      </c>
      <c r="L20" s="6" t="s">
        <v>7</v>
      </c>
      <c r="N20" s="6" t="s">
        <v>20</v>
      </c>
      <c r="O20" s="6">
        <f xml:space="preserve"> O14 / $C$28</f>
        <v>2511.9637905127183</v>
      </c>
      <c r="P20" s="6" t="s">
        <v>21</v>
      </c>
      <c r="U20" s="2">
        <v>16</v>
      </c>
      <c r="V20" s="2">
        <f t="shared" si="7"/>
        <v>0.957275390625</v>
      </c>
      <c r="W20" s="2">
        <f t="shared" si="0"/>
        <v>4.5632100388326435E-6</v>
      </c>
      <c r="X20" s="2">
        <f t="shared" si="8"/>
        <v>0.9572906494140625</v>
      </c>
      <c r="Y20" s="2">
        <f t="shared" si="1"/>
        <v>-1.0997856386807392E-5</v>
      </c>
      <c r="Z20" s="2">
        <f t="shared" si="3"/>
        <v>0.95728302001953125</v>
      </c>
      <c r="AA20" s="2">
        <f t="shared" si="2"/>
        <v>-3.2173243653677019E-6</v>
      </c>
      <c r="AB20" s="2">
        <f t="shared" si="4"/>
        <v>-1.4681326842226761E-11</v>
      </c>
      <c r="AC20" s="2">
        <f t="shared" si="5"/>
        <v>3.5383671320090221E-11</v>
      </c>
      <c r="AD20" s="2">
        <f t="shared" si="6"/>
        <v>1.52587890625E-5</v>
      </c>
      <c r="AF20" s="2">
        <v>16</v>
      </c>
      <c r="AG20" s="2">
        <f t="shared" si="13"/>
        <v>3904.4952392578125</v>
      </c>
      <c r="AH20" s="2">
        <v>-6.3399284752449603E-2</v>
      </c>
      <c r="AI20" s="2">
        <f t="shared" si="14"/>
        <v>3904.78515625</v>
      </c>
      <c r="AJ20" s="2">
        <v>9.6246227408300911E-3</v>
      </c>
      <c r="AK20" s="2">
        <f t="shared" si="9"/>
        <v>3904.6401977539062</v>
      </c>
      <c r="AL20" s="2">
        <v>-2.6885982518251694E-2</v>
      </c>
      <c r="AM20" s="2">
        <f t="shared" si="10"/>
        <v>1.7045520615240211E-3</v>
      </c>
      <c r="AN20" s="2">
        <f t="shared" si="11"/>
        <v>-2.5876743875472556E-4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101.52274008668611</v>
      </c>
      <c r="L21" s="6" t="s">
        <v>7</v>
      </c>
      <c r="N21" s="6" t="s">
        <v>27</v>
      </c>
      <c r="O21" s="6">
        <f>$C$6*2*PI()/60</f>
        <v>60.619734539453979</v>
      </c>
      <c r="P21" s="6" t="s">
        <v>28</v>
      </c>
      <c r="U21" s="2">
        <v>17</v>
      </c>
      <c r="V21" s="2">
        <f t="shared" si="7"/>
        <v>0.957275390625</v>
      </c>
      <c r="W21" s="2">
        <f t="shared" si="0"/>
        <v>4.5632100388326435E-6</v>
      </c>
      <c r="X21" s="2">
        <f t="shared" si="8"/>
        <v>0.95728302001953125</v>
      </c>
      <c r="Y21" s="2">
        <f t="shared" si="1"/>
        <v>-3.2173243653677019E-6</v>
      </c>
      <c r="Z21" s="2">
        <f t="shared" si="3"/>
        <v>0.95727920532226562</v>
      </c>
      <c r="AA21" s="2">
        <f t="shared" si="2"/>
        <v>6.7294253891514444E-7</v>
      </c>
      <c r="AB21" s="2">
        <f t="shared" si="4"/>
        <v>3.0707781491351141E-12</v>
      </c>
      <c r="AC21" s="2">
        <f t="shared" si="5"/>
        <v>-2.1650744269440973E-12</v>
      </c>
      <c r="AD21" s="2">
        <f t="shared" si="6"/>
        <v>7.62939453125E-6</v>
      </c>
      <c r="AF21" s="2">
        <v>17</v>
      </c>
      <c r="AG21" s="2">
        <f t="shared" si="13"/>
        <v>3904.6401977539062</v>
      </c>
      <c r="AH21" s="2">
        <v>-2.6885982518251694E-2</v>
      </c>
      <c r="AI21" s="2">
        <f t="shared" si="14"/>
        <v>3904.78515625</v>
      </c>
      <c r="AJ21" s="2">
        <v>9.6246227408300911E-3</v>
      </c>
      <c r="AK21" s="2">
        <f t="shared" si="9"/>
        <v>3904.7126770019531</v>
      </c>
      <c r="AL21" s="2">
        <v>-8.6310081405827077E-3</v>
      </c>
      <c r="AM21" s="2">
        <f t="shared" si="10"/>
        <v>2.3205313398259474E-4</v>
      </c>
      <c r="AN21" s="2">
        <f t="shared" si="11"/>
        <v>-8.3070197226141969E-5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7" t="s">
        <v>77</v>
      </c>
      <c r="G22" s="27"/>
      <c r="H22" s="27"/>
      <c r="J22" s="13" t="s">
        <v>144</v>
      </c>
      <c r="K22" s="6">
        <f xml:space="preserve"> $C$79 * (0.04674 * ($C$5*2.20462)^0.397 * ($C$12*3.28084^2)^0.36 * $C$46^0.397 * $C$13^1.712 * 0.453592)</f>
        <v>449.27407803424541</v>
      </c>
      <c r="L22" s="6" t="s">
        <v>7</v>
      </c>
      <c r="N22" s="6" t="s">
        <v>29</v>
      </c>
      <c r="O22" s="6">
        <f xml:space="preserve"> $C$7 * COS(O19/180*PI()) / (O21 * $C$10)</f>
        <v>8.2079813490468737E-2</v>
      </c>
      <c r="U22" s="2">
        <v>18</v>
      </c>
      <c r="V22" s="2">
        <f t="shared" si="7"/>
        <v>0.95727920532226562</v>
      </c>
      <c r="W22" s="2">
        <f t="shared" si="0"/>
        <v>6.7294253891514444E-7</v>
      </c>
      <c r="X22" s="2">
        <f t="shared" si="8"/>
        <v>0.95728302001953125</v>
      </c>
      <c r="Y22" s="2">
        <f t="shared" si="1"/>
        <v>-3.2173243653677019E-6</v>
      </c>
      <c r="Z22" s="2">
        <f t="shared" si="3"/>
        <v>0.95728111267089844</v>
      </c>
      <c r="AA22" s="2">
        <f t="shared" si="2"/>
        <v>-1.2721909876667326E-6</v>
      </c>
      <c r="AB22" s="2">
        <f t="shared" si="4"/>
        <v>-8.5611143322541625E-13</v>
      </c>
      <c r="AC22" s="2">
        <f t="shared" si="5"/>
        <v>4.0930510620213803E-12</v>
      </c>
      <c r="AD22" s="2">
        <f t="shared" si="6"/>
        <v>3.814697265625E-6</v>
      </c>
      <c r="AF22" s="2">
        <v>18</v>
      </c>
      <c r="AG22" s="2">
        <f t="shared" si="13"/>
        <v>3904.7126770019531</v>
      </c>
      <c r="AH22" s="2">
        <v>-8.6310081405827077E-3</v>
      </c>
      <c r="AI22" s="2">
        <f t="shared" si="14"/>
        <v>3904.78515625</v>
      </c>
      <c r="AJ22" s="2">
        <v>9.6246227408300911E-3</v>
      </c>
      <c r="AK22" s="2">
        <f t="shared" si="9"/>
        <v>3904.7489166259766</v>
      </c>
      <c r="AL22" s="2">
        <v>4.9685830981616164E-4</v>
      </c>
      <c r="AM22" s="2">
        <f t="shared" si="10"/>
        <v>-4.2883881167394564E-6</v>
      </c>
      <c r="AN22" s="2">
        <f t="shared" si="11"/>
        <v>4.7820737876270325E-6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41.290835854026227</v>
      </c>
      <c r="L23" s="6" t="s">
        <v>7</v>
      </c>
      <c r="N23" s="6" t="s">
        <v>30</v>
      </c>
      <c r="O23" s="6">
        <f xml:space="preserve"> O20 / ( $C$71 * PI() * $C$10^2 * O21^2 * $C$10^2)</f>
        <v>3.6708614615072091E-2</v>
      </c>
      <c r="U23" s="2">
        <v>19</v>
      </c>
      <c r="V23" s="2">
        <f t="shared" si="7"/>
        <v>0.95727920532226562</v>
      </c>
      <c r="W23" s="2">
        <f t="shared" si="0"/>
        <v>6.7294253891514444E-7</v>
      </c>
      <c r="X23" s="2">
        <f t="shared" si="8"/>
        <v>0.95728111267089844</v>
      </c>
      <c r="Y23" s="2">
        <f t="shared" si="1"/>
        <v>-1.2721909876667326E-6</v>
      </c>
      <c r="Z23" s="2">
        <f t="shared" si="3"/>
        <v>0.95728015899658203</v>
      </c>
      <c r="AA23" s="2">
        <f t="shared" si="2"/>
        <v>-2.9962424297202972E-7</v>
      </c>
      <c r="AB23" s="2">
        <f t="shared" si="4"/>
        <v>-2.0162989878612579E-13</v>
      </c>
      <c r="AC23" s="2">
        <f t="shared" si="5"/>
        <v>3.8117926159548353E-13</v>
      </c>
      <c r="AD23" s="2">
        <f t="shared" si="6"/>
        <v>1.9073486328125E-6</v>
      </c>
      <c r="AF23" s="2">
        <v>19</v>
      </c>
      <c r="AG23" s="2">
        <f t="shared" si="13"/>
        <v>3904.7126770019531</v>
      </c>
      <c r="AH23" s="2">
        <v>-8.6310081405827077E-3</v>
      </c>
      <c r="AI23" s="2">
        <f t="shared" si="14"/>
        <v>3904.7489166259766</v>
      </c>
      <c r="AJ23" s="2">
        <v>4.9685830981616164E-4</v>
      </c>
      <c r="AK23" s="2">
        <f t="shared" si="9"/>
        <v>3904.7307968139648</v>
      </c>
      <c r="AL23" s="2">
        <v>-4.0670621629033121E-3</v>
      </c>
      <c r="AM23" s="2">
        <f t="shared" si="10"/>
        <v>3.5102846636274404E-5</v>
      </c>
      <c r="AN23" s="2">
        <f t="shared" si="11"/>
        <v>-2.0207536321774023E-6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11.994630299080546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0.95727920532226562</v>
      </c>
      <c r="W24" s="2">
        <f t="shared" si="0"/>
        <v>6.7294253891514444E-7</v>
      </c>
      <c r="X24" s="2">
        <f t="shared" si="8"/>
        <v>0.95728015899658203</v>
      </c>
      <c r="Y24" s="2">
        <f t="shared" si="1"/>
        <v>-2.9962424297202972E-7</v>
      </c>
      <c r="Z24" s="2">
        <f t="shared" si="3"/>
        <v>0.95727968215942383</v>
      </c>
      <c r="AA24" s="2">
        <f t="shared" si="2"/>
        <v>1.8665914336413181E-7</v>
      </c>
      <c r="AB24" s="2">
        <f t="shared" si="4"/>
        <v>1.2561087784718478E-13</v>
      </c>
      <c r="AC24" s="2">
        <f t="shared" si="5"/>
        <v>-5.5927604524285557E-14</v>
      </c>
      <c r="AD24" s="2">
        <f t="shared" si="6"/>
        <v>9.5367431640625E-7</v>
      </c>
      <c r="AF24" s="2">
        <v>20</v>
      </c>
      <c r="AG24" s="2">
        <f t="shared" si="13"/>
        <v>3904.7307968139648</v>
      </c>
      <c r="AH24" s="2">
        <v>-4.0670621629033121E-3</v>
      </c>
      <c r="AI24" s="2">
        <f t="shared" si="14"/>
        <v>3904.7489166259766</v>
      </c>
      <c r="AJ24" s="2">
        <v>4.9685830981616164E-4</v>
      </c>
      <c r="AK24" s="2">
        <f t="shared" si="9"/>
        <v>3904.7398567199707</v>
      </c>
      <c r="AL24" s="2">
        <v>-1.7850987387646455E-3</v>
      </c>
      <c r="AM24" s="2">
        <f t="shared" si="10"/>
        <v>7.2601075374761137E-6</v>
      </c>
      <c r="AN24" s="2">
        <f t="shared" si="11"/>
        <v>-8.8694114219756365E-7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71.236131124150745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6298.8215443706522</v>
      </c>
      <c r="P25" s="6" t="s">
        <v>19</v>
      </c>
      <c r="U25" s="2">
        <v>21</v>
      </c>
      <c r="V25" s="2">
        <f t="shared" si="7"/>
        <v>0.95727968215942383</v>
      </c>
      <c r="W25" s="2">
        <f t="shared" si="0"/>
        <v>1.8665914336413181E-7</v>
      </c>
      <c r="X25" s="2">
        <f t="shared" si="8"/>
        <v>0.95728015899658203</v>
      </c>
      <c r="Y25" s="2">
        <f t="shared" si="1"/>
        <v>-2.9962424297202972E-7</v>
      </c>
      <c r="Z25" s="2">
        <f t="shared" si="3"/>
        <v>0.95727992057800293</v>
      </c>
      <c r="AA25" s="2">
        <f t="shared" si="2"/>
        <v>-5.6482550969683132E-8</v>
      </c>
      <c r="AB25" s="2">
        <f t="shared" si="4"/>
        <v>-1.0542984579021966E-14</v>
      </c>
      <c r="AC25" s="2">
        <f t="shared" si="5"/>
        <v>1.6923541575420393E-14</v>
      </c>
      <c r="AD25" s="2">
        <f t="shared" si="6"/>
        <v>4.76837158203125E-7</v>
      </c>
      <c r="AF25" s="2">
        <v>21</v>
      </c>
      <c r="AG25" s="2">
        <f t="shared" si="13"/>
        <v>3904.7398567199707</v>
      </c>
      <c r="AH25" s="2">
        <v>-1.7850987387646455E-3</v>
      </c>
      <c r="AI25" s="2">
        <f t="shared" si="14"/>
        <v>3904.7489166259766</v>
      </c>
      <c r="AJ25" s="2">
        <v>4.9685830981616164E-4</v>
      </c>
      <c r="AK25" s="2">
        <f t="shared" si="9"/>
        <v>3904.7443866729736</v>
      </c>
      <c r="AL25" s="2">
        <v>-6.4465172226846335E-4</v>
      </c>
      <c r="AM25" s="2">
        <f t="shared" si="10"/>
        <v>1.1507669763638906E-6</v>
      </c>
      <c r="AN25" s="2">
        <f t="shared" si="11"/>
        <v>-3.2030056514638637E-7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4784.0107826349213</v>
      </c>
      <c r="H26" s="6" t="s">
        <v>21</v>
      </c>
      <c r="J26" s="14" t="s">
        <v>65</v>
      </c>
      <c r="K26" s="6">
        <f xml:space="preserve"> $C$80 * (0.0268 * $C$5)</f>
        <v>83.717213363790393</v>
      </c>
      <c r="L26" s="6" t="s">
        <v>7</v>
      </c>
      <c r="N26" s="6" t="s">
        <v>32</v>
      </c>
      <c r="O26" s="17">
        <f>Z34</f>
        <v>0.95727986516430974</v>
      </c>
      <c r="U26" s="2">
        <v>22</v>
      </c>
      <c r="V26" s="2">
        <f t="shared" si="7"/>
        <v>0.95727968215942383</v>
      </c>
      <c r="W26" s="2">
        <f t="shared" si="0"/>
        <v>1.8665914336413181E-7</v>
      </c>
      <c r="X26" s="2">
        <f t="shared" si="8"/>
        <v>0.95727992057800293</v>
      </c>
      <c r="Y26" s="2">
        <f t="shared" si="1"/>
        <v>-5.6482550969683132E-8</v>
      </c>
      <c r="Z26" s="2">
        <f t="shared" si="3"/>
        <v>0.95727980136871338</v>
      </c>
      <c r="AA26" s="2">
        <f t="shared" si="2"/>
        <v>6.5088295864157431E-8</v>
      </c>
      <c r="AB26" s="2">
        <f t="shared" si="4"/>
        <v>1.214932554903479E-14</v>
      </c>
      <c r="AC26" s="2">
        <f t="shared" si="5"/>
        <v>-3.6763529886770875E-15</v>
      </c>
      <c r="AD26" s="2">
        <f t="shared" si="6"/>
        <v>2.384185791015625E-7</v>
      </c>
      <c r="AF26" s="2">
        <v>22</v>
      </c>
      <c r="AG26" s="2">
        <f t="shared" si="13"/>
        <v>3904.7443866729736</v>
      </c>
      <c r="AH26" s="2">
        <v>-6.4465172226846335E-4</v>
      </c>
      <c r="AI26" s="2">
        <f t="shared" si="14"/>
        <v>3904.7489166259766</v>
      </c>
      <c r="AJ26" s="2">
        <v>4.9685830981616164E-4</v>
      </c>
      <c r="AK26" s="2">
        <f t="shared" si="9"/>
        <v>3904.7466516494751</v>
      </c>
      <c r="AL26" s="2">
        <v>-7.3364200943615288E-5</v>
      </c>
      <c r="AM26" s="2">
        <f t="shared" si="10"/>
        <v>4.7294358491151222E-8</v>
      </c>
      <c r="AN26" s="2">
        <f t="shared" si="11"/>
        <v>-3.6451612881857942E-8</v>
      </c>
      <c r="AO26" s="2">
        <f t="shared" si="12"/>
        <v>4.5299530029296875E-3</v>
      </c>
    </row>
    <row r="27" spans="2:41" x14ac:dyDescent="0.2">
      <c r="B27" s="27" t="s">
        <v>146</v>
      </c>
      <c r="C27" s="27"/>
      <c r="D27" s="27"/>
      <c r="F27" t="s">
        <v>93</v>
      </c>
      <c r="G27" s="6">
        <f>G29/$C$21</f>
        <v>122.33581190251216</v>
      </c>
      <c r="H27" t="s">
        <v>97</v>
      </c>
      <c r="J27" s="14" t="s">
        <v>66</v>
      </c>
      <c r="K27" s="6">
        <f xml:space="preserve"> $C$80 * (11.5 * ($C$5*2.20462/1000)^0.4 * 0.453592)</f>
        <v>9.8723991045377133</v>
      </c>
      <c r="L27" s="6" t="s">
        <v>7</v>
      </c>
      <c r="N27" s="6" t="s">
        <v>33</v>
      </c>
      <c r="O27" s="6">
        <f xml:space="preserve"> O21 * $C$10 * O26 - $C$7 * SIN(O19/180*PI())</f>
        <v>1.8030825530596672</v>
      </c>
      <c r="P27" s="6" t="s">
        <v>10</v>
      </c>
      <c r="U27" s="2">
        <v>23</v>
      </c>
      <c r="V27" s="2">
        <f t="shared" si="7"/>
        <v>0.95727980136871338</v>
      </c>
      <c r="W27" s="2">
        <f t="shared" si="0"/>
        <v>6.5088295864157431E-8</v>
      </c>
      <c r="X27" s="2">
        <f t="shared" si="8"/>
        <v>0.95727992057800293</v>
      </c>
      <c r="Y27" s="2">
        <f t="shared" si="1"/>
        <v>-5.6482550969683132E-8</v>
      </c>
      <c r="Z27" s="2">
        <f t="shared" si="3"/>
        <v>0.95727986097335815</v>
      </c>
      <c r="AA27" s="2">
        <f t="shared" si="2"/>
        <v>4.3028723917259981E-9</v>
      </c>
      <c r="AB27" s="2">
        <f t="shared" si="4"/>
        <v>2.8006663129837645E-16</v>
      </c>
      <c r="AC27" s="2">
        <f t="shared" si="5"/>
        <v>-2.4303720918170606E-16</v>
      </c>
      <c r="AD27" s="2">
        <f t="shared" si="6"/>
        <v>1.1920928955078125E-7</v>
      </c>
      <c r="AF27" s="2">
        <v>23</v>
      </c>
      <c r="AG27" s="2">
        <f t="shared" si="13"/>
        <v>3904.7466516494751</v>
      </c>
      <c r="AH27" s="2">
        <v>-7.3364200943615288E-5</v>
      </c>
      <c r="AI27" s="2">
        <f t="shared" si="14"/>
        <v>3904.7489166259766</v>
      </c>
      <c r="AJ27" s="2">
        <v>4.9685830981616164E-4</v>
      </c>
      <c r="AK27" s="2">
        <f t="shared" si="9"/>
        <v>3904.7477841377258</v>
      </c>
      <c r="AL27" s="2">
        <v>2.1121479858265957E-4</v>
      </c>
      <c r="AM27" s="2">
        <f t="shared" si="10"/>
        <v>-1.5495604925483466E-8</v>
      </c>
      <c r="AN27" s="2">
        <f t="shared" si="11"/>
        <v>1.0494382783194124E-7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3.9897564660751912</v>
      </c>
      <c r="H28" s="6" t="s">
        <v>172</v>
      </c>
      <c r="J28" s="14" t="s">
        <v>67</v>
      </c>
      <c r="K28" s="6">
        <f xml:space="preserve"> $C$80 * (8 * ($C$5/1000))</f>
        <v>24.990212944415042</v>
      </c>
      <c r="L28" s="6" t="s">
        <v>7</v>
      </c>
      <c r="N28" s="6" t="s">
        <v>34</v>
      </c>
      <c r="O28" s="6">
        <f xml:space="preserve"> 1/$C$31 - O25 * SQRT( (2*$C$71*PI()*$C$10^2) / O20^3 )</f>
        <v>1.1372368501511996</v>
      </c>
      <c r="U28" s="2">
        <v>24</v>
      </c>
      <c r="V28" s="2">
        <f t="shared" si="7"/>
        <v>0.95727986097335815</v>
      </c>
      <c r="W28" s="2">
        <f t="shared" si="0"/>
        <v>4.3028723917259981E-9</v>
      </c>
      <c r="X28" s="2">
        <f t="shared" si="8"/>
        <v>0.95727992057800293</v>
      </c>
      <c r="Y28" s="2">
        <f t="shared" si="1"/>
        <v>-5.6482550969683132E-8</v>
      </c>
      <c r="Z28" s="2">
        <f t="shared" si="3"/>
        <v>0.95727989077568054</v>
      </c>
      <c r="AA28" s="2">
        <f t="shared" si="2"/>
        <v>-2.6089839288978567E-8</v>
      </c>
      <c r="AB28" s="2">
        <f t="shared" si="4"/>
        <v>-1.1226124918111411E-16</v>
      </c>
      <c r="AC28" s="2">
        <f t="shared" si="5"/>
        <v>1.4736206774305735E-15</v>
      </c>
      <c r="AD28" s="2">
        <f t="shared" si="6"/>
        <v>5.9604644775390625E-8</v>
      </c>
      <c r="AF28" s="2">
        <v>24</v>
      </c>
      <c r="AG28" s="2">
        <f t="shared" si="13"/>
        <v>3904.7466516494751</v>
      </c>
      <c r="AH28" s="2">
        <v>-7.3364200943615288E-5</v>
      </c>
      <c r="AI28" s="2">
        <f t="shared" si="14"/>
        <v>3904.7477841377258</v>
      </c>
      <c r="AJ28" s="2">
        <v>2.1121479858265957E-4</v>
      </c>
      <c r="AK28" s="2">
        <f t="shared" si="9"/>
        <v>3904.7472178936005</v>
      </c>
      <c r="AL28" s="2">
        <v>6.8925310642953264E-5</v>
      </c>
      <c r="AM28" s="2">
        <f t="shared" si="10"/>
        <v>-5.0566503401107286E-9</v>
      </c>
      <c r="AN28" s="2">
        <f t="shared" si="11"/>
        <v>1.4558045604698616E-8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978.6864952200973</v>
      </c>
      <c r="H29" s="22" t="s">
        <v>97</v>
      </c>
      <c r="J29" s="14" t="s">
        <v>68</v>
      </c>
      <c r="K29" s="6">
        <f xml:space="preserve"> $C$80 * (13 * ($C$5*2.20462/1000)^1.3 * 0.453592)</f>
        <v>77.463937620513846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0.95727986097335815</v>
      </c>
      <c r="W29" s="2">
        <f t="shared" si="0"/>
        <v>4.3028723917259981E-9</v>
      </c>
      <c r="X29" s="2">
        <f t="shared" si="8"/>
        <v>0.95727989077568054</v>
      </c>
      <c r="Y29" s="2">
        <f t="shared" si="1"/>
        <v>-2.6089839288978567E-8</v>
      </c>
      <c r="Z29" s="2">
        <f t="shared" si="3"/>
        <v>0.95727987587451935</v>
      </c>
      <c r="AA29" s="2">
        <f t="shared" si="2"/>
        <v>-1.0893483448626284E-8</v>
      </c>
      <c r="AB29" s="2">
        <f t="shared" si="4"/>
        <v>-4.6873269180818154E-17</v>
      </c>
      <c r="AC29" s="2">
        <f t="shared" si="5"/>
        <v>2.8420923247180777E-16</v>
      </c>
      <c r="AD29" s="2">
        <f t="shared" si="6"/>
        <v>2.9802322387695312E-8</v>
      </c>
      <c r="AF29" s="2">
        <v>25</v>
      </c>
      <c r="AG29" s="2">
        <f t="shared" si="13"/>
        <v>3904.7466516494751</v>
      </c>
      <c r="AH29" s="2">
        <v>-7.3364200943615288E-5</v>
      </c>
      <c r="AI29" s="2">
        <f t="shared" si="14"/>
        <v>3904.7472178936005</v>
      </c>
      <c r="AJ29" s="2">
        <v>6.8925310642953264E-5</v>
      </c>
      <c r="AK29" s="2">
        <f t="shared" si="9"/>
        <v>3904.7469347715378</v>
      </c>
      <c r="AL29" s="2">
        <v>-2.2194412849785294E-6</v>
      </c>
      <c r="AM29" s="2">
        <f t="shared" si="10"/>
        <v>1.6282753641372056E-10</v>
      </c>
      <c r="AN29" s="2">
        <f t="shared" si="11"/>
        <v>-1.529756800209405E-10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-6.5917926485781209E-3</v>
      </c>
      <c r="L30" s="9" t="s">
        <v>7</v>
      </c>
      <c r="N30" s="6" t="s">
        <v>36</v>
      </c>
      <c r="O30" s="6">
        <f xml:space="preserve"> 1/$C$77 * LN( EXP($C$77 * O28) + EXP($C$77 * O29) )</f>
        <v>1.1673305030523211</v>
      </c>
      <c r="U30" s="2">
        <v>26</v>
      </c>
      <c r="V30" s="2">
        <f>IF(AB29&gt;0, Z29, V29)</f>
        <v>0.95727986097335815</v>
      </c>
      <c r="W30" s="2">
        <f t="shared" si="0"/>
        <v>4.3028723917259981E-9</v>
      </c>
      <c r="X30" s="2">
        <f t="shared" si="8"/>
        <v>0.95727987587451935</v>
      </c>
      <c r="Y30" s="2">
        <f t="shared" si="1"/>
        <v>-1.0893483448626284E-8</v>
      </c>
      <c r="Z30" s="2">
        <f t="shared" si="3"/>
        <v>0.95727986842393875</v>
      </c>
      <c r="AA30" s="2">
        <f t="shared" si="2"/>
        <v>-3.2953055839612944E-9</v>
      </c>
      <c r="AB30" s="2">
        <f t="shared" si="4"/>
        <v>-1.4179279419527572E-17</v>
      </c>
      <c r="AC30" s="2">
        <f t="shared" si="5"/>
        <v>3.5897356837048133E-17</v>
      </c>
      <c r="AD30" s="2">
        <f t="shared" si="6"/>
        <v>1.4901161193847656E-8</v>
      </c>
      <c r="AF30" s="2">
        <v>26</v>
      </c>
      <c r="AG30" s="2">
        <f t="shared" si="13"/>
        <v>3904.7469347715378</v>
      </c>
      <c r="AH30" s="2">
        <v>-2.2194412849785294E-6</v>
      </c>
      <c r="AI30" s="2">
        <f t="shared" si="14"/>
        <v>3904.7472178936005</v>
      </c>
      <c r="AJ30" s="2">
        <v>6.8925310642953264E-5</v>
      </c>
      <c r="AK30" s="2">
        <f t="shared" si="9"/>
        <v>3904.7470763325691</v>
      </c>
      <c r="AL30" s="2">
        <v>3.2820629712659866E-5</v>
      </c>
      <c r="AM30" s="2">
        <f t="shared" si="10"/>
        <v>-7.2843460583270316E-11</v>
      </c>
      <c r="AN30" s="2">
        <f t="shared" si="11"/>
        <v>2.2621720984424231E-9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28" t="s">
        <v>175</v>
      </c>
      <c r="G31" s="29"/>
      <c r="H31" s="29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0.95727986097335815</v>
      </c>
      <c r="W31" s="2">
        <f t="shared" si="0"/>
        <v>4.3028723917259981E-9</v>
      </c>
      <c r="X31" s="2">
        <f t="shared" si="8"/>
        <v>0.95727986842393875</v>
      </c>
      <c r="Y31" s="2">
        <f t="shared" si="1"/>
        <v>-3.2953055839612944E-9</v>
      </c>
      <c r="Z31" s="2">
        <f t="shared" si="3"/>
        <v>0.95727986469864845</v>
      </c>
      <c r="AA31" s="2">
        <f t="shared" si="2"/>
        <v>5.0378334837120065E-10</v>
      </c>
      <c r="AB31" s="2">
        <f t="shared" si="4"/>
        <v>2.1677154611177198E-18</v>
      </c>
      <c r="AC31" s="2">
        <f t="shared" si="5"/>
        <v>-1.6601200809943355E-18</v>
      </c>
      <c r="AD31" s="2">
        <f t="shared" si="6"/>
        <v>7.4505805969238281E-9</v>
      </c>
      <c r="AF31" s="2">
        <v>27</v>
      </c>
      <c r="AG31" s="2">
        <f t="shared" si="13"/>
        <v>3904.7469347715378</v>
      </c>
      <c r="AH31" s="2">
        <v>-2.2194412849785294E-6</v>
      </c>
      <c r="AI31" s="2">
        <f t="shared" si="14"/>
        <v>3904.7470763325691</v>
      </c>
      <c r="AJ31" s="2">
        <v>3.2820629712659866E-5</v>
      </c>
      <c r="AK31" s="2">
        <f t="shared" si="9"/>
        <v>3904.7470055520535</v>
      </c>
      <c r="AL31" s="2">
        <v>1.5832900317036547E-5</v>
      </c>
      <c r="AM31" s="2">
        <f t="shared" si="10"/>
        <v>-3.5140192624580559E-11</v>
      </c>
      <c r="AN31" s="2">
        <f t="shared" si="11"/>
        <v>5.1964575858291149E-10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0.95727986469864845</v>
      </c>
      <c r="W32" s="2">
        <f t="shared" si="0"/>
        <v>5.0378334837120065E-10</v>
      </c>
      <c r="X32" s="2">
        <f t="shared" si="8"/>
        <v>0.95727986842393875</v>
      </c>
      <c r="Y32" s="2">
        <f t="shared" si="1"/>
        <v>-3.2953055839612944E-9</v>
      </c>
      <c r="Z32" s="2">
        <f t="shared" si="3"/>
        <v>0.9572798665612936</v>
      </c>
      <c r="AA32" s="2">
        <f t="shared" si="2"/>
        <v>-1.3957610622838956E-9</v>
      </c>
      <c r="AB32" s="2">
        <f t="shared" si="4"/>
        <v>-7.0316118148352487E-19</v>
      </c>
      <c r="AC32" s="2">
        <f t="shared" si="5"/>
        <v>4.5994592224198692E-18</v>
      </c>
      <c r="AD32" s="2">
        <f t="shared" si="6"/>
        <v>3.7252902984619141E-9</v>
      </c>
      <c r="AF32" s="2">
        <v>28</v>
      </c>
      <c r="AG32" s="2">
        <f t="shared" si="13"/>
        <v>3904.7469347715378</v>
      </c>
      <c r="AH32" s="2">
        <v>-2.2194412849785294E-6</v>
      </c>
      <c r="AI32" s="2">
        <f t="shared" si="14"/>
        <v>3904.7470055520535</v>
      </c>
      <c r="AJ32" s="2">
        <v>1.5832900317036547E-5</v>
      </c>
      <c r="AK32" s="2">
        <f t="shared" si="9"/>
        <v>3904.7469701617956</v>
      </c>
      <c r="AL32" s="2">
        <v>6.8067288339079823E-6</v>
      </c>
      <c r="AM32" s="2">
        <f t="shared" si="10"/>
        <v>-1.510713498962914E-11</v>
      </c>
      <c r="AN32" s="2">
        <f t="shared" si="11"/>
        <v>1.077702591123635E-10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234.02198688996151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0.95727986469864845</v>
      </c>
      <c r="W33" s="2">
        <f t="shared" si="0"/>
        <v>5.0378334837120065E-10</v>
      </c>
      <c r="X33" s="2">
        <f t="shared" si="8"/>
        <v>0.9572798665612936</v>
      </c>
      <c r="Y33" s="2">
        <f t="shared" si="1"/>
        <v>-1.3957610622838956E-9</v>
      </c>
      <c r="Z33" s="2">
        <f t="shared" si="3"/>
        <v>0.95727986562997103</v>
      </c>
      <c r="AA33" s="2">
        <f t="shared" si="2"/>
        <v>-4.4598880144519626E-10</v>
      </c>
      <c r="AB33" s="2">
        <f t="shared" si="4"/>
        <v>-2.2468173172811954E-19</v>
      </c>
      <c r="AC33" s="2">
        <f t="shared" si="5"/>
        <v>6.2249380327186854E-19</v>
      </c>
      <c r="AD33" s="2">
        <f t="shared" si="6"/>
        <v>1.862645149230957E-9</v>
      </c>
      <c r="AF33" s="2">
        <v>29</v>
      </c>
      <c r="AG33" s="2">
        <f t="shared" si="13"/>
        <v>3904.7469347715378</v>
      </c>
      <c r="AH33" s="2">
        <v>-2.2194412849785294E-6</v>
      </c>
      <c r="AI33" s="2">
        <f t="shared" si="14"/>
        <v>3904.7469701617956</v>
      </c>
      <c r="AJ33" s="2">
        <v>6.8067288339079823E-6</v>
      </c>
      <c r="AK33" s="2">
        <f t="shared" si="9"/>
        <v>3904.7469524666667</v>
      </c>
      <c r="AL33" s="2">
        <v>2.2936433197173756E-6</v>
      </c>
      <c r="AM33" s="2">
        <f t="shared" si="10"/>
        <v>-5.090606676795952E-12</v>
      </c>
      <c r="AN33" s="2">
        <f t="shared" si="11"/>
        <v>1.5612208119020685E-11</v>
      </c>
      <c r="AO33" s="2">
        <f t="shared" si="12"/>
        <v>3.5390257835388184E-5</v>
      </c>
    </row>
    <row r="34" spans="2:41" x14ac:dyDescent="0.2">
      <c r="B34" s="27" t="s">
        <v>100</v>
      </c>
      <c r="C34" s="27"/>
      <c r="D34" s="27"/>
      <c r="J34" s="6" t="s">
        <v>58</v>
      </c>
      <c r="K34" s="6">
        <f>ROUND($C$16/$C$5 * 100, 2)</f>
        <v>15.37</v>
      </c>
      <c r="L34" s="6" t="s">
        <v>59</v>
      </c>
      <c r="U34" s="2">
        <v>30</v>
      </c>
      <c r="V34" s="2">
        <f t="shared" si="7"/>
        <v>0.95727986469864845</v>
      </c>
      <c r="W34" s="2">
        <f t="shared" si="0"/>
        <v>5.0378334837120065E-10</v>
      </c>
      <c r="X34" s="2">
        <f t="shared" si="8"/>
        <v>0.95727986562997103</v>
      </c>
      <c r="Y34" s="2">
        <f t="shared" si="1"/>
        <v>-4.4598880144519626E-10</v>
      </c>
      <c r="Z34" s="2">
        <f t="shared" si="3"/>
        <v>0.95727986516430974</v>
      </c>
      <c r="AA34" s="2">
        <f t="shared" si="2"/>
        <v>2.8897328974153424E-11</v>
      </c>
      <c r="AB34" s="2">
        <f t="shared" si="4"/>
        <v>1.4557993149583125E-20</v>
      </c>
      <c r="AC34" s="2">
        <f t="shared" si="5"/>
        <v>-1.2887885114150229E-20</v>
      </c>
      <c r="AD34" s="2">
        <f t="shared" si="6"/>
        <v>9.3132257461547852E-10</v>
      </c>
      <c r="AF34" s="2">
        <v>30</v>
      </c>
      <c r="AG34" s="2">
        <f t="shared" si="13"/>
        <v>3904.7469347715378</v>
      </c>
      <c r="AH34" s="2">
        <v>-2.2194412849785294E-6</v>
      </c>
      <c r="AI34" s="2">
        <f t="shared" si="14"/>
        <v>3904.7469524666667</v>
      </c>
      <c r="AJ34" s="2">
        <v>2.2936433197173756E-6</v>
      </c>
      <c r="AK34" s="2">
        <f t="shared" si="9"/>
        <v>3904.7469436191022</v>
      </c>
      <c r="AL34" s="2">
        <v>3.7100562622072175E-8</v>
      </c>
      <c r="AM34" s="2">
        <f t="shared" si="10"/>
        <v>-8.2342520379358268E-14</v>
      </c>
      <c r="AN34" s="2">
        <f t="shared" si="11"/>
        <v>8.5095457615872003E-14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35.83</v>
      </c>
      <c r="L35" s="6" t="s">
        <v>59</v>
      </c>
      <c r="AF35" s="2">
        <v>31</v>
      </c>
      <c r="AG35" s="2">
        <f t="shared" si="13"/>
        <v>3904.7469347715378</v>
      </c>
      <c r="AH35" s="2">
        <v>-2.2194412849785294E-6</v>
      </c>
      <c r="AI35" s="2">
        <f t="shared" si="14"/>
        <v>3904.7469436191022</v>
      </c>
      <c r="AJ35" s="2">
        <v>3.7100562622072175E-8</v>
      </c>
      <c r="AK35" s="2">
        <f t="shared" si="9"/>
        <v>3904.74693919532</v>
      </c>
      <c r="AL35" s="2">
        <v>-1.0911703611782286E-6</v>
      </c>
      <c r="AM35" s="2">
        <f t="shared" si="10"/>
        <v>2.4217885485438938E-12</v>
      </c>
      <c r="AN35" s="2">
        <f t="shared" si="11"/>
        <v>-4.0483034316241984E-14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20.51</v>
      </c>
      <c r="L36" s="6" t="s">
        <v>59</v>
      </c>
      <c r="AF36" s="2">
        <v>32</v>
      </c>
      <c r="AG36" s="2">
        <f t="shared" si="13"/>
        <v>3904.74693919532</v>
      </c>
      <c r="AH36" s="2">
        <v>-1.0911703611782286E-6</v>
      </c>
      <c r="AI36" s="2">
        <f t="shared" si="14"/>
        <v>3904.7469436191022</v>
      </c>
      <c r="AJ36" s="2">
        <v>3.7100562622072175E-8</v>
      </c>
      <c r="AK36" s="2">
        <f t="shared" si="9"/>
        <v>3904.7469414072111</v>
      </c>
      <c r="AL36" s="2">
        <v>-5.2703398978337646E-7</v>
      </c>
      <c r="AM36" s="2">
        <f t="shared" si="10"/>
        <v>5.7508386898512975E-13</v>
      </c>
      <c r="AN36" s="2">
        <f t="shared" si="11"/>
        <v>-1.9553257541918705E-14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23.27</v>
      </c>
      <c r="L37" s="6" t="s">
        <v>59</v>
      </c>
      <c r="AF37" s="2">
        <v>33</v>
      </c>
      <c r="AG37" s="2">
        <f t="shared" si="13"/>
        <v>3904.7469414072111</v>
      </c>
      <c r="AH37" s="2">
        <v>-5.2703398978337646E-7</v>
      </c>
      <c r="AI37" s="2">
        <f t="shared" si="14"/>
        <v>3904.7469436191022</v>
      </c>
      <c r="AJ37" s="2">
        <v>3.7100562622072175E-8</v>
      </c>
      <c r="AK37" s="2">
        <f t="shared" si="9"/>
        <v>3904.7469425131567</v>
      </c>
      <c r="AL37" s="2">
        <v>-2.4496694095432758E-7</v>
      </c>
      <c r="AM37" s="2">
        <f t="shared" si="10"/>
        <v>1.2910590425618807E-13</v>
      </c>
      <c r="AN37" s="2">
        <f t="shared" si="11"/>
        <v>-9.0884113332134875E-15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5.0199999999999996</v>
      </c>
      <c r="L38" s="6" t="s">
        <v>59</v>
      </c>
      <c r="AF38" s="2">
        <v>34</v>
      </c>
      <c r="AG38" s="2">
        <f t="shared" si="13"/>
        <v>3904.7469425131567</v>
      </c>
      <c r="AH38" s="2">
        <v>-2.4496694095432758E-7</v>
      </c>
      <c r="AI38" s="2">
        <f t="shared" si="14"/>
        <v>3904.7469436191022</v>
      </c>
      <c r="AJ38" s="2">
        <v>3.7100562622072175E-8</v>
      </c>
      <c r="AK38" s="2">
        <f t="shared" si="9"/>
        <v>3904.7469430661295</v>
      </c>
      <c r="AL38" s="2">
        <v>-1.0393250704510137E-7</v>
      </c>
      <c r="AM38" s="2">
        <f t="shared" si="10"/>
        <v>2.5460028316552584E-14</v>
      </c>
      <c r="AN38" s="2">
        <f t="shared" si="11"/>
        <v>-3.8559544860957411E-15</v>
      </c>
      <c r="AO38" s="2">
        <f t="shared" si="12"/>
        <v>1.1059455573558807E-6</v>
      </c>
    </row>
    <row r="39" spans="2:41" x14ac:dyDescent="0.2">
      <c r="B39" s="27" t="s">
        <v>104</v>
      </c>
      <c r="C39" s="27"/>
      <c r="D39" s="27"/>
      <c r="J39" s="9" t="s">
        <v>60</v>
      </c>
      <c r="K39" s="9">
        <f>SUM(K34:K38)</f>
        <v>99.999999999999986</v>
      </c>
      <c r="L39" s="9" t="s">
        <v>59</v>
      </c>
      <c r="AF39" s="2">
        <v>35</v>
      </c>
      <c r="AG39" s="2">
        <f t="shared" si="13"/>
        <v>3904.7469430661295</v>
      </c>
      <c r="AH39" s="2">
        <v>-1.0393250704510137E-7</v>
      </c>
      <c r="AI39" s="2">
        <f t="shared" si="14"/>
        <v>3904.7469436191022</v>
      </c>
      <c r="AJ39" s="2">
        <v>3.7100562622072175E-8</v>
      </c>
      <c r="AK39" s="2">
        <f t="shared" si="9"/>
        <v>3904.7469433426159</v>
      </c>
      <c r="AL39" s="2">
        <v>-3.3415744837839156E-8</v>
      </c>
      <c r="AM39" s="2">
        <f t="shared" si="10"/>
        <v>3.472982135776028E-15</v>
      </c>
      <c r="AN39" s="2">
        <f t="shared" si="11"/>
        <v>-1.2397429339194366E-15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3904.7469433426159</v>
      </c>
      <c r="AH40" s="2">
        <v>-3.3415744837839156E-8</v>
      </c>
      <c r="AI40" s="2">
        <f t="shared" si="14"/>
        <v>3904.7469436191022</v>
      </c>
      <c r="AJ40" s="2">
        <v>3.7100562622072175E-8</v>
      </c>
      <c r="AK40" s="2">
        <f t="shared" si="9"/>
        <v>3904.746943480859</v>
      </c>
      <c r="AL40" s="2">
        <v>1.8435457604937255E-9</v>
      </c>
      <c r="AM40" s="2">
        <f t="shared" si="10"/>
        <v>-6.1603454729538471E-17</v>
      </c>
      <c r="AN40" s="2">
        <f t="shared" si="11"/>
        <v>6.8396584933853136E-17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7" t="s">
        <v>109</v>
      </c>
      <c r="K41" s="27"/>
      <c r="L41" s="27"/>
      <c r="AF41" s="2">
        <v>37</v>
      </c>
      <c r="AG41" s="2">
        <f t="shared" si="13"/>
        <v>3904.7469433426159</v>
      </c>
      <c r="AH41" s="2">
        <v>-3.3415744837839156E-8</v>
      </c>
      <c r="AI41" s="2">
        <f t="shared" si="14"/>
        <v>3904.746943480859</v>
      </c>
      <c r="AJ41" s="2">
        <v>1.8435457604937255E-9</v>
      </c>
      <c r="AK41" s="2">
        <f t="shared" si="9"/>
        <v>3904.7469434117374</v>
      </c>
      <c r="AL41" s="2">
        <v>-1.5786554286023602E-8</v>
      </c>
      <c r="AM41" s="2">
        <f t="shared" si="10"/>
        <v>5.2751946989046078E-16</v>
      </c>
      <c r="AN41" s="2">
        <f t="shared" si="11"/>
        <v>-2.9103235226802864E-17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3904.7469434117374</v>
      </c>
      <c r="AH42" s="2">
        <v>-1.5786554286023602E-8</v>
      </c>
      <c r="AI42" s="2">
        <f t="shared" si="14"/>
        <v>3904.746943480859</v>
      </c>
      <c r="AJ42" s="2">
        <v>1.8435457604937255E-9</v>
      </c>
      <c r="AK42" s="2">
        <f t="shared" si="9"/>
        <v>3904.7469434462982</v>
      </c>
      <c r="AL42" s="2">
        <v>-6.9730958784930408E-9</v>
      </c>
      <c r="AM42" s="2">
        <f t="shared" si="10"/>
        <v>1.1008115662747783E-16</v>
      </c>
      <c r="AN42" s="2">
        <f t="shared" si="11"/>
        <v>-1.2855221344312116E-17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1399.12</v>
      </c>
      <c r="L43" s="6" t="s">
        <v>7</v>
      </c>
      <c r="AF43" s="2">
        <v>39</v>
      </c>
      <c r="AG43" s="2">
        <f t="shared" si="13"/>
        <v>3904.7469434462982</v>
      </c>
      <c r="AH43" s="2">
        <v>-6.9730958784930408E-9</v>
      </c>
      <c r="AI43" s="2">
        <f t="shared" si="14"/>
        <v>3904.746943480859</v>
      </c>
      <c r="AJ43" s="2">
        <v>1.8435457604937255E-9</v>
      </c>
      <c r="AK43" s="2">
        <f t="shared" si="9"/>
        <v>3904.7469434635786</v>
      </c>
      <c r="AL43" s="2">
        <v>-2.5643203116487712E-9</v>
      </c>
      <c r="AM43" s="2">
        <f t="shared" si="10"/>
        <v>1.7881251396294036E-17</v>
      </c>
      <c r="AN43" s="2">
        <f t="shared" si="11"/>
        <v>-4.7274418390880411E-18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800.83</v>
      </c>
      <c r="L44" s="6" t="s">
        <v>7</v>
      </c>
      <c r="AF44" s="2">
        <v>40</v>
      </c>
      <c r="AG44" s="2">
        <f t="shared" si="13"/>
        <v>3904.7469434635786</v>
      </c>
      <c r="AH44" s="2">
        <v>-2.5643203116487712E-9</v>
      </c>
      <c r="AI44" s="2">
        <f t="shared" si="14"/>
        <v>3904.746943480859</v>
      </c>
      <c r="AJ44" s="2">
        <v>1.8435457604937255E-9</v>
      </c>
      <c r="AK44" s="5">
        <f t="shared" si="9"/>
        <v>3904.7469434722188</v>
      </c>
      <c r="AL44" s="2">
        <v>-3.6015990190207958E-10</v>
      </c>
      <c r="AM44" s="2">
        <f t="shared" si="10"/>
        <v>9.2356535188893157E-19</v>
      </c>
      <c r="AN44" s="2">
        <f t="shared" si="11"/>
        <v>-6.6397126025141489E-19</v>
      </c>
      <c r="AO44" s="2">
        <f t="shared" si="12"/>
        <v>1.7280399333685637E-8</v>
      </c>
    </row>
    <row r="45" spans="2:41" x14ac:dyDescent="0.2">
      <c r="B45" s="27" t="s">
        <v>151</v>
      </c>
      <c r="C45" s="27"/>
      <c r="D45" s="27"/>
      <c r="J45" s="19" t="s">
        <v>70</v>
      </c>
      <c r="K45" s="6">
        <f>ROUND(SUM(K20:K25), 2)</f>
        <v>908.74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196.04</v>
      </c>
      <c r="L46" s="6" t="s">
        <v>7</v>
      </c>
    </row>
    <row r="47" spans="2:41" x14ac:dyDescent="0.2">
      <c r="J47" s="9" t="s">
        <v>60</v>
      </c>
      <c r="K47" s="9">
        <f>SUM(K42:K46)</f>
        <v>3904.7299999999996</v>
      </c>
      <c r="L47" s="6" t="s">
        <v>7</v>
      </c>
    </row>
    <row r="48" spans="2:41" x14ac:dyDescent="0.2">
      <c r="B48" s="27" t="s">
        <v>152</v>
      </c>
      <c r="C48" s="27"/>
      <c r="D48" s="27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7" t="s">
        <v>156</v>
      </c>
      <c r="C53" s="27"/>
      <c r="D53" s="27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28" t="s">
        <v>2</v>
      </c>
      <c r="C59" s="29"/>
      <c r="D59" s="29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7" t="s">
        <v>169</v>
      </c>
      <c r="C64" s="30"/>
      <c r="D64" s="30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7" t="s">
        <v>170</v>
      </c>
      <c r="C70" s="30"/>
      <c r="D70" s="30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7" t="s">
        <v>72</v>
      </c>
      <c r="C76" s="27"/>
      <c r="D76" s="27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53:D53"/>
    <mergeCell ref="B59:D59"/>
    <mergeCell ref="B64:D64"/>
    <mergeCell ref="B70:D70"/>
    <mergeCell ref="B76:D76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1:D1"/>
    <mergeCell ref="B3:D3"/>
    <mergeCell ref="F3:H3"/>
    <mergeCell ref="J3:L3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liftcruise_ref</vt:lpstr>
      <vt:lpstr>liftcruise_opt_weight</vt:lpstr>
      <vt:lpstr>liftcruise_opt_energy</vt:lpstr>
      <vt:lpstr>liftcruise_opt_time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2025-04-23T09:42:12Z</dcterms:modified>
</cp:coreProperties>
</file>