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3_optimizations_under_range_speed_sweep/"/>
    </mc:Choice>
  </mc:AlternateContent>
  <xr:revisionPtr revIDLastSave="0" documentId="13_ncr:1_{DC2D1931-3FB7-BF48-8390-E940E3893373}" xr6:coauthVersionLast="47" xr6:coauthVersionMax="47" xr10:uidLastSave="{00000000-0000-0000-0000-000000000000}"/>
  <bookViews>
    <workbookView xWindow="15320" yWindow="740" windowWidth="14920" windowHeight="18900" firstSheet="1" activeTab="2" xr2:uid="{843CD013-835A-1741-B375-CD508AE79BD2}"/>
  </bookViews>
  <sheets>
    <sheet name="multirotor_opt_weight" sheetId="16" r:id="rId1"/>
    <sheet name="multirotor_opt_energy" sheetId="17" r:id="rId2"/>
    <sheet name="liftcruise_opt_weight" sheetId="19" r:id="rId3"/>
    <sheet name="liftcruise_opt_energy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0" l="1"/>
  <c r="C7" i="19"/>
  <c r="C8" i="17"/>
  <c r="C8" i="16"/>
  <c r="C56" i="20"/>
  <c r="C55" i="20"/>
  <c r="C51" i="20"/>
  <c r="C50" i="20"/>
  <c r="AN44" i="20"/>
  <c r="AM44" i="20"/>
  <c r="AN43" i="20"/>
  <c r="AM43" i="20"/>
  <c r="AN42" i="20"/>
  <c r="AM42" i="20"/>
  <c r="AN41" i="20"/>
  <c r="AM41" i="20"/>
  <c r="C41" i="20"/>
  <c r="K21" i="20" s="1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AN33" i="20"/>
  <c r="AM33" i="20"/>
  <c r="AN32" i="20"/>
  <c r="AM32" i="20"/>
  <c r="G32" i="20"/>
  <c r="AN31" i="20"/>
  <c r="AM31" i="20"/>
  <c r="AN30" i="20"/>
  <c r="AM30" i="20"/>
  <c r="AN29" i="20"/>
  <c r="AM29" i="20"/>
  <c r="K29" i="20"/>
  <c r="G29" i="20"/>
  <c r="G27" i="20" s="1"/>
  <c r="AN28" i="20"/>
  <c r="AM28" i="20"/>
  <c r="K28" i="20"/>
  <c r="AN27" i="20"/>
  <c r="AM27" i="20"/>
  <c r="K27" i="20"/>
  <c r="AN26" i="20"/>
  <c r="AM26" i="20"/>
  <c r="K26" i="20"/>
  <c r="G26" i="20"/>
  <c r="AN25" i="20"/>
  <c r="AM25" i="20"/>
  <c r="G25" i="20"/>
  <c r="AN24" i="20"/>
  <c r="AM24" i="20"/>
  <c r="K24" i="20"/>
  <c r="G24" i="20"/>
  <c r="AN23" i="20"/>
  <c r="AM23" i="20"/>
  <c r="K23" i="20"/>
  <c r="G23" i="20"/>
  <c r="C23" i="20"/>
  <c r="AN22" i="20"/>
  <c r="AM22" i="20"/>
  <c r="O22" i="20"/>
  <c r="K22" i="20"/>
  <c r="AN21" i="20"/>
  <c r="AM21" i="20"/>
  <c r="O21" i="20"/>
  <c r="AN20" i="20"/>
  <c r="AM20" i="20"/>
  <c r="K20" i="20"/>
  <c r="AN19" i="20"/>
  <c r="AM19" i="20"/>
  <c r="O19" i="20"/>
  <c r="AN18" i="20"/>
  <c r="AM18" i="20"/>
  <c r="AN17" i="20"/>
  <c r="AM17" i="20"/>
  <c r="C17" i="20"/>
  <c r="AN16" i="20"/>
  <c r="AM16" i="20"/>
  <c r="C16" i="20"/>
  <c r="AN15" i="20"/>
  <c r="AM15" i="20"/>
  <c r="AN14" i="20"/>
  <c r="AM14" i="20"/>
  <c r="K14" i="20"/>
  <c r="G14" i="20"/>
  <c r="G15" i="20" s="1"/>
  <c r="AN13" i="20"/>
  <c r="AM13" i="20"/>
  <c r="AN12" i="20"/>
  <c r="AM12" i="20"/>
  <c r="AN11" i="20"/>
  <c r="AM11" i="20"/>
  <c r="O11" i="20"/>
  <c r="C11" i="20"/>
  <c r="C30" i="20" s="1"/>
  <c r="AN10" i="20"/>
  <c r="AM10" i="20"/>
  <c r="AN9" i="20"/>
  <c r="AM9" i="20"/>
  <c r="O9" i="20"/>
  <c r="C9" i="20"/>
  <c r="AN8" i="20"/>
  <c r="AM8" i="20"/>
  <c r="AN7" i="20"/>
  <c r="AM7" i="20"/>
  <c r="G7" i="20"/>
  <c r="AN6" i="20"/>
  <c r="AM6" i="20"/>
  <c r="O6" i="20"/>
  <c r="AO5" i="20"/>
  <c r="AN5" i="20"/>
  <c r="AI6" i="20" s="1"/>
  <c r="AM5" i="20"/>
  <c r="AG6" i="20" s="1"/>
  <c r="AK5" i="20"/>
  <c r="G5" i="20"/>
  <c r="AD4" i="20"/>
  <c r="Z4" i="20"/>
  <c r="O4" i="20"/>
  <c r="G4" i="20"/>
  <c r="G10" i="20" s="1"/>
  <c r="C17" i="19"/>
  <c r="C56" i="19"/>
  <c r="C55" i="19"/>
  <c r="C51" i="19"/>
  <c r="C50" i="19"/>
  <c r="AN44" i="19"/>
  <c r="AM44" i="19"/>
  <c r="AN43" i="19"/>
  <c r="AM43" i="19"/>
  <c r="AN42" i="19"/>
  <c r="AM42" i="19"/>
  <c r="AN41" i="19"/>
  <c r="AM41" i="19"/>
  <c r="C41" i="19"/>
  <c r="K21" i="19" s="1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AN33" i="19"/>
  <c r="AM33" i="19"/>
  <c r="AN32" i="19"/>
  <c r="AM32" i="19"/>
  <c r="G32" i="19"/>
  <c r="AN31" i="19"/>
  <c r="AM31" i="19"/>
  <c r="AN30" i="19"/>
  <c r="AM30" i="19"/>
  <c r="AN29" i="19"/>
  <c r="AM29" i="19"/>
  <c r="K29" i="19"/>
  <c r="G29" i="19"/>
  <c r="G27" i="19" s="1"/>
  <c r="AN28" i="19"/>
  <c r="AM28" i="19"/>
  <c r="K28" i="19"/>
  <c r="AN27" i="19"/>
  <c r="AM27" i="19"/>
  <c r="K27" i="19"/>
  <c r="AN26" i="19"/>
  <c r="AM26" i="19"/>
  <c r="K26" i="19"/>
  <c r="G26" i="19"/>
  <c r="AN25" i="19"/>
  <c r="AM25" i="19"/>
  <c r="G25" i="19"/>
  <c r="AN24" i="19"/>
  <c r="AM24" i="19"/>
  <c r="K24" i="19"/>
  <c r="G24" i="19"/>
  <c r="AN23" i="19"/>
  <c r="AM23" i="19"/>
  <c r="K23" i="19"/>
  <c r="G23" i="19"/>
  <c r="C23" i="19"/>
  <c r="AN22" i="19"/>
  <c r="AM22" i="19"/>
  <c r="O22" i="19"/>
  <c r="K22" i="19"/>
  <c r="AN21" i="19"/>
  <c r="AM21" i="19"/>
  <c r="O21" i="19"/>
  <c r="AN20" i="19"/>
  <c r="AM20" i="19"/>
  <c r="K20" i="19"/>
  <c r="AN19" i="19"/>
  <c r="AM19" i="19"/>
  <c r="O19" i="19"/>
  <c r="AN18" i="19"/>
  <c r="AM18" i="19"/>
  <c r="AN17" i="19"/>
  <c r="AM17" i="19"/>
  <c r="AN16" i="19"/>
  <c r="AM16" i="19"/>
  <c r="C16" i="19"/>
  <c r="AN15" i="19"/>
  <c r="AM15" i="19"/>
  <c r="AN14" i="19"/>
  <c r="AM14" i="19"/>
  <c r="K14" i="19"/>
  <c r="G14" i="19"/>
  <c r="G15" i="19" s="1"/>
  <c r="AN13" i="19"/>
  <c r="AM13" i="19"/>
  <c r="AN12" i="19"/>
  <c r="AM12" i="19"/>
  <c r="AN11" i="19"/>
  <c r="AM11" i="19"/>
  <c r="O11" i="19"/>
  <c r="C11" i="19"/>
  <c r="C30" i="19" s="1"/>
  <c r="AN10" i="19"/>
  <c r="AM10" i="19"/>
  <c r="AN9" i="19"/>
  <c r="AM9" i="19"/>
  <c r="O9" i="19"/>
  <c r="C9" i="19"/>
  <c r="AN8" i="19"/>
  <c r="AM8" i="19"/>
  <c r="AN7" i="19"/>
  <c r="AM7" i="19"/>
  <c r="G7" i="19"/>
  <c r="AN6" i="19"/>
  <c r="AM6" i="19"/>
  <c r="O6" i="19"/>
  <c r="AO5" i="19"/>
  <c r="AN5" i="19"/>
  <c r="AI6" i="19" s="1"/>
  <c r="AM5" i="19"/>
  <c r="AG6" i="19" s="1"/>
  <c r="AK5" i="19"/>
  <c r="G5" i="19"/>
  <c r="AD4" i="19"/>
  <c r="Z4" i="19"/>
  <c r="O4" i="19"/>
  <c r="G4" i="19"/>
  <c r="G10" i="19" s="1"/>
  <c r="C14" i="17"/>
  <c r="C14" i="16"/>
  <c r="O45" i="17"/>
  <c r="AN44" i="17"/>
  <c r="AM44" i="17"/>
  <c r="O44" i="17"/>
  <c r="AN43" i="17"/>
  <c r="AM43" i="17"/>
  <c r="AN42" i="17"/>
  <c r="AM42" i="17"/>
  <c r="AN41" i="17"/>
  <c r="AM41" i="17"/>
  <c r="AN40" i="17"/>
  <c r="AM40" i="17"/>
  <c r="AN39" i="17"/>
  <c r="AM39" i="17"/>
  <c r="AN38" i="17"/>
  <c r="AM38" i="17"/>
  <c r="AN37" i="17"/>
  <c r="AM37" i="17"/>
  <c r="AN36" i="17"/>
  <c r="AM36" i="17"/>
  <c r="AN35" i="17"/>
  <c r="AM35" i="17"/>
  <c r="AN34" i="17"/>
  <c r="AM34" i="17"/>
  <c r="G34" i="17"/>
  <c r="AN33" i="17"/>
  <c r="AM33" i="17"/>
  <c r="C33" i="17"/>
  <c r="AN32" i="17"/>
  <c r="AM32" i="17"/>
  <c r="AN31" i="17"/>
  <c r="AM31" i="17"/>
  <c r="K31" i="17"/>
  <c r="C31" i="17"/>
  <c r="AN30" i="17"/>
  <c r="AM30" i="17"/>
  <c r="AN29" i="17"/>
  <c r="AM29" i="17"/>
  <c r="AN28" i="17"/>
  <c r="AM28" i="17"/>
  <c r="G28" i="17"/>
  <c r="AN27" i="17"/>
  <c r="AM27" i="17"/>
  <c r="AN26" i="17"/>
  <c r="AM26" i="17"/>
  <c r="K26" i="17"/>
  <c r="G26" i="17"/>
  <c r="AN25" i="17"/>
  <c r="AM25" i="17"/>
  <c r="K25" i="17"/>
  <c r="G25" i="17"/>
  <c r="G27" i="17" s="1"/>
  <c r="AN24" i="17"/>
  <c r="AM24" i="17"/>
  <c r="K24" i="17"/>
  <c r="AN23" i="17"/>
  <c r="AM23" i="17"/>
  <c r="K23" i="17"/>
  <c r="AN22" i="17"/>
  <c r="AM22" i="17"/>
  <c r="AN21" i="17"/>
  <c r="AM21" i="17"/>
  <c r="K21" i="17"/>
  <c r="AN20" i="17"/>
  <c r="AM20" i="17"/>
  <c r="K20" i="17"/>
  <c r="AN19" i="17"/>
  <c r="AM19" i="17"/>
  <c r="O19" i="17"/>
  <c r="G16" i="17" s="1"/>
  <c r="G17" i="17" s="1"/>
  <c r="K19" i="17"/>
  <c r="AN18" i="17"/>
  <c r="AM18" i="17"/>
  <c r="K18" i="17"/>
  <c r="AN17" i="17"/>
  <c r="AM17" i="17"/>
  <c r="AN16" i="17"/>
  <c r="AM16" i="17"/>
  <c r="AN15" i="17"/>
  <c r="AM15" i="17"/>
  <c r="AN14" i="17"/>
  <c r="AM14" i="17"/>
  <c r="G15" i="17"/>
  <c r="AN13" i="17"/>
  <c r="AM13" i="17"/>
  <c r="C13" i="17"/>
  <c r="K39" i="17" s="1"/>
  <c r="AN12" i="17"/>
  <c r="AM12" i="17"/>
  <c r="K12" i="17"/>
  <c r="AN11" i="17"/>
  <c r="AM11" i="17"/>
  <c r="AN10" i="17"/>
  <c r="AM10" i="17"/>
  <c r="C10" i="17"/>
  <c r="C20" i="17" s="1"/>
  <c r="AN9" i="17"/>
  <c r="AM9" i="17"/>
  <c r="G9" i="17"/>
  <c r="AN8" i="17"/>
  <c r="AM8" i="17"/>
  <c r="AN7" i="17"/>
  <c r="AM7" i="17"/>
  <c r="G7" i="17"/>
  <c r="G8" i="17" s="1"/>
  <c r="AN6" i="17"/>
  <c r="AM6" i="17"/>
  <c r="AO5" i="17"/>
  <c r="AN5" i="17"/>
  <c r="AI6" i="17" s="1"/>
  <c r="AM5" i="17"/>
  <c r="AK5" i="17"/>
  <c r="O5" i="17"/>
  <c r="O7" i="17" s="1"/>
  <c r="O10" i="17" s="1"/>
  <c r="G5" i="17"/>
  <c r="AD4" i="17"/>
  <c r="Z4" i="17"/>
  <c r="O4" i="17"/>
  <c r="G4" i="17"/>
  <c r="G12" i="17" s="1"/>
  <c r="K22" i="17" s="1"/>
  <c r="O45" i="16"/>
  <c r="AN44" i="16"/>
  <c r="AM44" i="16"/>
  <c r="O44" i="16"/>
  <c r="AN43" i="16"/>
  <c r="AM43" i="16"/>
  <c r="AN42" i="16"/>
  <c r="AM42" i="16"/>
  <c r="AN41" i="16"/>
  <c r="AM41" i="16"/>
  <c r="AN40" i="16"/>
  <c r="AM40" i="16"/>
  <c r="AN39" i="16"/>
  <c r="AM39" i="16"/>
  <c r="AN38" i="16"/>
  <c r="AM38" i="16"/>
  <c r="AN37" i="16"/>
  <c r="AM37" i="16"/>
  <c r="AN36" i="16"/>
  <c r="AM36" i="16"/>
  <c r="AN35" i="16"/>
  <c r="AM35" i="16"/>
  <c r="AN34" i="16"/>
  <c r="AM34" i="16"/>
  <c r="G34" i="16"/>
  <c r="AN33" i="16"/>
  <c r="AM33" i="16"/>
  <c r="C33" i="16"/>
  <c r="AN32" i="16"/>
  <c r="AM32" i="16"/>
  <c r="AN31" i="16"/>
  <c r="AM31" i="16"/>
  <c r="K31" i="16"/>
  <c r="C31" i="16"/>
  <c r="AN30" i="16"/>
  <c r="AM30" i="16"/>
  <c r="AN29" i="16"/>
  <c r="AM29" i="16"/>
  <c r="AN28" i="16"/>
  <c r="AM28" i="16"/>
  <c r="G28" i="16"/>
  <c r="AN27" i="16"/>
  <c r="AM27" i="16"/>
  <c r="G27" i="16"/>
  <c r="AN26" i="16"/>
  <c r="AM26" i="16"/>
  <c r="K26" i="16"/>
  <c r="G26" i="16"/>
  <c r="AN25" i="16"/>
  <c r="AM25" i="16"/>
  <c r="K25" i="16"/>
  <c r="G25" i="16"/>
  <c r="G31" i="16" s="1"/>
  <c r="G29" i="16" s="1"/>
  <c r="AN24" i="16"/>
  <c r="AM24" i="16"/>
  <c r="K24" i="16"/>
  <c r="AN23" i="16"/>
  <c r="AM23" i="16"/>
  <c r="K23" i="16"/>
  <c r="AN22" i="16"/>
  <c r="AM22" i="16"/>
  <c r="AN21" i="16"/>
  <c r="AM21" i="16"/>
  <c r="K21" i="16"/>
  <c r="AN20" i="16"/>
  <c r="AM20" i="16"/>
  <c r="K20" i="16"/>
  <c r="AN19" i="16"/>
  <c r="AM19" i="16"/>
  <c r="O19" i="16"/>
  <c r="G16" i="16" s="1"/>
  <c r="G17" i="16" s="1"/>
  <c r="K19" i="16"/>
  <c r="AN18" i="16"/>
  <c r="AM18" i="16"/>
  <c r="K18" i="16"/>
  <c r="AN17" i="16"/>
  <c r="AM17" i="16"/>
  <c r="AN16" i="16"/>
  <c r="AM16" i="16"/>
  <c r="AN15" i="16"/>
  <c r="AM15" i="16"/>
  <c r="AN14" i="16"/>
  <c r="AM14" i="16"/>
  <c r="AN13" i="16"/>
  <c r="AM13" i="16"/>
  <c r="C13" i="16"/>
  <c r="K39" i="16" s="1"/>
  <c r="AN12" i="16"/>
  <c r="AM12" i="16"/>
  <c r="K12" i="16"/>
  <c r="AN11" i="16"/>
  <c r="AM11" i="16"/>
  <c r="AN10" i="16"/>
  <c r="AM10" i="16"/>
  <c r="C10" i="16"/>
  <c r="C20" i="16" s="1"/>
  <c r="AN9" i="16"/>
  <c r="AM9" i="16"/>
  <c r="G9" i="16"/>
  <c r="AN8" i="16"/>
  <c r="AM8" i="16"/>
  <c r="AN7" i="16"/>
  <c r="AM7" i="16"/>
  <c r="G7" i="16"/>
  <c r="G8" i="16" s="1"/>
  <c r="AN6" i="16"/>
  <c r="AM6" i="16"/>
  <c r="AO5" i="16"/>
  <c r="AN5" i="16"/>
  <c r="AI6" i="16" s="1"/>
  <c r="AM5" i="16"/>
  <c r="AK5" i="16"/>
  <c r="O5" i="16"/>
  <c r="O7" i="16" s="1"/>
  <c r="O10" i="16" s="1"/>
  <c r="G5" i="16"/>
  <c r="AD4" i="16"/>
  <c r="Z4" i="16"/>
  <c r="O4" i="16"/>
  <c r="G4" i="16"/>
  <c r="G12" i="16" s="1"/>
  <c r="O25" i="19" l="1"/>
  <c r="AK6" i="20"/>
  <c r="AK6" i="19"/>
  <c r="AI7" i="19" s="1"/>
  <c r="K46" i="20"/>
  <c r="AG7" i="20"/>
  <c r="AI7" i="20"/>
  <c r="K38" i="20"/>
  <c r="G28" i="20"/>
  <c r="O25" i="20"/>
  <c r="K25" i="20"/>
  <c r="K37" i="20" s="1"/>
  <c r="G8" i="20"/>
  <c r="G9" i="20" s="1"/>
  <c r="K4" i="20"/>
  <c r="K42" i="20"/>
  <c r="K34" i="20"/>
  <c r="AO6" i="20"/>
  <c r="G6" i="20"/>
  <c r="O5" i="20"/>
  <c r="O12" i="20" s="1"/>
  <c r="O13" i="20" s="1"/>
  <c r="O16" i="20" s="1"/>
  <c r="G13" i="20"/>
  <c r="K46" i="19"/>
  <c r="G28" i="19"/>
  <c r="K38" i="19"/>
  <c r="AO6" i="19"/>
  <c r="G13" i="19"/>
  <c r="O5" i="19"/>
  <c r="O12" i="19" s="1"/>
  <c r="O13" i="19" s="1"/>
  <c r="O16" i="19" s="1"/>
  <c r="K25" i="19"/>
  <c r="K37" i="19" s="1"/>
  <c r="K4" i="19"/>
  <c r="G8" i="19"/>
  <c r="G9" i="19" s="1"/>
  <c r="G6" i="19"/>
  <c r="AG7" i="19"/>
  <c r="AK7" i="19" s="1"/>
  <c r="AI8" i="19" s="1"/>
  <c r="K42" i="19"/>
  <c r="K34" i="19"/>
  <c r="AG6" i="16"/>
  <c r="AO6" i="16" s="1"/>
  <c r="AG6" i="17"/>
  <c r="AO6" i="17" s="1"/>
  <c r="O8" i="17"/>
  <c r="O9" i="17" s="1"/>
  <c r="O13" i="17" s="1"/>
  <c r="O14" i="17" s="1"/>
  <c r="O17" i="17" s="1"/>
  <c r="O20" i="17" s="1"/>
  <c r="O23" i="17" s="1"/>
  <c r="K43" i="17"/>
  <c r="K35" i="17"/>
  <c r="O46" i="17"/>
  <c r="O47" i="17" s="1"/>
  <c r="G10" i="17"/>
  <c r="G11" i="17" s="1"/>
  <c r="K34" i="17"/>
  <c r="K42" i="17"/>
  <c r="G6" i="17"/>
  <c r="K9" i="17" s="1"/>
  <c r="G31" i="17"/>
  <c r="G29" i="17" s="1"/>
  <c r="G30" i="17" s="1"/>
  <c r="K47" i="17"/>
  <c r="O8" i="16"/>
  <c r="O9" i="16" s="1"/>
  <c r="O13" i="16" s="1"/>
  <c r="O14" i="16" s="1"/>
  <c r="O17" i="16" s="1"/>
  <c r="O20" i="16" s="1"/>
  <c r="O23" i="16" s="1"/>
  <c r="K35" i="16"/>
  <c r="K43" i="16"/>
  <c r="O46" i="16"/>
  <c r="O47" i="16" s="1"/>
  <c r="G10" i="16"/>
  <c r="G11" i="16" s="1"/>
  <c r="K22" i="16"/>
  <c r="K42" i="16" s="1"/>
  <c r="G30" i="16"/>
  <c r="G6" i="16"/>
  <c r="G15" i="16"/>
  <c r="K47" i="16"/>
  <c r="AK6" i="16" l="1"/>
  <c r="AI7" i="16" s="1"/>
  <c r="AO7" i="20"/>
  <c r="AK7" i="20"/>
  <c r="AI8" i="20" s="1"/>
  <c r="K45" i="20"/>
  <c r="K5" i="20"/>
  <c r="O10" i="20"/>
  <c r="O14" i="20"/>
  <c r="K11" i="20"/>
  <c r="AG8" i="19"/>
  <c r="AO8" i="19" s="1"/>
  <c r="AG7" i="16"/>
  <c r="AK7" i="16" s="1"/>
  <c r="AI8" i="16" s="1"/>
  <c r="AK6" i="17"/>
  <c r="AI7" i="17" s="1"/>
  <c r="K45" i="19"/>
  <c r="O14" i="19"/>
  <c r="O10" i="19"/>
  <c r="K5" i="19"/>
  <c r="K11" i="19"/>
  <c r="AO7" i="19"/>
  <c r="O18" i="16"/>
  <c r="O21" i="16" s="1"/>
  <c r="G21" i="16" s="1"/>
  <c r="O18" i="17"/>
  <c r="O21" i="17" s="1"/>
  <c r="G21" i="17" s="1"/>
  <c r="K34" i="16"/>
  <c r="K9" i="16"/>
  <c r="AG8" i="20" l="1"/>
  <c r="AK8" i="20" s="1"/>
  <c r="AG7" i="17"/>
  <c r="AK7" i="17" s="1"/>
  <c r="AG8" i="17" s="1"/>
  <c r="AO7" i="16"/>
  <c r="AK8" i="19"/>
  <c r="AI9" i="19" s="1"/>
  <c r="O20" i="20"/>
  <c r="O15" i="20"/>
  <c r="O20" i="19"/>
  <c r="O15" i="19"/>
  <c r="O26" i="17"/>
  <c r="O28" i="17" s="1"/>
  <c r="O26" i="16"/>
  <c r="O28" i="16" s="1"/>
  <c r="K14" i="17"/>
  <c r="K15" i="17" s="1"/>
  <c r="G18" i="17"/>
  <c r="K14" i="16"/>
  <c r="K15" i="16" s="1"/>
  <c r="G18" i="16"/>
  <c r="AA4" i="17"/>
  <c r="Y4" i="17"/>
  <c r="Y4" i="16"/>
  <c r="W4" i="16"/>
  <c r="AA4" i="16"/>
  <c r="W4" i="17"/>
  <c r="AG8" i="16"/>
  <c r="AO8" i="16" s="1"/>
  <c r="AI8" i="17" l="1"/>
  <c r="AO7" i="17"/>
  <c r="AI9" i="20"/>
  <c r="AG9" i="20"/>
  <c r="AO8" i="20"/>
  <c r="AG9" i="19"/>
  <c r="AO9" i="19" s="1"/>
  <c r="O23" i="20"/>
  <c r="G16" i="20"/>
  <c r="K16" i="20"/>
  <c r="O28" i="20"/>
  <c r="O30" i="20" s="1"/>
  <c r="O23" i="19"/>
  <c r="G16" i="19"/>
  <c r="K16" i="19"/>
  <c r="O28" i="19"/>
  <c r="O30" i="19" s="1"/>
  <c r="AK8" i="17"/>
  <c r="AI9" i="17" s="1"/>
  <c r="AB4" i="17"/>
  <c r="V5" i="17" s="1"/>
  <c r="W5" i="17" s="1"/>
  <c r="AC4" i="17"/>
  <c r="X5" i="17" s="1"/>
  <c r="Y5" i="17" s="1"/>
  <c r="AB4" i="16"/>
  <c r="V5" i="16" s="1"/>
  <c r="W5" i="16" s="1"/>
  <c r="AO8" i="17"/>
  <c r="AC4" i="16"/>
  <c r="X5" i="16" s="1"/>
  <c r="AK8" i="16"/>
  <c r="AI9" i="16" s="1"/>
  <c r="AK9" i="20" l="1"/>
  <c r="AI10" i="20" s="1"/>
  <c r="AK9" i="19"/>
  <c r="AG10" i="19" s="1"/>
  <c r="AG10" i="20"/>
  <c r="AO9" i="20"/>
  <c r="G19" i="20"/>
  <c r="W4" i="20"/>
  <c r="AA4" i="20"/>
  <c r="Y4" i="20"/>
  <c r="AI10" i="19"/>
  <c r="G19" i="19"/>
  <c r="W4" i="19"/>
  <c r="AA4" i="19"/>
  <c r="Y4" i="19"/>
  <c r="AG9" i="16"/>
  <c r="AK9" i="16" s="1"/>
  <c r="AG10" i="16" s="1"/>
  <c r="AG9" i="17"/>
  <c r="AK9" i="17" s="1"/>
  <c r="AG10" i="17" s="1"/>
  <c r="AD5" i="16"/>
  <c r="AD5" i="17"/>
  <c r="Z5" i="16"/>
  <c r="AA5" i="16" s="1"/>
  <c r="AB5" i="16" s="1"/>
  <c r="V6" i="16" s="1"/>
  <c r="W6" i="16" s="1"/>
  <c r="Y5" i="16"/>
  <c r="Z5" i="17"/>
  <c r="AA5" i="17" s="1"/>
  <c r="AC5" i="17" s="1"/>
  <c r="X6" i="17" s="1"/>
  <c r="Y6" i="17" s="1"/>
  <c r="AK10" i="20" l="1"/>
  <c r="AI11" i="20" s="1"/>
  <c r="AG11" i="20"/>
  <c r="AO10" i="20"/>
  <c r="AI10" i="17"/>
  <c r="AK10" i="17" s="1"/>
  <c r="AB4" i="20"/>
  <c r="V5" i="20" s="1"/>
  <c r="AC4" i="20"/>
  <c r="X5" i="20" s="1"/>
  <c r="AO10" i="19"/>
  <c r="AK10" i="19"/>
  <c r="AO9" i="16"/>
  <c r="AB4" i="19"/>
  <c r="V5" i="19" s="1"/>
  <c r="AC4" i="19"/>
  <c r="X5" i="19" s="1"/>
  <c r="AO9" i="17"/>
  <c r="AC5" i="16"/>
  <c r="X6" i="16" s="1"/>
  <c r="AD6" i="16" s="1"/>
  <c r="AI10" i="16"/>
  <c r="AK10" i="16" s="1"/>
  <c r="AI11" i="16" s="1"/>
  <c r="AB5" i="17"/>
  <c r="V6" i="17" s="1"/>
  <c r="AD6" i="17" s="1"/>
  <c r="AO10" i="17" l="1"/>
  <c r="AK11" i="20"/>
  <c r="AO11" i="20"/>
  <c r="AD5" i="20"/>
  <c r="Y5" i="20"/>
  <c r="Z5" i="20"/>
  <c r="AA5" i="20" s="1"/>
  <c r="W5" i="20"/>
  <c r="AG11" i="19"/>
  <c r="AI11" i="19"/>
  <c r="AD5" i="19"/>
  <c r="Y5" i="19"/>
  <c r="Z5" i="19"/>
  <c r="AA5" i="19" s="1"/>
  <c r="W5" i="19"/>
  <c r="AO10" i="16"/>
  <c r="Z6" i="16"/>
  <c r="AA6" i="16" s="1"/>
  <c r="AB6" i="16" s="1"/>
  <c r="V7" i="16" s="1"/>
  <c r="W7" i="16" s="1"/>
  <c r="Y6" i="16"/>
  <c r="AG11" i="16"/>
  <c r="AK11" i="16" s="1"/>
  <c r="AG12" i="16" s="1"/>
  <c r="Z6" i="17"/>
  <c r="AA6" i="17" s="1"/>
  <c r="AC6" i="17" s="1"/>
  <c r="X7" i="17" s="1"/>
  <c r="Y7" i="17" s="1"/>
  <c r="W6" i="17"/>
  <c r="AG11" i="17"/>
  <c r="AI11" i="17"/>
  <c r="AI12" i="20" l="1"/>
  <c r="AG12" i="20"/>
  <c r="AB5" i="20"/>
  <c r="V6" i="20" s="1"/>
  <c r="W6" i="20" s="1"/>
  <c r="AC5" i="20"/>
  <c r="X6" i="20" s="1"/>
  <c r="AO11" i="19"/>
  <c r="AK11" i="19"/>
  <c r="AB5" i="19"/>
  <c r="V6" i="19" s="1"/>
  <c r="W6" i="19" s="1"/>
  <c r="AC5" i="19"/>
  <c r="X6" i="19" s="1"/>
  <c r="AC6" i="16"/>
  <c r="X7" i="16" s="1"/>
  <c r="Y7" i="16" s="1"/>
  <c r="AO11" i="16"/>
  <c r="AB6" i="17"/>
  <c r="V7" i="17" s="1"/>
  <c r="Z7" i="17" s="1"/>
  <c r="AA7" i="17" s="1"/>
  <c r="AC7" i="17" s="1"/>
  <c r="X8" i="17" s="1"/>
  <c r="Y8" i="17" s="1"/>
  <c r="AO11" i="17"/>
  <c r="AK11" i="17"/>
  <c r="AI12" i="17" s="1"/>
  <c r="AI12" i="16"/>
  <c r="AO12" i="16" s="1"/>
  <c r="AO12" i="20" l="1"/>
  <c r="AK12" i="20"/>
  <c r="AG12" i="17"/>
  <c r="AK12" i="17" s="1"/>
  <c r="AI13" i="17" s="1"/>
  <c r="AD6" i="20"/>
  <c r="Y6" i="20"/>
  <c r="Z6" i="20"/>
  <c r="AA6" i="20" s="1"/>
  <c r="AB6" i="20" s="1"/>
  <c r="V7" i="20" s="1"/>
  <c r="AG12" i="19"/>
  <c r="AI12" i="19"/>
  <c r="AD6" i="19"/>
  <c r="Y6" i="19"/>
  <c r="Z6" i="19"/>
  <c r="AA6" i="19" s="1"/>
  <c r="AB6" i="19" s="1"/>
  <c r="V7" i="19" s="1"/>
  <c r="AD7" i="16"/>
  <c r="Z7" i="16"/>
  <c r="AA7" i="16" s="1"/>
  <c r="AB7" i="16" s="1"/>
  <c r="V8" i="16" s="1"/>
  <c r="W8" i="16" s="1"/>
  <c r="W7" i="17"/>
  <c r="AB7" i="17" s="1"/>
  <c r="V8" i="17" s="1"/>
  <c r="AD7" i="17"/>
  <c r="AK12" i="16"/>
  <c r="AI13" i="16" s="1"/>
  <c r="AO12" i="17" l="1"/>
  <c r="AG13" i="20"/>
  <c r="AI13" i="20"/>
  <c r="AO12" i="19"/>
  <c r="W7" i="20"/>
  <c r="AC6" i="20"/>
  <c r="X7" i="20" s="1"/>
  <c r="AK12" i="19"/>
  <c r="W7" i="19"/>
  <c r="AC6" i="19"/>
  <c r="X7" i="19" s="1"/>
  <c r="AG13" i="16"/>
  <c r="AK13" i="16" s="1"/>
  <c r="AI14" i="16" s="1"/>
  <c r="AC7" i="16"/>
  <c r="X8" i="16" s="1"/>
  <c r="AD8" i="16" s="1"/>
  <c r="W8" i="17"/>
  <c r="AD8" i="17"/>
  <c r="Z8" i="17"/>
  <c r="AA8" i="17" s="1"/>
  <c r="AC8" i="17" s="1"/>
  <c r="X9" i="17" s="1"/>
  <c r="AG13" i="17"/>
  <c r="AO13" i="17" s="1"/>
  <c r="AO13" i="20" l="1"/>
  <c r="AK13" i="20"/>
  <c r="AD7" i="20"/>
  <c r="Y7" i="20"/>
  <c r="Z7" i="20"/>
  <c r="AA7" i="20" s="1"/>
  <c r="AB7" i="20" s="1"/>
  <c r="V8" i="20" s="1"/>
  <c r="AG13" i="19"/>
  <c r="AI13" i="19"/>
  <c r="AD7" i="19"/>
  <c r="Y7" i="19"/>
  <c r="Z7" i="19"/>
  <c r="AA7" i="19" s="1"/>
  <c r="AB7" i="19" s="1"/>
  <c r="V8" i="19" s="1"/>
  <c r="AG14" i="16"/>
  <c r="AO14" i="16" s="1"/>
  <c r="Y8" i="16"/>
  <c r="AO13" i="16"/>
  <c r="Z8" i="16"/>
  <c r="AA8" i="16" s="1"/>
  <c r="AB8" i="16" s="1"/>
  <c r="V9" i="16" s="1"/>
  <c r="W9" i="16" s="1"/>
  <c r="AK13" i="17"/>
  <c r="AG14" i="17" s="1"/>
  <c r="Y9" i="17"/>
  <c r="AB8" i="17"/>
  <c r="V9" i="17" s="1"/>
  <c r="AI14" i="20" l="1"/>
  <c r="AG14" i="20"/>
  <c r="AI14" i="17"/>
  <c r="AO14" i="17" s="1"/>
  <c r="AK14" i="16"/>
  <c r="AI15" i="16" s="1"/>
  <c r="W8" i="20"/>
  <c r="AC7" i="20"/>
  <c r="X8" i="20" s="1"/>
  <c r="AO13" i="19"/>
  <c r="AK13" i="19"/>
  <c r="W8" i="19"/>
  <c r="AC7" i="19"/>
  <c r="X8" i="19" s="1"/>
  <c r="AC8" i="16"/>
  <c r="X9" i="16" s="1"/>
  <c r="Z9" i="16" s="1"/>
  <c r="AA9" i="16" s="1"/>
  <c r="AB9" i="16" s="1"/>
  <c r="V10" i="16" s="1"/>
  <c r="W9" i="17"/>
  <c r="Z9" i="17"/>
  <c r="AA9" i="17" s="1"/>
  <c r="AC9" i="17" s="1"/>
  <c r="X10" i="17" s="1"/>
  <c r="AD9" i="17"/>
  <c r="AK14" i="20" l="1"/>
  <c r="AG15" i="16"/>
  <c r="AI15" i="20"/>
  <c r="AG15" i="20"/>
  <c r="AO14" i="20"/>
  <c r="AK14" i="17"/>
  <c r="AG15" i="17" s="1"/>
  <c r="AD8" i="20"/>
  <c r="Y8" i="20"/>
  <c r="Z8" i="20"/>
  <c r="AA8" i="20" s="1"/>
  <c r="AB8" i="20" s="1"/>
  <c r="V9" i="20" s="1"/>
  <c r="AG14" i="19"/>
  <c r="AI14" i="19"/>
  <c r="AD8" i="19"/>
  <c r="Y8" i="19"/>
  <c r="Z8" i="19"/>
  <c r="AA8" i="19" s="1"/>
  <c r="AB8" i="19" s="1"/>
  <c r="V9" i="19" s="1"/>
  <c r="AD9" i="16"/>
  <c r="Y9" i="16"/>
  <c r="AC9" i="16" s="1"/>
  <c r="X10" i="16" s="1"/>
  <c r="Y10" i="17"/>
  <c r="AB9" i="17"/>
  <c r="V10" i="17" s="1"/>
  <c r="AK15" i="16"/>
  <c r="AG16" i="16" s="1"/>
  <c r="AO15" i="16"/>
  <c r="W10" i="16"/>
  <c r="AI16" i="16" l="1"/>
  <c r="AI15" i="17"/>
  <c r="AK15" i="17" s="1"/>
  <c r="AK15" i="20"/>
  <c r="AG16" i="20" s="1"/>
  <c r="AO15" i="20"/>
  <c r="W9" i="20"/>
  <c r="AC8" i="20"/>
  <c r="X9" i="20" s="1"/>
  <c r="AO14" i="19"/>
  <c r="AK14" i="19"/>
  <c r="AI15" i="19" s="1"/>
  <c r="W9" i="19"/>
  <c r="AC8" i="19"/>
  <c r="X9" i="19" s="1"/>
  <c r="AO15" i="17"/>
  <c r="Z10" i="17"/>
  <c r="AA10" i="17" s="1"/>
  <c r="AC10" i="17" s="1"/>
  <c r="X11" i="17" s="1"/>
  <c r="W10" i="17"/>
  <c r="AD10" i="17"/>
  <c r="AK16" i="16"/>
  <c r="AI17" i="16" s="1"/>
  <c r="AO16" i="16"/>
  <c r="AD10" i="16"/>
  <c r="Y10" i="16"/>
  <c r="Z10" i="16"/>
  <c r="AA10" i="16" s="1"/>
  <c r="AB10" i="16" s="1"/>
  <c r="V11" i="16" s="1"/>
  <c r="AI16" i="20" l="1"/>
  <c r="AO16" i="20"/>
  <c r="AK16" i="20"/>
  <c r="AD9" i="20"/>
  <c r="Y9" i="20"/>
  <c r="Z9" i="20"/>
  <c r="AA9" i="20" s="1"/>
  <c r="AB9" i="20" s="1"/>
  <c r="V10" i="20" s="1"/>
  <c r="AG15" i="19"/>
  <c r="AO15" i="19" s="1"/>
  <c r="AD9" i="19"/>
  <c r="Y9" i="19"/>
  <c r="Z9" i="19"/>
  <c r="AA9" i="19" s="1"/>
  <c r="AB9" i="19" s="1"/>
  <c r="V10" i="19" s="1"/>
  <c r="AG17" i="16"/>
  <c r="AO17" i="16" s="1"/>
  <c r="AB10" i="17"/>
  <c r="V11" i="17" s="1"/>
  <c r="AD11" i="17" s="1"/>
  <c r="Y11" i="17"/>
  <c r="AG16" i="17"/>
  <c r="AI16" i="17"/>
  <c r="W11" i="16"/>
  <c r="AC10" i="16"/>
  <c r="X11" i="16" s="1"/>
  <c r="AI17" i="20" l="1"/>
  <c r="AG17" i="20"/>
  <c r="AK15" i="19"/>
  <c r="AI16" i="19" s="1"/>
  <c r="W10" i="20"/>
  <c r="AC9" i="20"/>
  <c r="X10" i="20" s="1"/>
  <c r="W11" i="17"/>
  <c r="W10" i="19"/>
  <c r="AC9" i="19"/>
  <c r="X10" i="19" s="1"/>
  <c r="Z11" i="17"/>
  <c r="AA11" i="17" s="1"/>
  <c r="AK17" i="16"/>
  <c r="AG18" i="16" s="1"/>
  <c r="AO16" i="17"/>
  <c r="AK16" i="17"/>
  <c r="AI17" i="17" s="1"/>
  <c r="AD11" i="16"/>
  <c r="Y11" i="16"/>
  <c r="Z11" i="16"/>
  <c r="AA11" i="16" s="1"/>
  <c r="AB11" i="16" s="1"/>
  <c r="V12" i="16" s="1"/>
  <c r="AK17" i="20" l="1"/>
  <c r="AI18" i="16"/>
  <c r="AO18" i="16" s="1"/>
  <c r="AG18" i="20"/>
  <c r="AI18" i="20"/>
  <c r="AO17" i="20"/>
  <c r="AG16" i="19"/>
  <c r="AO16" i="19" s="1"/>
  <c r="AB11" i="17"/>
  <c r="V12" i="17" s="1"/>
  <c r="W12" i="17" s="1"/>
  <c r="AD10" i="20"/>
  <c r="Y10" i="20"/>
  <c r="Z10" i="20"/>
  <c r="AA10" i="20" s="1"/>
  <c r="AB10" i="20" s="1"/>
  <c r="V11" i="20" s="1"/>
  <c r="AD10" i="19"/>
  <c r="Y10" i="19"/>
  <c r="Z10" i="19"/>
  <c r="AA10" i="19" s="1"/>
  <c r="AB10" i="19" s="1"/>
  <c r="V11" i="19" s="1"/>
  <c r="AC11" i="17"/>
  <c r="X12" i="17" s="1"/>
  <c r="AG17" i="17"/>
  <c r="AK17" i="17" s="1"/>
  <c r="AG18" i="17" s="1"/>
  <c r="AK18" i="16"/>
  <c r="AI19" i="16" s="1"/>
  <c r="W12" i="16"/>
  <c r="AC11" i="16"/>
  <c r="X12" i="16" s="1"/>
  <c r="AK16" i="19" l="1"/>
  <c r="AK18" i="20"/>
  <c r="AO18" i="20"/>
  <c r="AD12" i="17"/>
  <c r="W11" i="20"/>
  <c r="AC10" i="20"/>
  <c r="X11" i="20" s="1"/>
  <c r="AI18" i="17"/>
  <c r="AK18" i="17" s="1"/>
  <c r="Z12" i="17"/>
  <c r="AA12" i="17" s="1"/>
  <c r="AB12" i="17" s="1"/>
  <c r="V13" i="17" s="1"/>
  <c r="W13" i="17" s="1"/>
  <c r="Y12" i="17"/>
  <c r="W11" i="19"/>
  <c r="AC10" i="19"/>
  <c r="X11" i="19" s="1"/>
  <c r="AG19" i="16"/>
  <c r="AO19" i="16" s="1"/>
  <c r="AO17" i="17"/>
  <c r="AD12" i="16"/>
  <c r="Y12" i="16"/>
  <c r="Z12" i="16"/>
  <c r="AA12" i="16" s="1"/>
  <c r="AB12" i="16" s="1"/>
  <c r="V13" i="16" s="1"/>
  <c r="AG17" i="19" l="1"/>
  <c r="AI17" i="19"/>
  <c r="AO17" i="19" s="1"/>
  <c r="AI19" i="20"/>
  <c r="AG19" i="20"/>
  <c r="AC12" i="17"/>
  <c r="X13" i="17" s="1"/>
  <c r="Y13" i="17" s="1"/>
  <c r="AK19" i="16"/>
  <c r="AI20" i="16" s="1"/>
  <c r="AO18" i="17"/>
  <c r="AD11" i="20"/>
  <c r="Y11" i="20"/>
  <c r="Z11" i="20"/>
  <c r="AA11" i="20" s="1"/>
  <c r="AB11" i="20" s="1"/>
  <c r="V12" i="20" s="1"/>
  <c r="AD11" i="19"/>
  <c r="Y11" i="19"/>
  <c r="Z11" i="19"/>
  <c r="AA11" i="19" s="1"/>
  <c r="AB11" i="19" s="1"/>
  <c r="V12" i="19" s="1"/>
  <c r="AI19" i="17"/>
  <c r="AG19" i="17"/>
  <c r="W13" i="16"/>
  <c r="AC12" i="16"/>
  <c r="X13" i="16" s="1"/>
  <c r="AK17" i="19" l="1"/>
  <c r="AO19" i="20"/>
  <c r="AK19" i="20"/>
  <c r="Z13" i="17"/>
  <c r="AA13" i="17" s="1"/>
  <c r="AB13" i="17" s="1"/>
  <c r="V14" i="17" s="1"/>
  <c r="W14" i="17" s="1"/>
  <c r="AD13" i="17"/>
  <c r="AG20" i="16"/>
  <c r="AO20" i="16" s="1"/>
  <c r="W12" i="20"/>
  <c r="AC11" i="20"/>
  <c r="X12" i="20" s="1"/>
  <c r="W12" i="19"/>
  <c r="AC11" i="19"/>
  <c r="X12" i="19" s="1"/>
  <c r="AK19" i="17"/>
  <c r="AI20" i="17" s="1"/>
  <c r="AO19" i="17"/>
  <c r="AD13" i="16"/>
  <c r="Y13" i="16"/>
  <c r="Z13" i="16"/>
  <c r="AA13" i="16" s="1"/>
  <c r="AB13" i="16" s="1"/>
  <c r="V14" i="16" s="1"/>
  <c r="AI18" i="19" l="1"/>
  <c r="AG18" i="19"/>
  <c r="AK20" i="16"/>
  <c r="AG21" i="16" s="1"/>
  <c r="AI20" i="20"/>
  <c r="AG20" i="20"/>
  <c r="AC13" i="17"/>
  <c r="X14" i="17" s="1"/>
  <c r="AI21" i="16"/>
  <c r="AO21" i="16" s="1"/>
  <c r="AD12" i="20"/>
  <c r="Y12" i="20"/>
  <c r="Z12" i="20"/>
  <c r="AA12" i="20" s="1"/>
  <c r="AB12" i="20" s="1"/>
  <c r="V13" i="20" s="1"/>
  <c r="AD12" i="19"/>
  <c r="Y12" i="19"/>
  <c r="Z12" i="19"/>
  <c r="AA12" i="19" s="1"/>
  <c r="AB12" i="19" s="1"/>
  <c r="V13" i="19" s="1"/>
  <c r="AG20" i="17"/>
  <c r="AK20" i="17" s="1"/>
  <c r="AG21" i="17" s="1"/>
  <c r="W14" i="16"/>
  <c r="AC13" i="16"/>
  <c r="X14" i="16" s="1"/>
  <c r="AK18" i="19" l="1"/>
  <c r="AI19" i="19"/>
  <c r="AG19" i="19"/>
  <c r="AO18" i="19"/>
  <c r="AK20" i="20"/>
  <c r="AI21" i="20"/>
  <c r="AG21" i="20"/>
  <c r="AO20" i="20"/>
  <c r="AD14" i="17"/>
  <c r="Z14" i="17"/>
  <c r="AA14" i="17" s="1"/>
  <c r="AB14" i="17" s="1"/>
  <c r="V15" i="17" s="1"/>
  <c r="W15" i="17" s="1"/>
  <c r="Y14" i="17"/>
  <c r="AK21" i="16"/>
  <c r="AI22" i="16" s="1"/>
  <c r="W13" i="20"/>
  <c r="AC12" i="20"/>
  <c r="X13" i="20" s="1"/>
  <c r="W13" i="19"/>
  <c r="AC12" i="19"/>
  <c r="X13" i="19" s="1"/>
  <c r="AO20" i="17"/>
  <c r="AI21" i="17"/>
  <c r="AK21" i="17" s="1"/>
  <c r="AG22" i="17" s="1"/>
  <c r="AD14" i="16"/>
  <c r="Y14" i="16"/>
  <c r="Z14" i="16"/>
  <c r="AA14" i="16" s="1"/>
  <c r="AB14" i="16" s="1"/>
  <c r="V15" i="16" s="1"/>
  <c r="AO19" i="19" l="1"/>
  <c r="AK19" i="19"/>
  <c r="AG22" i="16"/>
  <c r="AK22" i="16" s="1"/>
  <c r="AO21" i="20"/>
  <c r="AK21" i="20"/>
  <c r="AC14" i="17"/>
  <c r="X15" i="17" s="1"/>
  <c r="AD13" i="20"/>
  <c r="Y13" i="20"/>
  <c r="Z13" i="20"/>
  <c r="AA13" i="20" s="1"/>
  <c r="AB13" i="20" s="1"/>
  <c r="V14" i="20" s="1"/>
  <c r="AD13" i="19"/>
  <c r="Y13" i="19"/>
  <c r="Z13" i="19"/>
  <c r="AA13" i="19" s="1"/>
  <c r="AB13" i="19" s="1"/>
  <c r="V14" i="19" s="1"/>
  <c r="AO21" i="17"/>
  <c r="AI22" i="17"/>
  <c r="AO22" i="17" s="1"/>
  <c r="W15" i="16"/>
  <c r="AC14" i="16"/>
  <c r="X15" i="16" s="1"/>
  <c r="AO22" i="16" l="1"/>
  <c r="AI23" i="16"/>
  <c r="AG23" i="16"/>
  <c r="AI20" i="19"/>
  <c r="AG20" i="19"/>
  <c r="AG22" i="20"/>
  <c r="AI22" i="20"/>
  <c r="AD15" i="17"/>
  <c r="Y15" i="17"/>
  <c r="Z15" i="17"/>
  <c r="AA15" i="17" s="1"/>
  <c r="AB15" i="17" s="1"/>
  <c r="V16" i="17" s="1"/>
  <c r="W16" i="17" s="1"/>
  <c r="W14" i="20"/>
  <c r="AC13" i="20"/>
  <c r="X14" i="20" s="1"/>
  <c r="W14" i="19"/>
  <c r="AC13" i="19"/>
  <c r="X14" i="19" s="1"/>
  <c r="AK22" i="17"/>
  <c r="AG23" i="17" s="1"/>
  <c r="AD15" i="16"/>
  <c r="Y15" i="16"/>
  <c r="Z15" i="16"/>
  <c r="AA15" i="16" s="1"/>
  <c r="AB15" i="16" s="1"/>
  <c r="V16" i="16" s="1"/>
  <c r="AO23" i="16" l="1"/>
  <c r="AK23" i="16"/>
  <c r="AK20" i="19"/>
  <c r="AO20" i="19"/>
  <c r="AK22" i="20"/>
  <c r="AO22" i="20"/>
  <c r="AC15" i="17"/>
  <c r="X16" i="17" s="1"/>
  <c r="AI23" i="17"/>
  <c r="AK23" i="17" s="1"/>
  <c r="AG24" i="17" s="1"/>
  <c r="AD14" i="20"/>
  <c r="Y14" i="20"/>
  <c r="Z14" i="20"/>
  <c r="AA14" i="20" s="1"/>
  <c r="AB14" i="20" s="1"/>
  <c r="V15" i="20" s="1"/>
  <c r="AD14" i="19"/>
  <c r="Y14" i="19"/>
  <c r="Z14" i="19"/>
  <c r="AA14" i="19" s="1"/>
  <c r="AB14" i="19" s="1"/>
  <c r="V15" i="19" s="1"/>
  <c r="AI24" i="16"/>
  <c r="AG24" i="16"/>
  <c r="W16" i="16"/>
  <c r="AC15" i="16"/>
  <c r="X16" i="16" s="1"/>
  <c r="AI21" i="19" l="1"/>
  <c r="AG21" i="19"/>
  <c r="AK21" i="19" s="1"/>
  <c r="AG23" i="20"/>
  <c r="AI23" i="20"/>
  <c r="AD16" i="17"/>
  <c r="Z16" i="17"/>
  <c r="AA16" i="17" s="1"/>
  <c r="AB16" i="17" s="1"/>
  <c r="V17" i="17" s="1"/>
  <c r="W17" i="17" s="1"/>
  <c r="Y16" i="17"/>
  <c r="AO23" i="17"/>
  <c r="AK24" i="16"/>
  <c r="AI25" i="16" s="1"/>
  <c r="W15" i="20"/>
  <c r="AC14" i="20"/>
  <c r="X15" i="20" s="1"/>
  <c r="W15" i="19"/>
  <c r="AC14" i="19"/>
  <c r="X15" i="19" s="1"/>
  <c r="AO24" i="16"/>
  <c r="AI24" i="17"/>
  <c r="AK24" i="17" s="1"/>
  <c r="AI25" i="17" s="1"/>
  <c r="AD16" i="16"/>
  <c r="Y16" i="16"/>
  <c r="Z16" i="16"/>
  <c r="AA16" i="16" s="1"/>
  <c r="AB16" i="16" s="1"/>
  <c r="V17" i="16" s="1"/>
  <c r="AI22" i="19" l="1"/>
  <c r="AG22" i="19"/>
  <c r="AK22" i="19" s="1"/>
  <c r="AO21" i="19"/>
  <c r="AG25" i="16"/>
  <c r="AO25" i="16" s="1"/>
  <c r="AO23" i="20"/>
  <c r="AC16" i="17"/>
  <c r="X17" i="17" s="1"/>
  <c r="Y17" i="17" s="1"/>
  <c r="AK23" i="20"/>
  <c r="AD15" i="20"/>
  <c r="Y15" i="20"/>
  <c r="Z15" i="20"/>
  <c r="AA15" i="20" s="1"/>
  <c r="AB15" i="20" s="1"/>
  <c r="V16" i="20" s="1"/>
  <c r="AO24" i="17"/>
  <c r="AD15" i="19"/>
  <c r="Y15" i="19"/>
  <c r="Z15" i="19"/>
  <c r="AA15" i="19" s="1"/>
  <c r="AB15" i="19" s="1"/>
  <c r="V16" i="19" s="1"/>
  <c r="AG25" i="17"/>
  <c r="AK25" i="17" s="1"/>
  <c r="W17" i="16"/>
  <c r="AC16" i="16"/>
  <c r="X17" i="16" s="1"/>
  <c r="AK25" i="16" l="1"/>
  <c r="AD17" i="17"/>
  <c r="Z17" i="17"/>
  <c r="AA17" i="17" s="1"/>
  <c r="AB17" i="17" s="1"/>
  <c r="V18" i="17" s="1"/>
  <c r="W18" i="17" s="1"/>
  <c r="AG23" i="19"/>
  <c r="AI23" i="19"/>
  <c r="AO22" i="19"/>
  <c r="AI24" i="20"/>
  <c r="AG24" i="20"/>
  <c r="W16" i="20"/>
  <c r="AC15" i="20"/>
  <c r="X16" i="20" s="1"/>
  <c r="W16" i="19"/>
  <c r="AC15" i="19"/>
  <c r="X16" i="19" s="1"/>
  <c r="AI26" i="16"/>
  <c r="AG26" i="16"/>
  <c r="AO25" i="17"/>
  <c r="AG26" i="17"/>
  <c r="AI26" i="17"/>
  <c r="AD17" i="16"/>
  <c r="Y17" i="16"/>
  <c r="Z17" i="16"/>
  <c r="AA17" i="16" s="1"/>
  <c r="AB17" i="16" s="1"/>
  <c r="V18" i="16" s="1"/>
  <c r="AC17" i="17" l="1"/>
  <c r="X18" i="17" s="1"/>
  <c r="Z18" i="17" s="1"/>
  <c r="AA18" i="17" s="1"/>
  <c r="AB18" i="17" s="1"/>
  <c r="V19" i="17" s="1"/>
  <c r="W19" i="17" s="1"/>
  <c r="AK23" i="19"/>
  <c r="AO23" i="19"/>
  <c r="AO24" i="20"/>
  <c r="AK24" i="20"/>
  <c r="AK26" i="16"/>
  <c r="AG27" i="16" s="1"/>
  <c r="AD16" i="20"/>
  <c r="Y16" i="20"/>
  <c r="Z16" i="20"/>
  <c r="AA16" i="20" s="1"/>
  <c r="AB16" i="20" s="1"/>
  <c r="V17" i="20" s="1"/>
  <c r="AD16" i="19"/>
  <c r="Y16" i="19"/>
  <c r="Z16" i="19"/>
  <c r="AA16" i="19" s="1"/>
  <c r="AB16" i="19" s="1"/>
  <c r="V17" i="19" s="1"/>
  <c r="AO26" i="16"/>
  <c r="AO26" i="17"/>
  <c r="AK26" i="17"/>
  <c r="AG27" i="17" s="1"/>
  <c r="W18" i="16"/>
  <c r="AC17" i="16"/>
  <c r="X18" i="16" s="1"/>
  <c r="AD18" i="17" l="1"/>
  <c r="Y18" i="17"/>
  <c r="AC18" i="17" s="1"/>
  <c r="X19" i="17" s="1"/>
  <c r="AI24" i="19"/>
  <c r="AG24" i="19"/>
  <c r="AI25" i="20"/>
  <c r="AG25" i="20"/>
  <c r="AI27" i="16"/>
  <c r="AO27" i="16" s="1"/>
  <c r="W17" i="20"/>
  <c r="AC16" i="20"/>
  <c r="X17" i="20" s="1"/>
  <c r="W17" i="19"/>
  <c r="AC16" i="19"/>
  <c r="X17" i="19" s="1"/>
  <c r="AI27" i="17"/>
  <c r="AK27" i="17" s="1"/>
  <c r="AI28" i="17" s="1"/>
  <c r="AD18" i="16"/>
  <c r="Y18" i="16"/>
  <c r="Z18" i="16"/>
  <c r="AA18" i="16" s="1"/>
  <c r="AB18" i="16" s="1"/>
  <c r="V19" i="16" s="1"/>
  <c r="AD19" i="17" l="1"/>
  <c r="Y19" i="17"/>
  <c r="AO24" i="19"/>
  <c r="AK24" i="19"/>
  <c r="Z19" i="17"/>
  <c r="AA19" i="17" s="1"/>
  <c r="AB19" i="17" s="1"/>
  <c r="V20" i="17" s="1"/>
  <c r="W20" i="17" s="1"/>
  <c r="AK25" i="20"/>
  <c r="AI26" i="20" s="1"/>
  <c r="AO25" i="20"/>
  <c r="AK27" i="16"/>
  <c r="AG28" i="16" s="1"/>
  <c r="AD17" i="20"/>
  <c r="Y17" i="20"/>
  <c r="Z17" i="20"/>
  <c r="AA17" i="20" s="1"/>
  <c r="AB17" i="20" s="1"/>
  <c r="V18" i="20" s="1"/>
  <c r="AD17" i="19"/>
  <c r="Y17" i="19"/>
  <c r="Z17" i="19"/>
  <c r="AA17" i="19" s="1"/>
  <c r="AB17" i="19" s="1"/>
  <c r="V18" i="19" s="1"/>
  <c r="AG28" i="17"/>
  <c r="AK28" i="17" s="1"/>
  <c r="AG29" i="17" s="1"/>
  <c r="AO27" i="17"/>
  <c r="W19" i="16"/>
  <c r="AC18" i="16"/>
  <c r="X19" i="16" s="1"/>
  <c r="AG26" i="20" l="1"/>
  <c r="AO26" i="20" s="1"/>
  <c r="AG25" i="19"/>
  <c r="AI25" i="19"/>
  <c r="AI28" i="16"/>
  <c r="AO28" i="16" s="1"/>
  <c r="AC19" i="17"/>
  <c r="X20" i="17" s="1"/>
  <c r="AI29" i="17"/>
  <c r="AK29" i="17" s="1"/>
  <c r="AI30" i="17" s="1"/>
  <c r="W18" i="20"/>
  <c r="AC17" i="20"/>
  <c r="X18" i="20" s="1"/>
  <c r="AO28" i="17"/>
  <c r="AK28" i="16"/>
  <c r="W18" i="19"/>
  <c r="AC17" i="19"/>
  <c r="X18" i="19" s="1"/>
  <c r="AD19" i="16"/>
  <c r="Y19" i="16"/>
  <c r="Z19" i="16"/>
  <c r="AA19" i="16" s="1"/>
  <c r="AB19" i="16" s="1"/>
  <c r="V20" i="16" s="1"/>
  <c r="AK26" i="20" l="1"/>
  <c r="AG27" i="20" s="1"/>
  <c r="AK25" i="19"/>
  <c r="AO25" i="19"/>
  <c r="AO29" i="17"/>
  <c r="AG30" i="17"/>
  <c r="Y20" i="17"/>
  <c r="Z20" i="17"/>
  <c r="AA20" i="17" s="1"/>
  <c r="AB20" i="17" s="1"/>
  <c r="V21" i="17" s="1"/>
  <c r="W21" i="17" s="1"/>
  <c r="AD20" i="17"/>
  <c r="AI27" i="20"/>
  <c r="AD18" i="20"/>
  <c r="Y18" i="20"/>
  <c r="Z18" i="20"/>
  <c r="AA18" i="20" s="1"/>
  <c r="AB18" i="20" s="1"/>
  <c r="V19" i="20" s="1"/>
  <c r="AI29" i="16"/>
  <c r="AG29" i="16"/>
  <c r="AD18" i="19"/>
  <c r="Y18" i="19"/>
  <c r="Z18" i="19"/>
  <c r="AA18" i="19" s="1"/>
  <c r="AB18" i="19" s="1"/>
  <c r="V19" i="19" s="1"/>
  <c r="AK30" i="17"/>
  <c r="AO30" i="17"/>
  <c r="W20" i="16"/>
  <c r="AC19" i="16"/>
  <c r="X20" i="16" s="1"/>
  <c r="AO27" i="20" l="1"/>
  <c r="AG26" i="19"/>
  <c r="AI26" i="19"/>
  <c r="AC20" i="17"/>
  <c r="X21" i="17" s="1"/>
  <c r="AK27" i="20"/>
  <c r="AC18" i="20"/>
  <c r="X19" i="20" s="1"/>
  <c r="Z19" i="20" s="1"/>
  <c r="AA19" i="20" s="1"/>
  <c r="W19" i="20"/>
  <c r="AO29" i="16"/>
  <c r="AK29" i="16"/>
  <c r="W19" i="19"/>
  <c r="AC18" i="19"/>
  <c r="X19" i="19" s="1"/>
  <c r="AI31" i="17"/>
  <c r="AG31" i="17"/>
  <c r="AD20" i="16"/>
  <c r="Y20" i="16"/>
  <c r="Z20" i="16"/>
  <c r="AA20" i="16" s="1"/>
  <c r="AB20" i="16" s="1"/>
  <c r="V21" i="16" s="1"/>
  <c r="AO26" i="19" l="1"/>
  <c r="AK26" i="19"/>
  <c r="AD21" i="17"/>
  <c r="Y21" i="17"/>
  <c r="Z21" i="17"/>
  <c r="AA21" i="17" s="1"/>
  <c r="AB21" i="17" s="1"/>
  <c r="V22" i="17" s="1"/>
  <c r="W22" i="17" s="1"/>
  <c r="AI28" i="20"/>
  <c r="AG28" i="20"/>
  <c r="Y19" i="20"/>
  <c r="AC19" i="20" s="1"/>
  <c r="X20" i="20" s="1"/>
  <c r="Y20" i="20" s="1"/>
  <c r="AD19" i="20"/>
  <c r="AB19" i="20"/>
  <c r="V20" i="20" s="1"/>
  <c r="AG30" i="16"/>
  <c r="AI30" i="16"/>
  <c r="AD19" i="19"/>
  <c r="Y19" i="19"/>
  <c r="Z19" i="19"/>
  <c r="AA19" i="19" s="1"/>
  <c r="AB19" i="19" s="1"/>
  <c r="V20" i="19" s="1"/>
  <c r="AK31" i="17"/>
  <c r="AG32" i="17" s="1"/>
  <c r="AO31" i="17"/>
  <c r="W21" i="16"/>
  <c r="AC20" i="16"/>
  <c r="X21" i="16" s="1"/>
  <c r="AI27" i="19" l="1"/>
  <c r="AG27" i="19"/>
  <c r="AK27" i="19" s="1"/>
  <c r="AC21" i="17"/>
  <c r="X22" i="17" s="1"/>
  <c r="AI32" i="17"/>
  <c r="AO32" i="17" s="1"/>
  <c r="AK28" i="20"/>
  <c r="AI29" i="20" s="1"/>
  <c r="AG29" i="20"/>
  <c r="Z20" i="20"/>
  <c r="AA20" i="20" s="1"/>
  <c r="AC20" i="20" s="1"/>
  <c r="X21" i="20" s="1"/>
  <c r="Y21" i="20" s="1"/>
  <c r="AO28" i="20"/>
  <c r="AO30" i="16"/>
  <c r="AD20" i="20"/>
  <c r="W20" i="20"/>
  <c r="AK30" i="16"/>
  <c r="AG31" i="16" s="1"/>
  <c r="W20" i="19"/>
  <c r="AC19" i="19"/>
  <c r="X20" i="19" s="1"/>
  <c r="AD21" i="16"/>
  <c r="Y21" i="16"/>
  <c r="Z21" i="16"/>
  <c r="AA21" i="16" s="1"/>
  <c r="AB21" i="16" s="1"/>
  <c r="V22" i="16" s="1"/>
  <c r="AK32" i="17" l="1"/>
  <c r="AI28" i="19"/>
  <c r="AG28" i="19"/>
  <c r="AO27" i="19"/>
  <c r="AD22" i="17"/>
  <c r="Z22" i="17"/>
  <c r="AA22" i="17" s="1"/>
  <c r="AB22" i="17" s="1"/>
  <c r="V23" i="17" s="1"/>
  <c r="W23" i="17" s="1"/>
  <c r="Y22" i="17"/>
  <c r="AB20" i="20"/>
  <c r="V21" i="20" s="1"/>
  <c r="W21" i="20" s="1"/>
  <c r="AK29" i="20"/>
  <c r="AI30" i="20" s="1"/>
  <c r="AG30" i="20"/>
  <c r="AO29" i="20"/>
  <c r="AI31" i="16"/>
  <c r="AO31" i="16" s="1"/>
  <c r="AD20" i="19"/>
  <c r="Y20" i="19"/>
  <c r="Z20" i="19"/>
  <c r="AA20" i="19" s="1"/>
  <c r="AB20" i="19" s="1"/>
  <c r="V21" i="19" s="1"/>
  <c r="AI33" i="17"/>
  <c r="AG33" i="17"/>
  <c r="W22" i="16"/>
  <c r="AC21" i="16"/>
  <c r="X22" i="16" s="1"/>
  <c r="AC22" i="17" l="1"/>
  <c r="X23" i="17" s="1"/>
  <c r="AD23" i="17" s="1"/>
  <c r="AD21" i="20"/>
  <c r="Z21" i="20"/>
  <c r="AA21" i="20" s="1"/>
  <c r="AB21" i="20" s="1"/>
  <c r="V22" i="20" s="1"/>
  <c r="W22" i="20" s="1"/>
  <c r="AO28" i="19"/>
  <c r="AK28" i="19"/>
  <c r="AK30" i="20"/>
  <c r="AI31" i="20" s="1"/>
  <c r="AO30" i="20"/>
  <c r="AK31" i="16"/>
  <c r="AI32" i="16" s="1"/>
  <c r="W21" i="19"/>
  <c r="AC20" i="19"/>
  <c r="X21" i="19" s="1"/>
  <c r="AK33" i="17"/>
  <c r="AG34" i="17" s="1"/>
  <c r="AO33" i="17"/>
  <c r="AD22" i="16"/>
  <c r="Y22" i="16"/>
  <c r="Z22" i="16"/>
  <c r="AA22" i="16" s="1"/>
  <c r="AB22" i="16" s="1"/>
  <c r="V23" i="16" s="1"/>
  <c r="AG31" i="20" l="1"/>
  <c r="Y23" i="17"/>
  <c r="Z23" i="17"/>
  <c r="AA23" i="17" s="1"/>
  <c r="AB23" i="17" s="1"/>
  <c r="V24" i="17" s="1"/>
  <c r="W24" i="17" s="1"/>
  <c r="AK31" i="20"/>
  <c r="AC21" i="20"/>
  <c r="X22" i="20" s="1"/>
  <c r="Z22" i="20" s="1"/>
  <c r="AA22" i="20" s="1"/>
  <c r="AB22" i="20" s="1"/>
  <c r="V23" i="20" s="1"/>
  <c r="W23" i="20" s="1"/>
  <c r="AG32" i="16"/>
  <c r="AK32" i="16" s="1"/>
  <c r="AI29" i="19"/>
  <c r="AG29" i="19"/>
  <c r="AI32" i="20"/>
  <c r="AG32" i="20"/>
  <c r="AO31" i="20"/>
  <c r="AO32" i="16"/>
  <c r="AI34" i="17"/>
  <c r="AO34" i="17" s="1"/>
  <c r="AD21" i="19"/>
  <c r="Y21" i="19"/>
  <c r="Z21" i="19"/>
  <c r="AA21" i="19" s="1"/>
  <c r="AB21" i="19" s="1"/>
  <c r="V22" i="19" s="1"/>
  <c r="W23" i="16"/>
  <c r="AC22" i="16"/>
  <c r="X23" i="16" s="1"/>
  <c r="AC23" i="17" l="1"/>
  <c r="X24" i="17" s="1"/>
  <c r="AD22" i="20"/>
  <c r="Y22" i="20"/>
  <c r="AC22" i="20" s="1"/>
  <c r="X23" i="20" s="1"/>
  <c r="AD23" i="20" s="1"/>
  <c r="AO29" i="19"/>
  <c r="AK29" i="19"/>
  <c r="AK32" i="20"/>
  <c r="AG33" i="20"/>
  <c r="AI33" i="20"/>
  <c r="AO32" i="20"/>
  <c r="AK34" i="17"/>
  <c r="AG35" i="17" s="1"/>
  <c r="AG33" i="16"/>
  <c r="AI33" i="16"/>
  <c r="W22" i="19"/>
  <c r="AC21" i="19"/>
  <c r="X22" i="19" s="1"/>
  <c r="AD23" i="16"/>
  <c r="Y23" i="16"/>
  <c r="Z23" i="16"/>
  <c r="AA23" i="16" s="1"/>
  <c r="AB23" i="16" s="1"/>
  <c r="V24" i="16" s="1"/>
  <c r="Y23" i="20" l="1"/>
  <c r="Z23" i="20"/>
  <c r="AA23" i="20" s="1"/>
  <c r="AB23" i="20" s="1"/>
  <c r="V24" i="20" s="1"/>
  <c r="W24" i="20" s="1"/>
  <c r="Y24" i="17"/>
  <c r="Z24" i="17"/>
  <c r="AA24" i="17" s="1"/>
  <c r="AB24" i="17" s="1"/>
  <c r="V25" i="17" s="1"/>
  <c r="W25" i="17" s="1"/>
  <c r="AD24" i="17"/>
  <c r="AI30" i="19"/>
  <c r="AG30" i="19"/>
  <c r="AI35" i="17"/>
  <c r="AO35" i="17" s="1"/>
  <c r="AO33" i="20"/>
  <c r="AK33" i="20"/>
  <c r="AC23" i="20"/>
  <c r="X24" i="20" s="1"/>
  <c r="Y24" i="20" s="1"/>
  <c r="AK33" i="16"/>
  <c r="AI34" i="16" s="1"/>
  <c r="AO33" i="16"/>
  <c r="AD22" i="19"/>
  <c r="Y22" i="19"/>
  <c r="Z22" i="19"/>
  <c r="AA22" i="19" s="1"/>
  <c r="AB22" i="19" s="1"/>
  <c r="V23" i="19" s="1"/>
  <c r="W24" i="16"/>
  <c r="AC23" i="16"/>
  <c r="X24" i="16" s="1"/>
  <c r="AG34" i="16" l="1"/>
  <c r="AK35" i="17"/>
  <c r="AC24" i="17"/>
  <c r="X25" i="17" s="1"/>
  <c r="AO30" i="19"/>
  <c r="AK30" i="19"/>
  <c r="AO34" i="16"/>
  <c r="Z24" i="20"/>
  <c r="AA24" i="20" s="1"/>
  <c r="AC24" i="20" s="1"/>
  <c r="X25" i="20" s="1"/>
  <c r="Y25" i="20" s="1"/>
  <c r="AI34" i="20"/>
  <c r="AG34" i="20"/>
  <c r="AD24" i="20"/>
  <c r="AK34" i="16"/>
  <c r="AI35" i="16" s="1"/>
  <c r="AG35" i="16"/>
  <c r="W23" i="19"/>
  <c r="AC22" i="19"/>
  <c r="X23" i="19" s="1"/>
  <c r="AG36" i="17"/>
  <c r="AI36" i="17"/>
  <c r="AD24" i="16"/>
  <c r="Y24" i="16"/>
  <c r="Z24" i="16"/>
  <c r="AA24" i="16" s="1"/>
  <c r="AB24" i="16" s="1"/>
  <c r="V25" i="16" s="1"/>
  <c r="AB24" i="20" l="1"/>
  <c r="V25" i="20" s="1"/>
  <c r="W25" i="20" s="1"/>
  <c r="AD25" i="17"/>
  <c r="Z25" i="17"/>
  <c r="AA25" i="17" s="1"/>
  <c r="AB25" i="17" s="1"/>
  <c r="V26" i="17" s="1"/>
  <c r="W26" i="17" s="1"/>
  <c r="Y25" i="17"/>
  <c r="AI31" i="19"/>
  <c r="AG31" i="19"/>
  <c r="AO34" i="20"/>
  <c r="AK34" i="20"/>
  <c r="AD25" i="20"/>
  <c r="Z25" i="20"/>
  <c r="AA25" i="20" s="1"/>
  <c r="AB25" i="20" s="1"/>
  <c r="V26" i="20" s="1"/>
  <c r="W26" i="20" s="1"/>
  <c r="AK35" i="16"/>
  <c r="AG36" i="16" s="1"/>
  <c r="AO35" i="16"/>
  <c r="AD23" i="19"/>
  <c r="Y23" i="19"/>
  <c r="Z23" i="19"/>
  <c r="AA23" i="19" s="1"/>
  <c r="AB23" i="19" s="1"/>
  <c r="V24" i="19" s="1"/>
  <c r="AO36" i="17"/>
  <c r="AK36" i="17"/>
  <c r="W25" i="16"/>
  <c r="AC24" i="16"/>
  <c r="X25" i="16" s="1"/>
  <c r="AI36" i="16" l="1"/>
  <c r="AK36" i="16" s="1"/>
  <c r="AG37" i="16" s="1"/>
  <c r="AC25" i="17"/>
  <c r="X26" i="17" s="1"/>
  <c r="AD26" i="17" s="1"/>
  <c r="Z26" i="17"/>
  <c r="AA26" i="17" s="1"/>
  <c r="AB26" i="17" s="1"/>
  <c r="V27" i="17" s="1"/>
  <c r="W27" i="17" s="1"/>
  <c r="AO31" i="19"/>
  <c r="AK31" i="19"/>
  <c r="AO36" i="16"/>
  <c r="AI35" i="20"/>
  <c r="AG35" i="20"/>
  <c r="AK35" i="20" s="1"/>
  <c r="AC25" i="20"/>
  <c r="X26" i="20" s="1"/>
  <c r="AD26" i="20" s="1"/>
  <c r="AI37" i="16"/>
  <c r="AO37" i="16" s="1"/>
  <c r="W24" i="19"/>
  <c r="AC23" i="19"/>
  <c r="X24" i="19" s="1"/>
  <c r="AG37" i="17"/>
  <c r="AI37" i="17"/>
  <c r="AD25" i="16"/>
  <c r="Y25" i="16"/>
  <c r="Z25" i="16"/>
  <c r="AA25" i="16" s="1"/>
  <c r="AB25" i="16" s="1"/>
  <c r="V26" i="16" s="1"/>
  <c r="Y26" i="17" l="1"/>
  <c r="AC26" i="17" s="1"/>
  <c r="X27" i="17" s="1"/>
  <c r="AD27" i="17" s="1"/>
  <c r="AI32" i="19"/>
  <c r="AG32" i="19"/>
  <c r="AI36" i="20"/>
  <c r="AG36" i="20"/>
  <c r="AK36" i="20" s="1"/>
  <c r="AO35" i="20"/>
  <c r="Z26" i="20"/>
  <c r="AA26" i="20" s="1"/>
  <c r="AB26" i="20" s="1"/>
  <c r="V27" i="20" s="1"/>
  <c r="W27" i="20" s="1"/>
  <c r="Y26" i="20"/>
  <c r="AK37" i="16"/>
  <c r="AD24" i="19"/>
  <c r="Y24" i="19"/>
  <c r="Z24" i="19"/>
  <c r="AA24" i="19" s="1"/>
  <c r="AB24" i="19" s="1"/>
  <c r="V25" i="19" s="1"/>
  <c r="AO37" i="17"/>
  <c r="AK37" i="17"/>
  <c r="W26" i="16"/>
  <c r="AC25" i="16"/>
  <c r="X26" i="16" s="1"/>
  <c r="Z27" i="17" l="1"/>
  <c r="AA27" i="17" s="1"/>
  <c r="AB27" i="17" s="1"/>
  <c r="V28" i="17" s="1"/>
  <c r="Y27" i="17"/>
  <c r="AO32" i="19"/>
  <c r="AK32" i="19"/>
  <c r="AI37" i="20"/>
  <c r="AG37" i="20"/>
  <c r="AO36" i="20"/>
  <c r="AC26" i="20"/>
  <c r="X27" i="20" s="1"/>
  <c r="AD27" i="20" s="1"/>
  <c r="AI38" i="16"/>
  <c r="AG38" i="16"/>
  <c r="W25" i="19"/>
  <c r="AC24" i="19"/>
  <c r="X25" i="19" s="1"/>
  <c r="AG38" i="17"/>
  <c r="AI38" i="17"/>
  <c r="W28" i="17"/>
  <c r="AC27" i="17"/>
  <c r="X28" i="17" s="1"/>
  <c r="AD26" i="16"/>
  <c r="Y26" i="16"/>
  <c r="Z26" i="16"/>
  <c r="AA26" i="16" s="1"/>
  <c r="AB26" i="16" s="1"/>
  <c r="V27" i="16" s="1"/>
  <c r="AI33" i="19" l="1"/>
  <c r="AG33" i="19"/>
  <c r="AK33" i="19" s="1"/>
  <c r="AK37" i="20"/>
  <c r="Z27" i="20"/>
  <c r="AA27" i="20" s="1"/>
  <c r="AB27" i="20" s="1"/>
  <c r="V28" i="20" s="1"/>
  <c r="W28" i="20" s="1"/>
  <c r="Y27" i="20"/>
  <c r="AG38" i="20"/>
  <c r="AI38" i="20"/>
  <c r="AO37" i="20"/>
  <c r="AK38" i="16"/>
  <c r="AG39" i="16"/>
  <c r="AI39" i="16"/>
  <c r="AO38" i="16"/>
  <c r="AD25" i="19"/>
  <c r="Y25" i="19"/>
  <c r="Z25" i="19"/>
  <c r="AA25" i="19" s="1"/>
  <c r="AB25" i="19" s="1"/>
  <c r="V26" i="19" s="1"/>
  <c r="AO38" i="17"/>
  <c r="AK38" i="17"/>
  <c r="AD28" i="17"/>
  <c r="Y28" i="17"/>
  <c r="Z28" i="17"/>
  <c r="AA28" i="17" s="1"/>
  <c r="AB28" i="17" s="1"/>
  <c r="V29" i="17" s="1"/>
  <c r="W27" i="16"/>
  <c r="AC26" i="16"/>
  <c r="X27" i="16" s="1"/>
  <c r="AI34" i="19" l="1"/>
  <c r="AG34" i="19"/>
  <c r="AK34" i="19" s="1"/>
  <c r="AO33" i="19"/>
  <c r="AC27" i="20"/>
  <c r="X28" i="20" s="1"/>
  <c r="Z28" i="20" s="1"/>
  <c r="AA28" i="20" s="1"/>
  <c r="AB28" i="20" s="1"/>
  <c r="V29" i="20" s="1"/>
  <c r="AO38" i="20"/>
  <c r="AK38" i="20"/>
  <c r="AK39" i="16"/>
  <c r="AO39" i="16"/>
  <c r="AG40" i="16"/>
  <c r="AI40" i="16"/>
  <c r="AD28" i="20"/>
  <c r="Y28" i="20"/>
  <c r="W26" i="19"/>
  <c r="AC25" i="19"/>
  <c r="X26" i="19" s="1"/>
  <c r="AI39" i="17"/>
  <c r="AG39" i="17"/>
  <c r="W29" i="17"/>
  <c r="AC28" i="17"/>
  <c r="X29" i="17" s="1"/>
  <c r="AD27" i="16"/>
  <c r="Y27" i="16"/>
  <c r="Z27" i="16"/>
  <c r="AA27" i="16" s="1"/>
  <c r="AB27" i="16" s="1"/>
  <c r="V28" i="16" s="1"/>
  <c r="AG35" i="19" l="1"/>
  <c r="AI35" i="19"/>
  <c r="AO35" i="19" s="1"/>
  <c r="AO34" i="19"/>
  <c r="AO40" i="16"/>
  <c r="AI39" i="20"/>
  <c r="AG39" i="20"/>
  <c r="AK40" i="16"/>
  <c r="AI41" i="16" s="1"/>
  <c r="AG41" i="16"/>
  <c r="W29" i="20"/>
  <c r="AC28" i="20"/>
  <c r="X29" i="20" s="1"/>
  <c r="AD26" i="19"/>
  <c r="Y26" i="19"/>
  <c r="Z26" i="19"/>
  <c r="AA26" i="19" s="1"/>
  <c r="AB26" i="19" s="1"/>
  <c r="V27" i="19" s="1"/>
  <c r="AK39" i="17"/>
  <c r="AG40" i="17" s="1"/>
  <c r="AO39" i="17"/>
  <c r="AD29" i="17"/>
  <c r="Y29" i="17"/>
  <c r="Z29" i="17"/>
  <c r="AA29" i="17" s="1"/>
  <c r="AB29" i="17" s="1"/>
  <c r="V30" i="17" s="1"/>
  <c r="W28" i="16"/>
  <c r="AC27" i="16"/>
  <c r="X28" i="16" s="1"/>
  <c r="AK41" i="16" l="1"/>
  <c r="AI42" i="16" s="1"/>
  <c r="AK39" i="20"/>
  <c r="AK35" i="19"/>
  <c r="AI40" i="17"/>
  <c r="AK40" i="17" s="1"/>
  <c r="AG41" i="17" s="1"/>
  <c r="AI40" i="20"/>
  <c r="AG40" i="20"/>
  <c r="AO39" i="20"/>
  <c r="AO41" i="16"/>
  <c r="AG42" i="16"/>
  <c r="AK42" i="16" s="1"/>
  <c r="AI43" i="16" s="1"/>
  <c r="AD29" i="20"/>
  <c r="Y29" i="20"/>
  <c r="Z29" i="20"/>
  <c r="AA29" i="20" s="1"/>
  <c r="AB29" i="20" s="1"/>
  <c r="V30" i="20" s="1"/>
  <c r="W27" i="19"/>
  <c r="AC26" i="19"/>
  <c r="X27" i="19" s="1"/>
  <c r="W30" i="17"/>
  <c r="AC29" i="17"/>
  <c r="X30" i="17" s="1"/>
  <c r="AD28" i="16"/>
  <c r="Y28" i="16"/>
  <c r="Z28" i="16"/>
  <c r="AA28" i="16" s="1"/>
  <c r="AB28" i="16" s="1"/>
  <c r="V29" i="16" s="1"/>
  <c r="AO40" i="17" l="1"/>
  <c r="AI36" i="19"/>
  <c r="AG36" i="19"/>
  <c r="AK40" i="20"/>
  <c r="AO42" i="16"/>
  <c r="AI41" i="20"/>
  <c r="AG41" i="20"/>
  <c r="AO40" i="20"/>
  <c r="AG43" i="16"/>
  <c r="AK43" i="16" s="1"/>
  <c r="W30" i="20"/>
  <c r="AC29" i="20"/>
  <c r="X30" i="20" s="1"/>
  <c r="AD27" i="19"/>
  <c r="Y27" i="19"/>
  <c r="Z27" i="19"/>
  <c r="AA27" i="19" s="1"/>
  <c r="AB27" i="19" s="1"/>
  <c r="V28" i="19" s="1"/>
  <c r="AI41" i="17"/>
  <c r="AO41" i="17" s="1"/>
  <c r="AD30" i="17"/>
  <c r="Y30" i="17"/>
  <c r="Z30" i="17"/>
  <c r="AA30" i="17" s="1"/>
  <c r="AB30" i="17" s="1"/>
  <c r="V31" i="17" s="1"/>
  <c r="W29" i="16"/>
  <c r="AC28" i="16"/>
  <c r="X29" i="16" s="1"/>
  <c r="AK41" i="20" l="1"/>
  <c r="AO36" i="19"/>
  <c r="AK36" i="19"/>
  <c r="AI42" i="20"/>
  <c r="AG42" i="20"/>
  <c r="AK42" i="20" s="1"/>
  <c r="AO41" i="20"/>
  <c r="AO43" i="16"/>
  <c r="AG44" i="16"/>
  <c r="AI44" i="16"/>
  <c r="AD30" i="20"/>
  <c r="Y30" i="20"/>
  <c r="Z30" i="20"/>
  <c r="AA30" i="20" s="1"/>
  <c r="AB30" i="20" s="1"/>
  <c r="V31" i="20" s="1"/>
  <c r="W28" i="19"/>
  <c r="AC27" i="19"/>
  <c r="X28" i="19" s="1"/>
  <c r="AK41" i="17"/>
  <c r="AI42" i="17" s="1"/>
  <c r="W31" i="17"/>
  <c r="AC30" i="17"/>
  <c r="X31" i="17" s="1"/>
  <c r="AD29" i="16"/>
  <c r="Y29" i="16"/>
  <c r="Z29" i="16"/>
  <c r="AA29" i="16" s="1"/>
  <c r="AB29" i="16" s="1"/>
  <c r="V30" i="16" s="1"/>
  <c r="AI37" i="19" l="1"/>
  <c r="AG37" i="19"/>
  <c r="AG43" i="20"/>
  <c r="AI43" i="20"/>
  <c r="AO42" i="20"/>
  <c r="AG42" i="17"/>
  <c r="AO42" i="17" s="1"/>
  <c r="AO44" i="16"/>
  <c r="AK44" i="16"/>
  <c r="W31" i="20"/>
  <c r="AC30" i="20"/>
  <c r="X31" i="20" s="1"/>
  <c r="AD28" i="19"/>
  <c r="Y28" i="19"/>
  <c r="Z28" i="19"/>
  <c r="AA28" i="19" s="1"/>
  <c r="AB28" i="19" s="1"/>
  <c r="V29" i="19" s="1"/>
  <c r="AD31" i="17"/>
  <c r="Y31" i="17"/>
  <c r="Z31" i="17"/>
  <c r="AA31" i="17" s="1"/>
  <c r="AB31" i="17" s="1"/>
  <c r="V32" i="17" s="1"/>
  <c r="W30" i="16"/>
  <c r="AC29" i="16"/>
  <c r="X30" i="16" s="1"/>
  <c r="AK37" i="19" l="1"/>
  <c r="AI38" i="19"/>
  <c r="AG38" i="19"/>
  <c r="AO37" i="19"/>
  <c r="AK42" i="17"/>
  <c r="AI43" i="17" s="1"/>
  <c r="AO43" i="20"/>
  <c r="AK43" i="20"/>
  <c r="AD31" i="20"/>
  <c r="Y31" i="20"/>
  <c r="Z31" i="20"/>
  <c r="AA31" i="20" s="1"/>
  <c r="AB31" i="20" s="1"/>
  <c r="V32" i="20" s="1"/>
  <c r="W29" i="19"/>
  <c r="AC28" i="19"/>
  <c r="X29" i="19" s="1"/>
  <c r="W32" i="17"/>
  <c r="AC31" i="17"/>
  <c r="X32" i="17" s="1"/>
  <c r="AD30" i="16"/>
  <c r="Y30" i="16"/>
  <c r="Z30" i="16"/>
  <c r="AA30" i="16" s="1"/>
  <c r="AB30" i="16" s="1"/>
  <c r="V31" i="16" s="1"/>
  <c r="AG43" i="17" l="1"/>
  <c r="AO38" i="19"/>
  <c r="AK38" i="19"/>
  <c r="AI44" i="20"/>
  <c r="AG44" i="20"/>
  <c r="AK44" i="20" s="1"/>
  <c r="W32" i="20"/>
  <c r="AC31" i="20"/>
  <c r="X32" i="20" s="1"/>
  <c r="AD29" i="19"/>
  <c r="Y29" i="19"/>
  <c r="Z29" i="19"/>
  <c r="AA29" i="19" s="1"/>
  <c r="AB29" i="19" s="1"/>
  <c r="V30" i="19" s="1"/>
  <c r="AO43" i="17"/>
  <c r="AK43" i="17"/>
  <c r="AD32" i="17"/>
  <c r="Y32" i="17"/>
  <c r="Z32" i="17"/>
  <c r="AA32" i="17" s="1"/>
  <c r="AB32" i="17" s="1"/>
  <c r="V33" i="17" s="1"/>
  <c r="W31" i="16"/>
  <c r="AC30" i="16"/>
  <c r="X31" i="16" s="1"/>
  <c r="AI39" i="19" l="1"/>
  <c r="AG39" i="19"/>
  <c r="AK39" i="19" s="1"/>
  <c r="AO44" i="20"/>
  <c r="AD32" i="20"/>
  <c r="Y32" i="20"/>
  <c r="Z32" i="20"/>
  <c r="AA32" i="20" s="1"/>
  <c r="AB32" i="20" s="1"/>
  <c r="V33" i="20" s="1"/>
  <c r="W30" i="19"/>
  <c r="AC29" i="19"/>
  <c r="X30" i="19" s="1"/>
  <c r="AG44" i="17"/>
  <c r="AI44" i="17"/>
  <c r="W33" i="17"/>
  <c r="AC32" i="17"/>
  <c r="X33" i="17" s="1"/>
  <c r="AD31" i="16"/>
  <c r="Y31" i="16"/>
  <c r="Z31" i="16"/>
  <c r="AA31" i="16" s="1"/>
  <c r="AB31" i="16" s="1"/>
  <c r="V32" i="16" s="1"/>
  <c r="AI40" i="19" l="1"/>
  <c r="AG40" i="19"/>
  <c r="AO39" i="19"/>
  <c r="W33" i="20"/>
  <c r="AC32" i="20"/>
  <c r="X33" i="20" s="1"/>
  <c r="AD30" i="19"/>
  <c r="Y30" i="19"/>
  <c r="Z30" i="19"/>
  <c r="AA30" i="19" s="1"/>
  <c r="AB30" i="19" s="1"/>
  <c r="V31" i="19" s="1"/>
  <c r="AO44" i="17"/>
  <c r="AK44" i="17"/>
  <c r="AD33" i="17"/>
  <c r="Y33" i="17"/>
  <c r="Z33" i="17"/>
  <c r="AA33" i="17" s="1"/>
  <c r="AB33" i="17" s="1"/>
  <c r="V34" i="17" s="1"/>
  <c r="W32" i="16"/>
  <c r="AC31" i="16"/>
  <c r="X32" i="16" s="1"/>
  <c r="AO40" i="19" l="1"/>
  <c r="AK40" i="19"/>
  <c r="AD33" i="20"/>
  <c r="Y33" i="20"/>
  <c r="Z33" i="20"/>
  <c r="AA33" i="20" s="1"/>
  <c r="AB33" i="20" s="1"/>
  <c r="V34" i="20" s="1"/>
  <c r="W31" i="19"/>
  <c r="AC30" i="19"/>
  <c r="X31" i="19" s="1"/>
  <c r="W34" i="17"/>
  <c r="AC33" i="17"/>
  <c r="X34" i="17" s="1"/>
  <c r="AD32" i="16"/>
  <c r="Y32" i="16"/>
  <c r="Z32" i="16"/>
  <c r="AA32" i="16" s="1"/>
  <c r="AB32" i="16" s="1"/>
  <c r="V33" i="16" s="1"/>
  <c r="AI41" i="19" l="1"/>
  <c r="AG41" i="19"/>
  <c r="W34" i="20"/>
  <c r="AC33" i="20"/>
  <c r="X34" i="20" s="1"/>
  <c r="AD31" i="19"/>
  <c r="Y31" i="19"/>
  <c r="Z31" i="19"/>
  <c r="AA31" i="19" s="1"/>
  <c r="AB31" i="19" s="1"/>
  <c r="V32" i="19" s="1"/>
  <c r="AD34" i="17"/>
  <c r="Y34" i="17"/>
  <c r="Z34" i="17"/>
  <c r="W33" i="16"/>
  <c r="AC32" i="16"/>
  <c r="X33" i="16" s="1"/>
  <c r="AO41" i="19" l="1"/>
  <c r="AK41" i="19"/>
  <c r="AD34" i="20"/>
  <c r="Y34" i="20"/>
  <c r="Z34" i="20"/>
  <c r="W32" i="19"/>
  <c r="AC31" i="19"/>
  <c r="X32" i="19" s="1"/>
  <c r="O24" i="17"/>
  <c r="O25" i="17" s="1"/>
  <c r="G19" i="17" s="1"/>
  <c r="AA34" i="17"/>
  <c r="AB34" i="17" s="1"/>
  <c r="AD33" i="16"/>
  <c r="Y33" i="16"/>
  <c r="Z33" i="16"/>
  <c r="AA33" i="16" s="1"/>
  <c r="AB33" i="16" s="1"/>
  <c r="V34" i="16" s="1"/>
  <c r="AI42" i="19" l="1"/>
  <c r="AG42" i="19"/>
  <c r="AK42" i="19" s="1"/>
  <c r="O26" i="20"/>
  <c r="O27" i="20" s="1"/>
  <c r="G17" i="20" s="1"/>
  <c r="AA34" i="20"/>
  <c r="AB34" i="20" s="1"/>
  <c r="AD32" i="19"/>
  <c r="Y32" i="19"/>
  <c r="Z32" i="19"/>
  <c r="AA32" i="19" s="1"/>
  <c r="AB32" i="19" s="1"/>
  <c r="V33" i="19" s="1"/>
  <c r="AC34" i="17"/>
  <c r="G22" i="17"/>
  <c r="G20" i="17"/>
  <c r="W34" i="16"/>
  <c r="AC33" i="16"/>
  <c r="X34" i="16" s="1"/>
  <c r="AI43" i="19" l="1"/>
  <c r="AG43" i="19"/>
  <c r="AO42" i="19"/>
  <c r="AC34" i="20"/>
  <c r="G20" i="20"/>
  <c r="G18" i="20"/>
  <c r="W33" i="19"/>
  <c r="AC32" i="19"/>
  <c r="X33" i="19" s="1"/>
  <c r="G35" i="17"/>
  <c r="K4" i="17" s="1"/>
  <c r="AD34" i="16"/>
  <c r="Y34" i="16"/>
  <c r="Z34" i="16"/>
  <c r="AO43" i="19" l="1"/>
  <c r="AK43" i="19"/>
  <c r="K6" i="20"/>
  <c r="G33" i="20"/>
  <c r="K10" i="20" s="1"/>
  <c r="K15" i="20" s="1"/>
  <c r="K8" i="17"/>
  <c r="K13" i="17" s="1"/>
  <c r="K48" i="17" s="1"/>
  <c r="AD33" i="19"/>
  <c r="Y33" i="19"/>
  <c r="Z33" i="19"/>
  <c r="AA33" i="19" s="1"/>
  <c r="AB33" i="19" s="1"/>
  <c r="V34" i="19" s="1"/>
  <c r="K5" i="17"/>
  <c r="K17" i="17"/>
  <c r="K16" i="17"/>
  <c r="O24" i="16"/>
  <c r="O25" i="16" s="1"/>
  <c r="G19" i="16" s="1"/>
  <c r="AA34" i="16"/>
  <c r="AB34" i="16" s="1"/>
  <c r="AI44" i="19" l="1"/>
  <c r="AG44" i="19"/>
  <c r="K40" i="17"/>
  <c r="K32" i="17"/>
  <c r="K35" i="20"/>
  <c r="K43" i="20"/>
  <c r="K7" i="20"/>
  <c r="K18" i="20"/>
  <c r="K19" i="20"/>
  <c r="W34" i="19"/>
  <c r="AC33" i="19"/>
  <c r="X34" i="19" s="1"/>
  <c r="K27" i="17"/>
  <c r="K28" i="17" s="1"/>
  <c r="K49" i="17"/>
  <c r="K50" i="17" s="1"/>
  <c r="K41" i="17"/>
  <c r="K33" i="17"/>
  <c r="AC34" i="16"/>
  <c r="G22" i="16"/>
  <c r="G20" i="16"/>
  <c r="K44" i="17" l="1"/>
  <c r="AO44" i="19"/>
  <c r="AK44" i="19"/>
  <c r="K36" i="17"/>
  <c r="K44" i="20"/>
  <c r="K47" i="20" s="1"/>
  <c r="K36" i="20"/>
  <c r="K39" i="20" s="1"/>
  <c r="K30" i="20"/>
  <c r="AD34" i="19"/>
  <c r="Y34" i="19"/>
  <c r="Z34" i="19"/>
  <c r="AJ4" i="17"/>
  <c r="AL4" i="17"/>
  <c r="AH4" i="17"/>
  <c r="G35" i="16"/>
  <c r="K4" i="16" s="1"/>
  <c r="K8" i="16" l="1"/>
  <c r="K13" i="16" s="1"/>
  <c r="K40" i="16" s="1"/>
  <c r="K31" i="20"/>
  <c r="AH4" i="20"/>
  <c r="AL4" i="20"/>
  <c r="AJ4" i="20"/>
  <c r="O26" i="19"/>
  <c r="O27" i="19" s="1"/>
  <c r="G17" i="19" s="1"/>
  <c r="AA34" i="19"/>
  <c r="AB34" i="19" s="1"/>
  <c r="K17" i="16"/>
  <c r="K16" i="16"/>
  <c r="K5" i="16"/>
  <c r="K48" i="16" l="1"/>
  <c r="K32" i="16"/>
  <c r="AC34" i="19"/>
  <c r="G20" i="19"/>
  <c r="G18" i="19"/>
  <c r="K33" i="16"/>
  <c r="K41" i="16"/>
  <c r="K44" i="16" s="1"/>
  <c r="K49" i="16"/>
  <c r="K27" i="16"/>
  <c r="K50" i="16" l="1"/>
  <c r="K36" i="16"/>
  <c r="K6" i="19"/>
  <c r="G33" i="19"/>
  <c r="K10" i="19" s="1"/>
  <c r="K15" i="19" s="1"/>
  <c r="K28" i="16"/>
  <c r="AJ4" i="16"/>
  <c r="AH4" i="16"/>
  <c r="AL4" i="16"/>
  <c r="K35" i="19" l="1"/>
  <c r="K43" i="19"/>
  <c r="K7" i="19"/>
  <c r="K18" i="19"/>
  <c r="K19" i="19"/>
  <c r="K30" i="19" l="1"/>
  <c r="K31" i="19" s="1"/>
  <c r="K44" i="19"/>
  <c r="K47" i="19" s="1"/>
  <c r="K36" i="19"/>
  <c r="K39" i="19" s="1"/>
  <c r="AH4" i="19" l="1"/>
  <c r="AL4" i="19"/>
  <c r="AJ4" i="19"/>
</calcChain>
</file>

<file path=xl/sharedStrings.xml><?xml version="1.0" encoding="utf-8"?>
<sst xmlns="http://schemas.openxmlformats.org/spreadsheetml/2006/main" count="1110" uniqueCount="203">
  <si>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</si>
  <si>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</si>
  <si>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</si>
  <si>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</si>
  <si>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</si>
  <si>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</si>
  <si>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</si>
  <si>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</si>
  <si>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</si>
  <si>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</si>
  <si>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</si>
  <si>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</si>
  <si>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</si>
  <si>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</si>
  <si>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</si>
  <si>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</si>
  <si>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</si>
  <si>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</si>
  <si>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</si>
  <si>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</si>
  <si>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</si>
  <si>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</si>
  <si>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</si>
  <si>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</si>
  <si>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</si>
  <si>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</si>
  <si>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</si>
  <si>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</si>
  <si>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</si>
  <si>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</si>
  <si>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</si>
  <si>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</si>
  <si>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</si>
  <si>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</si>
  <si>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</si>
  <si>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</si>
  <si>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</si>
  <si>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</si>
  <si>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</si>
  <si>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</si>
  <si>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</si>
  <si>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</si>
  <si>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</si>
  <si>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</si>
  <si>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</si>
  <si>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</si>
  <si>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</si>
  <si>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</si>
  <si>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</si>
  <si>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</si>
  <si>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</si>
  <si>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</si>
  <si>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</si>
  <si>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</si>
  <si>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</si>
  <si>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</si>
  <si>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</si>
  <si>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</si>
  <si>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</si>
  <si>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</si>
  <si>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</si>
  <si>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</si>
  <si>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</si>
  <si>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</si>
  <si>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</si>
  <si>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</si>
  <si>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</si>
  <si>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</si>
  <si>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</si>
  <si>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</si>
  <si>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</si>
  <si>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</si>
  <si>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</si>
  <si>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</si>
  <si>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</si>
  <si>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</si>
  <si>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</si>
  <si>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</si>
  <si>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</si>
  <si>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</si>
  <si>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</si>
  <si>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</si>
  <si>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</si>
  <si>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</si>
  <si>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</si>
  <si>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</si>
  <si>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</si>
  <si>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</si>
  <si>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</si>
  <si>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</si>
  <si>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</si>
  <si>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</si>
  <si>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</si>
  <si>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</si>
  <si>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</si>
  <si>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</si>
  <si>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</si>
  <si>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</si>
  <si>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</si>
  <si>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</si>
  <si>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</si>
  <si>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</si>
  <si>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</si>
  <si>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</si>
  <si>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</si>
  <si>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</si>
  <si>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</si>
  <si>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</si>
  <si>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</si>
  <si>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</si>
  <si>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</si>
  <si>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</si>
  <si>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</si>
  <si>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</si>
  <si>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</si>
  <si>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</si>
  <si>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</si>
  <si>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</si>
  <si>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</si>
  <si>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</si>
  <si>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</si>
  <si>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</si>
  <si>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</si>
  <si>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</si>
  <si>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</si>
  <si>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</si>
  <si>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</si>
  <si>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</si>
  <si>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</si>
  <si>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</si>
  <si>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</si>
  <si>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</si>
  <si>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</si>
  <si>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</si>
  <si>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</si>
  <si>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</si>
  <si>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</si>
  <si>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</si>
  <si>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</si>
  <si>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</si>
  <si>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</si>
  <si>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</si>
  <si>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</si>
  <si>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</si>
  <si>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</si>
  <si>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</si>
  <si>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</si>
  <si>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</si>
  <si>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</si>
  <si>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</si>
  <si>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</si>
  <si>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</si>
  <si>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</si>
  <si>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</si>
  <si>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</si>
  <si>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</si>
  <si>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</si>
  <si>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</si>
  <si>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</si>
  <si>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</si>
  <si>
    <t>Bisection method for solving W_total</t>
  </si>
  <si>
    <t>lift+cruise</t>
  </si>
  <si>
    <t>lift</t>
  </si>
  <si>
    <t>Propeller|RPM_cruise</t>
  </si>
  <si>
    <t>p_max_prop</t>
  </si>
  <si>
    <t>p_max_prop_each</t>
  </si>
  <si>
    <t>CD0_wing</t>
  </si>
  <si>
    <t>f_e_non_hub_non_wing</t>
  </si>
  <si>
    <t>CD0_total</t>
  </si>
  <si>
    <t>r_propeller</t>
  </si>
  <si>
    <t>c_to_r_propeller</t>
  </si>
  <si>
    <t>flight_time</t>
  </si>
  <si>
    <t>Oswald_e</t>
  </si>
  <si>
    <t>wing_area</t>
  </si>
  <si>
    <t>m^2</t>
  </si>
  <si>
    <t>CL</t>
  </si>
  <si>
    <t>wing_AR</t>
  </si>
  <si>
    <t>CD</t>
  </si>
  <si>
    <t>prop_tip_speed</t>
  </si>
  <si>
    <t>prop_tip_speed_Mach</t>
  </si>
  <si>
    <t>L/D</t>
  </si>
  <si>
    <t>Propeller performance in cruise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</si>
  <si>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</si>
  <si>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</si>
  <si>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</si>
  <si>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</si>
  <si>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</si>
  <si>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</si>
  <si>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</si>
  <si>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wheeled</t>
  </si>
  <si>
    <t>l_sm</t>
  </si>
  <si>
    <t>n_ult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</si>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</sst>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7-004B-80A0-14CE28501D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7-004B-80A0-14CE28501DE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7-004B-80A0-14CE28501DE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7-004B-80A0-14CE28501DE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7-004B-80A0-14CE28501D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multirotor_opt_weight!$K$39:$K$43</c:f>
              <c:numCache>
                <c:formatCode>General</c:formatCode>
                <c:ptCount val="5"/>
                <c:pt idx="0">
                  <c:v>19.72</c:v>
                </c:pt>
                <c:pt idx="1">
                  <c:v>45.47</c:v>
                </c:pt>
                <c:pt idx="2">
                  <c:v>23.35</c:v>
                </c:pt>
                <c:pt idx="3">
                  <c:v>6.55</c:v>
                </c:pt>
                <c:pt idx="4">
                  <c:v>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67-004B-80A0-14CE28501D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7-A446-98FD-FDAA54BD1F5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7-A446-98FD-FDAA54BD1F5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77-A446-98FD-FDAA54BD1F5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77-A446-98FD-FDAA54BD1F5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77-A446-98FD-FDAA54BD1F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1383.19</c:v>
                </c:pt>
                <c:pt idx="2">
                  <c:v>710.26</c:v>
                </c:pt>
                <c:pt idx="3">
                  <c:v>199.13</c:v>
                </c:pt>
                <c:pt idx="4">
                  <c:v>149.63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77-A446-98FD-FDAA54BD1F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C0-4E4E-9AB2-30478B40779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C0-4E4E-9AB2-30478B40779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C0-4E4E-9AB2-30478B40779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FC0-4E4E-9AB2-30478B40779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FC0-4E4E-9AB2-30478B4077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multirotor_opt_energy!$K$39:$K$43</c:f>
              <c:numCache>
                <c:formatCode>General</c:formatCode>
                <c:ptCount val="5"/>
                <c:pt idx="0">
                  <c:v>19.170000000000002</c:v>
                </c:pt>
                <c:pt idx="1">
                  <c:v>43.02</c:v>
                </c:pt>
                <c:pt idx="2">
                  <c:v>26.54</c:v>
                </c:pt>
                <c:pt idx="3">
                  <c:v>6.34</c:v>
                </c:pt>
                <c:pt idx="4">
                  <c:v>4.93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C0-4E4E-9AB2-30478B4077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5B-6D49-B39D-BA9035CE71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5B-6D49-B39D-BA9035CE71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5B-6D49-B39D-BA9035CE71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5B-6D49-B39D-BA9035CE71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5B-6D49-B39D-BA9035CE71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1346.82</c:v>
                </c:pt>
                <c:pt idx="2">
                  <c:v>830.89</c:v>
                </c:pt>
                <c:pt idx="3">
                  <c:v>198.35</c:v>
                </c:pt>
                <c:pt idx="4">
                  <c:v>154.30000000000001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5B-6D49-B39D-BA9035CE711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7DF-0A48-B860-65C7907DAF1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DF-0A48-B860-65C7907DAF1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7DF-0A48-B860-65C7907DAF1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7DF-0A48-B860-65C7907DAF1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7DF-0A48-B860-65C7907DAF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liftcruise_opt_weight!$J$42:$J$46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liftcruise_opt_weight!$K$42:$K$46</c:f>
              <c:numCache>
                <c:formatCode>General</c:formatCode>
                <c:ptCount val="5"/>
                <c:pt idx="0">
                  <c:v>600</c:v>
                </c:pt>
                <c:pt idx="1">
                  <c:v>667.24</c:v>
                </c:pt>
                <c:pt idx="2">
                  <c:v>342.13</c:v>
                </c:pt>
                <c:pt idx="3">
                  <c:v>488.42</c:v>
                </c:pt>
                <c:pt idx="4">
                  <c:v>106.03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DF-0A48-B860-65C7907DAF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89-764D-ADB3-C85B3B957C2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89-764D-ADB3-C85B3B957C2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289-764D-ADB3-C85B3B957C2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289-764D-ADB3-C85B3B957C2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289-764D-ADB3-C85B3B957C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liftcruise_opt_weight!$J$34:$J$38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liftcruise_opt_weight!$K$34:$K$38</c:f>
              <c:numCache>
                <c:formatCode>General</c:formatCode>
                <c:ptCount val="5"/>
                <c:pt idx="0">
                  <c:v>27.23</c:v>
                </c:pt>
                <c:pt idx="1">
                  <c:v>30.28</c:v>
                </c:pt>
                <c:pt idx="2">
                  <c:v>15.52</c:v>
                </c:pt>
                <c:pt idx="3">
                  <c:v>22.16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89-764D-ADB3-C85B3B957C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12-8843-A4F5-6299154A0EF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12-8843-A4F5-6299154A0EF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912-8843-A4F5-6299154A0EF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912-8843-A4F5-6299154A0EF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912-8843-A4F5-6299154A0E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liftcruise_opt_energy!$J$42:$J$46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liftcruise_opt_energy!$K$42:$K$46</c:f>
              <c:numCache>
                <c:formatCode>General</c:formatCode>
                <c:ptCount val="5"/>
                <c:pt idx="0">
                  <c:v>600</c:v>
                </c:pt>
                <c:pt idx="1">
                  <c:v>624.84</c:v>
                </c:pt>
                <c:pt idx="2">
                  <c:v>338.93</c:v>
                </c:pt>
                <c:pt idx="3">
                  <c:v>663.16</c:v>
                </c:pt>
                <c:pt idx="4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912-8843-A4F5-6299154A0EF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45-3447-817A-E148A46F88A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45-3447-817A-E148A46F88A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45-3447-817A-E148A46F88A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45-3447-817A-E148A46F88A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45-3447-817A-E148A46F88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liftcruise_opt_energy!$J$34:$J$38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liftcruise_opt_energy!$K$34:$K$38</c:f>
              <c:numCache>
                <c:formatCode>General</c:formatCode>
                <c:ptCount val="5"/>
                <c:pt idx="0">
                  <c:v>25.64</c:v>
                </c:pt>
                <c:pt idx="1">
                  <c:v>26.7</c:v>
                </c:pt>
                <c:pt idx="2">
                  <c:v>14.48</c:v>
                </c:pt>
                <c:pt idx="3">
                  <c:v>28.34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45-3447-817A-E148A46F88A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5A728-97F7-DF45-97CA-2AE4C58C6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42776-1ABB-CF43-B8F5-52ED5A98F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DEFC1-4F8C-AB42-B60A-924C9E289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8C23BF-12B3-3040-AF7F-F08ADBA23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E74F60-470E-2C4F-A050-2A3304384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DF1703-77FE-5340-8B3C-DC20A1BF5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998B67-1C14-2241-889C-4935F9F92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1A0C19-5D30-594A-B338-7104856A0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DFBB-4DC1-7D4A-8A65-BB29C8D40E75}">
  <dimension ref="B1:AO56"/>
  <sheetViews>
    <sheetView topLeftCell="B1" workbookViewId="0">
      <selection activeCell="G8" sqref="G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6" t="s">
        <v>0</v>
      </c>
      <c r="C1" s="36"/>
      <c r="D1" s="36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4"/>
      <c r="D3" s="34"/>
      <c r="F3" s="32" t="s">
        <v>80</v>
      </c>
      <c r="G3" s="34"/>
      <c r="H3" s="34"/>
      <c r="J3" s="30" t="s">
        <v>98</v>
      </c>
      <c r="K3" s="30"/>
      <c r="L3" s="30"/>
      <c r="N3" s="30" t="s">
        <v>92</v>
      </c>
      <c r="O3" s="30"/>
      <c r="P3" s="30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593.47117613809712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4.9621993170357287E-2</v>
      </c>
      <c r="X4" s="3">
        <v>1</v>
      </c>
      <c r="Y4" s="2">
        <f t="shared" ref="Y4:Y34" si="1" xml:space="preserve"> $O$20 * TAN($O$17/180*PI()) + $O$21 / (2 * SQRT($O$20^2 + X4^2)) - X4</f>
        <v>-0.95510405297190448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-0.45287745741628577</v>
      </c>
      <c r="AB4" s="2">
        <f>W4*AA4</f>
        <v>-2.2472682098919707E-2</v>
      </c>
      <c r="AC4" s="2">
        <f>Y4*AA4</f>
        <v>0.43254509507790562</v>
      </c>
      <c r="AD4" s="2">
        <f>X4-V4</f>
        <v>1</v>
      </c>
      <c r="AF4" s="2">
        <v>0</v>
      </c>
      <c r="AG4" s="2"/>
      <c r="AH4" s="2">
        <f>K27</f>
        <v>-5.5150761013464944E-3</v>
      </c>
      <c r="AI4" s="2"/>
      <c r="AJ4" s="2">
        <f>K27</f>
        <v>-5.5150761013464944E-3</v>
      </c>
      <c r="AK4" s="2"/>
      <c r="AL4" s="2">
        <f>K27</f>
        <v>-5.5150761013464944E-3</v>
      </c>
      <c r="AM4" s="2"/>
      <c r="AN4" s="2"/>
      <c r="AO4" s="2"/>
    </row>
    <row r="5" spans="2:41" x14ac:dyDescent="0.2">
      <c r="B5" s="10" t="s">
        <v>37</v>
      </c>
      <c r="C5" s="10">
        <v>3042.2010795596898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148.36779403452428</v>
      </c>
      <c r="L5" s="6" t="s">
        <v>101</v>
      </c>
      <c r="N5" s="6" t="s">
        <v>114</v>
      </c>
      <c r="O5" s="6">
        <f xml:space="preserve"> $C$18 * 0.85 * ($C$5/$C$18 *2.20462/1000)^(2/3) * 0.3048^2</f>
        <v>0.44581015218622733</v>
      </c>
      <c r="P5" s="6" t="s">
        <v>115</v>
      </c>
      <c r="U5" s="2">
        <v>1</v>
      </c>
      <c r="V5" s="2">
        <f>IF(AB4&gt;0, Z4, V4)</f>
        <v>0</v>
      </c>
      <c r="W5" s="2">
        <f t="shared" si="0"/>
        <v>4.9621993170357287E-2</v>
      </c>
      <c r="X5" s="2">
        <f>IF(AC4&gt;0, Z4, X4)</f>
        <v>0.5</v>
      </c>
      <c r="Y5" s="2">
        <f t="shared" si="1"/>
        <v>-0.45287745741628577</v>
      </c>
      <c r="Z5" s="2">
        <f t="shared" ref="Z5:Z34" si="3" xml:space="preserve"> (V5 + X5)/2</f>
        <v>0.25</v>
      </c>
      <c r="AA5" s="2">
        <f t="shared" si="2"/>
        <v>-0.20127747862156137</v>
      </c>
      <c r="AB5" s="2">
        <f t="shared" ref="AB5:AB34" si="4">W5*AA5</f>
        <v>-9.9877896695058522E-3</v>
      </c>
      <c r="AC5" s="2">
        <f t="shared" ref="AC5:AC34" si="5">Y5*AA5</f>
        <v>9.1154032753293521E-2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-1285.4992606156195</v>
      </c>
      <c r="AI5" s="3">
        <v>10000</v>
      </c>
      <c r="AJ5" s="2">
        <f t="dataTable" ref="AJ5:AJ44" dt2D="0" dtr="0" r1="C5" ca="1"/>
        <v>1620.2382655198489</v>
      </c>
      <c r="AK5" s="2">
        <f>(AG5+AI5)/2</f>
        <v>5250</v>
      </c>
      <c r="AL5" s="2">
        <f t="dataTable" ref="AL5:AL44" dt2D="0" dtr="0" r1="C5" ca="1"/>
        <v>818.49659799273059</v>
      </c>
      <c r="AM5" s="2">
        <f>AH5*AL5</f>
        <v>-1052176.771536055</v>
      </c>
      <c r="AN5" s="2">
        <f>AJ5*AL5</f>
        <v>1326159.508265639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4.9621993170357287E-2</v>
      </c>
      <c r="X6" s="2">
        <f t="shared" ref="X6:X34" si="8">IF(AC5&gt;0, Z5, X5)</f>
        <v>0.25</v>
      </c>
      <c r="Y6" s="2">
        <f t="shared" si="1"/>
        <v>-0.20127747862156137</v>
      </c>
      <c r="Z6" s="2">
        <f t="shared" si="3"/>
        <v>0.125</v>
      </c>
      <c r="AA6" s="2">
        <f t="shared" si="2"/>
        <v>-7.5632208192782102E-2</v>
      </c>
      <c r="AB6" s="2">
        <f t="shared" si="4"/>
        <v>-3.753020918401274E-3</v>
      </c>
      <c r="AC6" s="2">
        <f t="shared" si="5"/>
        <v>1.5223060167624178E-2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-1285.4992606156195</v>
      </c>
      <c r="AI6" s="2">
        <f>IF(AN5&gt;0, AK5, AI5)</f>
        <v>5250</v>
      </c>
      <c r="AJ6" s="2">
        <v>818.49659799273059</v>
      </c>
      <c r="AK6" s="2">
        <f t="shared" ref="AK6:AK43" si="9">(AG6+AI6)/2</f>
        <v>2875</v>
      </c>
      <c r="AL6" s="2">
        <v>-73.939397509547234</v>
      </c>
      <c r="AM6" s="2">
        <f t="shared" ref="AM6:AM44" si="10">AH6*AL6</f>
        <v>95049.040828887344</v>
      </c>
      <c r="AN6" s="2">
        <f t="shared" ref="AN6:AN44" si="11">AJ6*AL6</f>
        <v>-60519.145319196585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323.441746508584</v>
      </c>
      <c r="D7" s="6" t="s">
        <v>125</v>
      </c>
      <c r="F7" t="s">
        <v>121</v>
      </c>
      <c r="G7" s="8">
        <f>$C$6*2*PI()/60*$C$9</f>
        <v>164.75720901176103</v>
      </c>
      <c r="H7" s="6" t="s">
        <v>10</v>
      </c>
      <c r="J7" s="30" t="s">
        <v>21</v>
      </c>
      <c r="K7" s="30"/>
      <c r="L7" s="30"/>
      <c r="N7" s="6" t="s">
        <v>159</v>
      </c>
      <c r="O7" s="6">
        <f>O5+$O$6</f>
        <v>1.0760867755213233</v>
      </c>
      <c r="P7" s="6" t="s">
        <v>115</v>
      </c>
      <c r="U7" s="2">
        <v>3</v>
      </c>
      <c r="V7" s="2">
        <f t="shared" si="7"/>
        <v>0</v>
      </c>
      <c r="W7" s="2">
        <f t="shared" si="0"/>
        <v>4.9621993170357287E-2</v>
      </c>
      <c r="X7" s="2">
        <f t="shared" si="8"/>
        <v>0.125</v>
      </c>
      <c r="Y7" s="2">
        <f t="shared" si="1"/>
        <v>-7.5632208192782102E-2</v>
      </c>
      <c r="Z7" s="2">
        <f t="shared" si="3"/>
        <v>6.25E-2</v>
      </c>
      <c r="AA7" s="2">
        <f t="shared" si="2"/>
        <v>-1.2943737366961881E-2</v>
      </c>
      <c r="AB7" s="2">
        <f t="shared" si="4"/>
        <v>-6.4229404722228084E-4</v>
      </c>
      <c r="AC7" s="2">
        <f t="shared" si="5"/>
        <v>9.789634393307543E-4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-73.939397509547234</v>
      </c>
      <c r="AI7" s="2">
        <f t="shared" ref="AI7:AI44" si="14">IF(AN6&gt;0, AK6, AI6)</f>
        <v>5250</v>
      </c>
      <c r="AJ7" s="2">
        <v>818.49659799273059</v>
      </c>
      <c r="AK7" s="2">
        <f t="shared" si="9"/>
        <v>4062.5</v>
      </c>
      <c r="AL7" s="2">
        <v>415.49507530441861</v>
      </c>
      <c r="AM7" s="2">
        <f t="shared" si="10"/>
        <v>-30721.455536192669</v>
      </c>
      <c r="AN7" s="2">
        <f t="shared" si="11"/>
        <v>340081.30561940005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241.4016 * 1000/3600</f>
        <v>67.055999999999997</v>
      </c>
      <c r="D8" s="6" t="s">
        <v>10</v>
      </c>
      <c r="F8" t="s">
        <v>124</v>
      </c>
      <c r="G8" s="8">
        <f>G7/$C$43</f>
        <v>0.49340775209507254</v>
      </c>
      <c r="H8" s="6" t="s">
        <v>122</v>
      </c>
      <c r="J8" s="6" t="s">
        <v>96</v>
      </c>
      <c r="K8" s="6">
        <f xml:space="preserve"> $C$15 * (G12*G6 + G22*G15 + G31*G27 +G35*G34)/3600</f>
        <v>235.14216091561627</v>
      </c>
      <c r="L8" s="6" t="s">
        <v>102</v>
      </c>
      <c r="N8" s="6" t="s">
        <v>38</v>
      </c>
      <c r="O8" s="6">
        <f xml:space="preserve"> O4 *O7</f>
        <v>2439.9877936513199</v>
      </c>
      <c r="P8" s="6" t="s">
        <v>20</v>
      </c>
      <c r="U8" s="2">
        <v>4</v>
      </c>
      <c r="V8" s="2">
        <f t="shared" si="7"/>
        <v>0</v>
      </c>
      <c r="W8" s="2">
        <f t="shared" si="0"/>
        <v>4.9621993170357287E-2</v>
      </c>
      <c r="X8" s="2">
        <f t="shared" si="8"/>
        <v>6.25E-2</v>
      </c>
      <c r="Y8" s="2">
        <f t="shared" si="1"/>
        <v>-1.2943737366961881E-2</v>
      </c>
      <c r="Z8" s="2">
        <f t="shared" si="3"/>
        <v>3.125E-2</v>
      </c>
      <c r="AA8" s="2">
        <f t="shared" si="2"/>
        <v>1.8355417707295589E-2</v>
      </c>
      <c r="AB8" s="2">
        <f t="shared" si="4"/>
        <v>9.1083241211047691E-4</v>
      </c>
      <c r="AC8" s="2">
        <f t="shared" si="5"/>
        <v>-2.3758770606411569E-4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-73.939397509547234</v>
      </c>
      <c r="AI8" s="2">
        <f t="shared" si="14"/>
        <v>4062.5</v>
      </c>
      <c r="AJ8" s="2">
        <v>415.49507530441861</v>
      </c>
      <c r="AK8" s="2">
        <f t="shared" si="9"/>
        <v>3468.75</v>
      </c>
      <c r="AL8" s="2">
        <v>181.48625099821993</v>
      </c>
      <c r="AM8" s="2">
        <f t="shared" si="10"/>
        <v>-13418.984055074847</v>
      </c>
      <c r="AN8" s="2">
        <f t="shared" si="11"/>
        <v>75406.643525222011</v>
      </c>
      <c r="AO8" s="2">
        <f t="shared" si="12"/>
        <v>1187.5</v>
      </c>
    </row>
    <row r="9" spans="2:41" x14ac:dyDescent="0.2">
      <c r="B9" s="6" t="s">
        <v>95</v>
      </c>
      <c r="C9" s="17">
        <v>3.9332886336369501</v>
      </c>
      <c r="D9" s="6" t="s">
        <v>8</v>
      </c>
      <c r="F9" t="s">
        <v>19</v>
      </c>
      <c r="G9" s="6">
        <f xml:space="preserve"> $C$5 * $C$44 / $C$18</f>
        <v>7454.5267717042325</v>
      </c>
      <c r="H9" s="6" t="s">
        <v>20</v>
      </c>
      <c r="J9" s="6" t="s">
        <v>138</v>
      </c>
      <c r="K9" s="6">
        <f xml:space="preserve"> $C$15 * (G6 + G15 + G27 + G34)/60</f>
        <v>50.188181022826697</v>
      </c>
      <c r="L9" s="6" t="s">
        <v>103</v>
      </c>
      <c r="N9" s="6" t="s">
        <v>39</v>
      </c>
      <c r="O9" s="6">
        <f xml:space="preserve"> O8</f>
        <v>2439.9877936513199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1.8355417707295589E-2</v>
      </c>
      <c r="X9" s="2">
        <f t="shared" si="8"/>
        <v>6.25E-2</v>
      </c>
      <c r="Y9" s="2">
        <f t="shared" si="1"/>
        <v>-1.2943737366961881E-2</v>
      </c>
      <c r="Z9" s="2">
        <f t="shared" si="3"/>
        <v>4.6875E-2</v>
      </c>
      <c r="AA9" s="2">
        <f t="shared" si="2"/>
        <v>2.7098330318137132E-3</v>
      </c>
      <c r="AB9" s="2">
        <f t="shared" si="4"/>
        <v>4.9740117215967924E-5</v>
      </c>
      <c r="AC9" s="2">
        <f t="shared" si="5"/>
        <v>-3.5075367072114762E-5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-73.939397509547234</v>
      </c>
      <c r="AI9" s="2">
        <f t="shared" si="14"/>
        <v>3468.75</v>
      </c>
      <c r="AJ9" s="2">
        <v>181.48625099821993</v>
      </c>
      <c r="AK9" s="2">
        <f t="shared" si="9"/>
        <v>3171.875</v>
      </c>
      <c r="AL9" s="2">
        <v>56.287330759623273</v>
      </c>
      <c r="AM9" s="2">
        <f t="shared" si="10"/>
        <v>-4161.8513237871502</v>
      </c>
      <c r="AN9" s="2">
        <f t="shared" si="11"/>
        <v>10215.376638260816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98.911862689682849</v>
      </c>
      <c r="H10" s="6" t="s">
        <v>101</v>
      </c>
      <c r="N10" s="6" t="s">
        <v>113</v>
      </c>
      <c r="O10" s="6">
        <f>O7/(0.3048^2)/($C$5*2.20462/1000)^(2/3)</f>
        <v>3.2568887909586057</v>
      </c>
      <c r="U10" s="2">
        <v>6</v>
      </c>
      <c r="V10" s="2">
        <f t="shared" si="7"/>
        <v>4.6875E-2</v>
      </c>
      <c r="W10" s="2">
        <f t="shared" si="0"/>
        <v>2.7098330318137132E-3</v>
      </c>
      <c r="X10" s="2">
        <f t="shared" si="8"/>
        <v>6.25E-2</v>
      </c>
      <c r="Y10" s="2">
        <f t="shared" si="1"/>
        <v>-1.2943737366961881E-2</v>
      </c>
      <c r="Z10" s="2">
        <f t="shared" si="3"/>
        <v>5.46875E-2</v>
      </c>
      <c r="AA10" s="2">
        <f t="shared" si="2"/>
        <v>-5.1159675622644146E-3</v>
      </c>
      <c r="AB10" s="2">
        <f t="shared" si="4"/>
        <v>-1.386341788991159E-5</v>
      </c>
      <c r="AC10" s="2">
        <f t="shared" si="5"/>
        <v>6.6219740503846783E-5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-73.939397509547234</v>
      </c>
      <c r="AI10" s="2">
        <f t="shared" si="14"/>
        <v>3171.875</v>
      </c>
      <c r="AJ10" s="2">
        <v>56.287330759623273</v>
      </c>
      <c r="AK10" s="2">
        <f t="shared" si="9"/>
        <v>3023.4375</v>
      </c>
      <c r="AL10" s="2">
        <v>-8.2280670537079459</v>
      </c>
      <c r="AM10" s="2">
        <f t="shared" si="10"/>
        <v>608.3783206193209</v>
      </c>
      <c r="AN10" s="2">
        <f t="shared" si="11"/>
        <v>-463.1359317644181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7.6891714422162307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4.6875E-2</v>
      </c>
      <c r="W11" s="2">
        <f t="shared" si="0"/>
        <v>2.7098330318137132E-3</v>
      </c>
      <c r="X11" s="2">
        <f t="shared" si="8"/>
        <v>5.46875E-2</v>
      </c>
      <c r="Y11" s="2">
        <f t="shared" si="1"/>
        <v>-5.1159675622644146E-3</v>
      </c>
      <c r="Z11" s="2">
        <f t="shared" si="3"/>
        <v>5.078125E-2</v>
      </c>
      <c r="AA11" s="2">
        <f t="shared" si="2"/>
        <v>-1.2028192560847584E-3</v>
      </c>
      <c r="AB11" s="2">
        <f t="shared" si="4"/>
        <v>-3.2594393514400758E-6</v>
      </c>
      <c r="AC11" s="2">
        <f t="shared" si="5"/>
        <v>6.1535842973966384E-6</v>
      </c>
      <c r="AD11" s="2">
        <f t="shared" si="6"/>
        <v>7.8125E-3</v>
      </c>
      <c r="AF11" s="2">
        <v>7</v>
      </c>
      <c r="AG11" s="2">
        <f t="shared" si="13"/>
        <v>3023.4375</v>
      </c>
      <c r="AH11" s="2">
        <v>-8.2280670537079459</v>
      </c>
      <c r="AI11" s="2">
        <f t="shared" si="14"/>
        <v>3171.875</v>
      </c>
      <c r="AJ11" s="2">
        <v>56.287330759623273</v>
      </c>
      <c r="AK11" s="2">
        <f t="shared" si="9"/>
        <v>3097.65625</v>
      </c>
      <c r="AL11" s="2">
        <v>24.183064820175332</v>
      </c>
      <c r="AM11" s="2">
        <f t="shared" si="10"/>
        <v>-198.97987890456832</v>
      </c>
      <c r="AN11" s="2">
        <f t="shared" si="11"/>
        <v>1361.2001683146184</v>
      </c>
      <c r="AO11" s="2">
        <f t="shared" si="12"/>
        <v>148.4375</v>
      </c>
    </row>
    <row r="12" spans="2:41" x14ac:dyDescent="0.2">
      <c r="B12" s="30" t="s">
        <v>11</v>
      </c>
      <c r="C12" s="30"/>
      <c r="D12" s="30"/>
      <c r="F12" s="24" t="s">
        <v>82</v>
      </c>
      <c r="G12" s="25">
        <f xml:space="preserve"> 1/1000 * (($C$5*$C$44)/$C$21 * ( ($G$4/2) + SQRT( ($G$4/2)^2 + ($C$5*$C$44) / (2*$C$41*PI()*$C$9^2 * $C$18) ) ) )</f>
        <v>395.6474507587314</v>
      </c>
      <c r="H12" s="25" t="s">
        <v>101</v>
      </c>
      <c r="J12" s="10" t="s">
        <v>79</v>
      </c>
      <c r="K12" s="6">
        <f>C5</f>
        <v>3042.2010795596898</v>
      </c>
      <c r="L12" s="6" t="s">
        <v>7</v>
      </c>
      <c r="N12" s="32" t="s">
        <v>73</v>
      </c>
      <c r="O12" s="35"/>
      <c r="P12" s="35"/>
      <c r="U12" s="2">
        <v>8</v>
      </c>
      <c r="V12" s="2">
        <f t="shared" si="7"/>
        <v>4.6875E-2</v>
      </c>
      <c r="W12" s="2">
        <f t="shared" si="0"/>
        <v>2.7098330318137132E-3</v>
      </c>
      <c r="X12" s="2">
        <f t="shared" si="8"/>
        <v>5.078125E-2</v>
      </c>
      <c r="Y12" s="2">
        <f t="shared" si="1"/>
        <v>-1.2028192560847584E-3</v>
      </c>
      <c r="Z12" s="2">
        <f t="shared" si="3"/>
        <v>4.8828125E-2</v>
      </c>
      <c r="AA12" s="2">
        <f t="shared" si="2"/>
        <v>7.535691089238794E-4</v>
      </c>
      <c r="AB12" s="2">
        <f t="shared" si="4"/>
        <v>2.0420464631163546E-6</v>
      </c>
      <c r="AC12" s="2">
        <f t="shared" si="5"/>
        <v>-9.0640743500427486E-7</v>
      </c>
      <c r="AD12" s="2">
        <f t="shared" si="6"/>
        <v>3.90625E-3</v>
      </c>
      <c r="AF12" s="2">
        <v>8</v>
      </c>
      <c r="AG12" s="2">
        <f t="shared" si="13"/>
        <v>3023.4375</v>
      </c>
      <c r="AH12" s="2">
        <v>-8.2280670537079459</v>
      </c>
      <c r="AI12" s="2">
        <f t="shared" si="14"/>
        <v>3097.65625</v>
      </c>
      <c r="AJ12" s="2">
        <v>24.183064820175332</v>
      </c>
      <c r="AK12" s="2">
        <f t="shared" si="9"/>
        <v>3060.546875</v>
      </c>
      <c r="AL12" s="2">
        <v>8.015368233378922</v>
      </c>
      <c r="AM12" s="2">
        <f t="shared" si="10"/>
        <v>-65.950987284402373</v>
      </c>
      <c r="AN12" s="2">
        <f t="shared" si="11"/>
        <v>193.83616954537672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1383.1891818565662</v>
      </c>
      <c r="L13" s="6" t="s">
        <v>7</v>
      </c>
      <c r="N13" s="6" t="s">
        <v>74</v>
      </c>
      <c r="O13" s="6">
        <f xml:space="preserve"> SQRT( ($C$5*$C$50)^2 + O9^2)</f>
        <v>29914.928840300174</v>
      </c>
      <c r="P13" s="6" t="s">
        <v>20</v>
      </c>
      <c r="U13" s="2">
        <v>9</v>
      </c>
      <c r="V13" s="2">
        <f t="shared" si="7"/>
        <v>4.8828125E-2</v>
      </c>
      <c r="W13" s="2">
        <f t="shared" si="0"/>
        <v>7.535691089238794E-4</v>
      </c>
      <c r="X13" s="2">
        <f t="shared" si="8"/>
        <v>5.078125E-2</v>
      </c>
      <c r="Y13" s="2">
        <f t="shared" si="1"/>
        <v>-1.2028192560847584E-3</v>
      </c>
      <c r="Z13" s="2">
        <f t="shared" si="3"/>
        <v>4.98046875E-2</v>
      </c>
      <c r="AA13" s="2">
        <f t="shared" si="2"/>
        <v>-2.2460954505347519E-4</v>
      </c>
      <c r="AB13" s="2">
        <f t="shared" si="4"/>
        <v>-1.6925881472174524E-7</v>
      </c>
      <c r="AC13" s="2">
        <f t="shared" si="5"/>
        <v>2.7016468589075703E-7</v>
      </c>
      <c r="AD13" s="2">
        <f t="shared" si="6"/>
        <v>1.953125E-3</v>
      </c>
      <c r="AF13" s="2">
        <v>9</v>
      </c>
      <c r="AG13" s="2">
        <f t="shared" si="13"/>
        <v>3023.4375</v>
      </c>
      <c r="AH13" s="2">
        <v>-8.2280670537079459</v>
      </c>
      <c r="AI13" s="2">
        <f t="shared" si="14"/>
        <v>3060.546875</v>
      </c>
      <c r="AJ13" s="2">
        <v>8.015368233378922</v>
      </c>
      <c r="AK13" s="2">
        <f t="shared" si="9"/>
        <v>3041.9921875</v>
      </c>
      <c r="AL13" s="2">
        <v>-9.6945496406988241E-2</v>
      </c>
      <c r="AM13" s="2">
        <f t="shared" si="10"/>
        <v>0.79767404499170202</v>
      </c>
      <c r="AN13" s="2">
        <f t="shared" si="11"/>
        <v>-0.77705385226972401</v>
      </c>
      <c r="AO13" s="2">
        <f t="shared" si="12"/>
        <v>37.109375</v>
      </c>
    </row>
    <row r="14" spans="2:41" x14ac:dyDescent="0.2">
      <c r="B14" s="6" t="s">
        <v>12</v>
      </c>
      <c r="C14" s="17">
        <f>100 * 1000</f>
        <v>100000</v>
      </c>
      <c r="D14" s="6" t="s">
        <v>8</v>
      </c>
      <c r="F14" s="32" t="s">
        <v>86</v>
      </c>
      <c r="G14" s="34"/>
      <c r="H14" s="34"/>
      <c r="J14" s="12" t="s">
        <v>126</v>
      </c>
      <c r="K14" s="6">
        <f xml:space="preserve"> $C$54 * $C$18 * (0.0095 * MAX(G9,O18,G28) - 1.9275)</f>
        <v>221.18545918628135</v>
      </c>
      <c r="L14" s="6" t="s">
        <v>7</v>
      </c>
      <c r="N14" s="6" t="s">
        <v>75</v>
      </c>
      <c r="O14" s="6">
        <f>$C$5*$C$50/O13</f>
        <v>0.99666808830891407</v>
      </c>
      <c r="U14" s="2">
        <v>10</v>
      </c>
      <c r="V14" s="2">
        <f t="shared" si="7"/>
        <v>4.8828125E-2</v>
      </c>
      <c r="W14" s="2">
        <f t="shared" si="0"/>
        <v>7.535691089238794E-4</v>
      </c>
      <c r="X14" s="2">
        <f t="shared" si="8"/>
        <v>4.98046875E-2</v>
      </c>
      <c r="Y14" s="2">
        <f t="shared" si="1"/>
        <v>-2.2460954505347519E-4</v>
      </c>
      <c r="Z14" s="2">
        <f t="shared" si="3"/>
        <v>4.931640625E-2</v>
      </c>
      <c r="AA14" s="2">
        <f t="shared" si="2"/>
        <v>2.6448366744745433E-4</v>
      </c>
      <c r="AB14" s="2">
        <f t="shared" si="4"/>
        <v>1.9930672160329781E-7</v>
      </c>
      <c r="AC14" s="2">
        <f t="shared" si="5"/>
        <v>-5.9405556219447344E-8</v>
      </c>
      <c r="AD14" s="2">
        <f t="shared" si="6"/>
        <v>9.765625E-4</v>
      </c>
      <c r="AF14" s="2">
        <v>10</v>
      </c>
      <c r="AG14" s="2">
        <f t="shared" si="13"/>
        <v>3041.9921875</v>
      </c>
      <c r="AH14" s="2">
        <v>-9.6945496406988241E-2</v>
      </c>
      <c r="AI14" s="2">
        <f t="shared" si="14"/>
        <v>3060.546875</v>
      </c>
      <c r="AJ14" s="2">
        <v>8.015368233378922</v>
      </c>
      <c r="AK14" s="2">
        <f t="shared" si="9"/>
        <v>3051.26953125</v>
      </c>
      <c r="AL14" s="2">
        <v>3.9615588341898729</v>
      </c>
      <c r="AM14" s="2">
        <f t="shared" si="10"/>
        <v>-0.38405528772602682</v>
      </c>
      <c r="AN14" s="2">
        <f t="shared" si="11"/>
        <v>31.753352834227144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1491.2908613696015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333.01825598293254</v>
      </c>
      <c r="L15" s="6" t="s">
        <v>7</v>
      </c>
      <c r="U15" s="2">
        <v>11</v>
      </c>
      <c r="V15" s="2">
        <f t="shared" si="7"/>
        <v>4.931640625E-2</v>
      </c>
      <c r="W15" s="2">
        <f t="shared" si="0"/>
        <v>2.6448366744745433E-4</v>
      </c>
      <c r="X15" s="2">
        <f t="shared" si="8"/>
        <v>4.98046875E-2</v>
      </c>
      <c r="Y15" s="2">
        <f t="shared" si="1"/>
        <v>-2.2460954505347519E-4</v>
      </c>
      <c r="Z15" s="2">
        <f t="shared" si="3"/>
        <v>4.9560546875E-2</v>
      </c>
      <c r="AA15" s="2">
        <f t="shared" si="2"/>
        <v>1.9938032154873109E-5</v>
      </c>
      <c r="AB15" s="2">
        <f t="shared" si="4"/>
        <v>5.2732838660061109E-9</v>
      </c>
      <c r="AC15" s="2">
        <f t="shared" si="5"/>
        <v>-4.4782723315676089E-9</v>
      </c>
      <c r="AD15" s="2">
        <f t="shared" si="6"/>
        <v>4.8828125E-4</v>
      </c>
      <c r="AF15" s="2">
        <v>11</v>
      </c>
      <c r="AG15" s="2">
        <f t="shared" si="13"/>
        <v>3041.9921875</v>
      </c>
      <c r="AH15" s="2">
        <v>-9.6945496406988241E-2</v>
      </c>
      <c r="AI15" s="2">
        <f t="shared" si="14"/>
        <v>3051.26953125</v>
      </c>
      <c r="AJ15" s="2">
        <v>3.9615588341898729</v>
      </c>
      <c r="AK15" s="2">
        <f t="shared" si="9"/>
        <v>3046.630859375</v>
      </c>
      <c r="AL15" s="2">
        <v>1.9328916707786448</v>
      </c>
      <c r="AM15" s="2">
        <f t="shared" si="10"/>
        <v>-0.18738514252456862</v>
      </c>
      <c r="AN15" s="2">
        <f t="shared" si="11"/>
        <v>7.6572640739051634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133.2233985816095</v>
      </c>
      <c r="H16" s="6" t="s">
        <v>10</v>
      </c>
      <c r="J16" s="13" t="s">
        <v>53</v>
      </c>
      <c r="K16" s="6">
        <f xml:space="preserve"> $C$54 * 0.2138 * K4</f>
        <v>101.50730996666013</v>
      </c>
      <c r="L16" s="6" t="s">
        <v>7</v>
      </c>
      <c r="N16" s="32" t="s">
        <v>24</v>
      </c>
      <c r="O16" s="35"/>
      <c r="P16" s="35"/>
      <c r="U16" s="2">
        <v>12</v>
      </c>
      <c r="V16" s="2">
        <f t="shared" si="7"/>
        <v>4.9560546875E-2</v>
      </c>
      <c r="W16" s="2">
        <f t="shared" si="0"/>
        <v>1.9938032154873109E-5</v>
      </c>
      <c r="X16" s="2">
        <f t="shared" si="8"/>
        <v>4.98046875E-2</v>
      </c>
      <c r="Y16" s="2">
        <f t="shared" si="1"/>
        <v>-2.2460954505347519E-4</v>
      </c>
      <c r="Z16" s="2">
        <f t="shared" si="3"/>
        <v>4.96826171875E-2</v>
      </c>
      <c r="AA16" s="2">
        <f t="shared" si="2"/>
        <v>-1.0233551376256228E-4</v>
      </c>
      <c r="AB16" s="2">
        <f t="shared" si="4"/>
        <v>-2.0403687639834263E-9</v>
      </c>
      <c r="AC16" s="2">
        <f t="shared" si="5"/>
        <v>2.2985533189022762E-8</v>
      </c>
      <c r="AD16" s="2">
        <f t="shared" si="6"/>
        <v>2.44140625E-4</v>
      </c>
      <c r="AF16" s="2">
        <v>12</v>
      </c>
      <c r="AG16" s="2">
        <f t="shared" si="13"/>
        <v>3041.9921875</v>
      </c>
      <c r="AH16" s="2">
        <v>-9.6945496406988241E-2</v>
      </c>
      <c r="AI16" s="2">
        <f t="shared" si="14"/>
        <v>3046.630859375</v>
      </c>
      <c r="AJ16" s="2">
        <v>1.9328916707786448</v>
      </c>
      <c r="AK16" s="2">
        <f t="shared" si="9"/>
        <v>3044.3115234375</v>
      </c>
      <c r="AL16" s="2">
        <v>0.9181090973938808</v>
      </c>
      <c r="AM16" s="2">
        <f t="shared" si="10"/>
        <v>-8.9006542202621691E-2</v>
      </c>
      <c r="AN16" s="2">
        <f t="shared" si="11"/>
        <v>1.7746054272187317</v>
      </c>
      <c r="AO16" s="2">
        <f t="shared" si="12"/>
        <v>4.638671875</v>
      </c>
    </row>
    <row r="17" spans="2:41" x14ac:dyDescent="0.2">
      <c r="B17" s="33" t="s">
        <v>110</v>
      </c>
      <c r="C17" s="33"/>
      <c r="D17" s="33"/>
      <c r="F17" s="6" t="s">
        <v>124</v>
      </c>
      <c r="G17" s="6">
        <f>G16/$C$49</f>
        <v>0.40040483593724391</v>
      </c>
      <c r="H17" s="6" t="s">
        <v>122</v>
      </c>
      <c r="J17" s="13" t="s">
        <v>77</v>
      </c>
      <c r="K17" s="6">
        <f xml:space="preserve"> $C$54 * 0.1149 * K4</f>
        <v>54.551870510613888</v>
      </c>
      <c r="L17" s="6" t="s">
        <v>7</v>
      </c>
      <c r="N17" s="6" t="s">
        <v>25</v>
      </c>
      <c r="O17" s="6">
        <f xml:space="preserve"> ACOS(O14)/PI()*180</f>
        <v>4.6784827340586919</v>
      </c>
      <c r="P17" s="6" t="s">
        <v>40</v>
      </c>
      <c r="U17" s="2">
        <v>13</v>
      </c>
      <c r="V17" s="2">
        <f t="shared" si="7"/>
        <v>4.9560546875E-2</v>
      </c>
      <c r="W17" s="2">
        <f t="shared" si="0"/>
        <v>1.9938032154873109E-5</v>
      </c>
      <c r="X17" s="2">
        <f t="shared" si="8"/>
        <v>4.96826171875E-2</v>
      </c>
      <c r="Y17" s="2">
        <f t="shared" si="1"/>
        <v>-1.0233551376256228E-4</v>
      </c>
      <c r="Z17" s="2">
        <f t="shared" si="3"/>
        <v>4.962158203125E-2</v>
      </c>
      <c r="AA17" s="2">
        <f t="shared" si="2"/>
        <v>-4.1198680125559273E-5</v>
      </c>
      <c r="AB17" s="2">
        <f t="shared" si="4"/>
        <v>-8.214206090817325E-10</v>
      </c>
      <c r="AC17" s="2">
        <f t="shared" si="5"/>
        <v>4.2160880969885723E-9</v>
      </c>
      <c r="AD17" s="2">
        <f t="shared" si="6"/>
        <v>1.220703125E-4</v>
      </c>
      <c r="AF17" s="2">
        <v>13</v>
      </c>
      <c r="AG17" s="2">
        <f t="shared" si="13"/>
        <v>3041.9921875</v>
      </c>
      <c r="AH17" s="2">
        <v>-9.6945496406988241E-2</v>
      </c>
      <c r="AI17" s="2">
        <f t="shared" si="14"/>
        <v>3044.3115234375</v>
      </c>
      <c r="AJ17" s="2">
        <v>0.9181090973938808</v>
      </c>
      <c r="AK17" s="2">
        <f t="shared" si="9"/>
        <v>3043.15185546875</v>
      </c>
      <c r="AL17" s="2">
        <v>0.41062276180673507</v>
      </c>
      <c r="AM17" s="2">
        <f t="shared" si="10"/>
        <v>-3.9808027479362421E-2</v>
      </c>
      <c r="AN17" s="2">
        <f t="shared" si="11"/>
        <v>0.37699649321176404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7478.7322100750434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138.0998223885455</v>
      </c>
      <c r="L18" s="6" t="s">
        <v>7</v>
      </c>
      <c r="N18" s="6" t="s">
        <v>19</v>
      </c>
      <c r="O18" s="6">
        <f xml:space="preserve"> O13 / $C$18</f>
        <v>7478.7322100750434</v>
      </c>
      <c r="P18" s="6" t="s">
        <v>20</v>
      </c>
      <c r="U18" s="2">
        <v>14</v>
      </c>
      <c r="V18" s="2">
        <f t="shared" si="7"/>
        <v>4.9560546875E-2</v>
      </c>
      <c r="W18" s="2">
        <f t="shared" si="0"/>
        <v>1.9938032154873109E-5</v>
      </c>
      <c r="X18" s="2">
        <f t="shared" si="8"/>
        <v>4.962158203125E-2</v>
      </c>
      <c r="Y18" s="2">
        <f t="shared" si="1"/>
        <v>-4.1198680125559273E-5</v>
      </c>
      <c r="Z18" s="2">
        <f t="shared" si="3"/>
        <v>4.9591064453125E-2</v>
      </c>
      <c r="AA18" s="2">
        <f t="shared" si="2"/>
        <v>-1.0630308814943423E-5</v>
      </c>
      <c r="AB18" s="2">
        <f t="shared" si="4"/>
        <v>-2.1194743896857303E-10</v>
      </c>
      <c r="AC18" s="2">
        <f t="shared" si="5"/>
        <v>4.3795469250276717E-10</v>
      </c>
      <c r="AD18" s="2">
        <f t="shared" si="6"/>
        <v>6.103515625E-5</v>
      </c>
      <c r="AF18" s="2">
        <v>14</v>
      </c>
      <c r="AG18" s="2">
        <f t="shared" si="13"/>
        <v>3041.9921875</v>
      </c>
      <c r="AH18" s="2">
        <v>-9.6945496406988241E-2</v>
      </c>
      <c r="AI18" s="2">
        <f t="shared" si="14"/>
        <v>3043.15185546875</v>
      </c>
      <c r="AJ18" s="2">
        <v>0.41062276180673507</v>
      </c>
      <c r="AK18" s="2">
        <f t="shared" si="9"/>
        <v>3042.572021484375</v>
      </c>
      <c r="AL18" s="2">
        <v>0.15684650689945556</v>
      </c>
      <c r="AM18" s="2">
        <f t="shared" si="10"/>
        <v>-1.5205562471069826E-2</v>
      </c>
      <c r="AN18" s="2">
        <f t="shared" si="11"/>
        <v>6.440474584279357E-2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67.880587971913386</v>
      </c>
      <c r="H19" s="6" t="s">
        <v>101</v>
      </c>
      <c r="J19" s="14" t="s">
        <v>61</v>
      </c>
      <c r="K19" s="6">
        <f xml:space="preserve"> $C$55 * C31 * $C$5</f>
        <v>34.072652091068534</v>
      </c>
      <c r="L19" s="6" t="s">
        <v>7</v>
      </c>
      <c r="N19" s="6" t="s">
        <v>26</v>
      </c>
      <c r="O19" s="6">
        <f>$C$7*2*PI()/60</f>
        <v>33.870740489853986</v>
      </c>
      <c r="P19" s="6" t="s">
        <v>27</v>
      </c>
      <c r="U19" s="2">
        <v>15</v>
      </c>
      <c r="V19" s="2">
        <f t="shared" si="7"/>
        <v>4.9560546875E-2</v>
      </c>
      <c r="W19" s="2">
        <f t="shared" si="0"/>
        <v>1.9938032154873109E-5</v>
      </c>
      <c r="X19" s="2">
        <f t="shared" si="8"/>
        <v>4.9591064453125E-2</v>
      </c>
      <c r="Y19" s="2">
        <f t="shared" si="1"/>
        <v>-1.0630308814943423E-5</v>
      </c>
      <c r="Z19" s="2">
        <f t="shared" si="3"/>
        <v>4.95758056640625E-2</v>
      </c>
      <c r="AA19" s="2">
        <f t="shared" si="2"/>
        <v>4.6538654626671061E-6</v>
      </c>
      <c r="AB19" s="2">
        <f t="shared" si="4"/>
        <v>9.2788919239110179E-11</v>
      </c>
      <c r="AC19" s="2">
        <f t="shared" si="5"/>
        <v>-4.9472027051350893E-11</v>
      </c>
      <c r="AD19" s="2">
        <f t="shared" si="6"/>
        <v>3.0517578125E-5</v>
      </c>
      <c r="AF19" s="2">
        <v>15</v>
      </c>
      <c r="AG19" s="2">
        <f t="shared" si="13"/>
        <v>3041.9921875</v>
      </c>
      <c r="AH19" s="2">
        <v>-9.6945496406988241E-2</v>
      </c>
      <c r="AI19" s="2">
        <f t="shared" si="14"/>
        <v>3042.572021484375</v>
      </c>
      <c r="AJ19" s="2">
        <v>0.15684650689945556</v>
      </c>
      <c r="AK19" s="2">
        <f t="shared" si="9"/>
        <v>3042.2821044921875</v>
      </c>
      <c r="AL19" s="2">
        <v>2.9938358294657519E-2</v>
      </c>
      <c r="AM19" s="2">
        <f t="shared" si="10"/>
        <v>-2.902389006485847E-3</v>
      </c>
      <c r="AN19" s="2">
        <f t="shared" si="11"/>
        <v>4.695726920821373E-3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11.241694431403698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0.50165793727820629</v>
      </c>
      <c r="U20" s="2">
        <v>16</v>
      </c>
      <c r="V20" s="2">
        <f t="shared" si="7"/>
        <v>4.95758056640625E-2</v>
      </c>
      <c r="W20" s="2">
        <f t="shared" si="0"/>
        <v>4.6538654626671061E-6</v>
      </c>
      <c r="X20" s="2">
        <f t="shared" si="8"/>
        <v>4.9591064453125E-2</v>
      </c>
      <c r="Y20" s="2">
        <f t="shared" si="1"/>
        <v>-1.0630308814943423E-5</v>
      </c>
      <c r="Z20" s="2">
        <f t="shared" si="3"/>
        <v>4.958343505859375E-2</v>
      </c>
      <c r="AA20" s="2">
        <f t="shared" si="2"/>
        <v>-2.98822072797994E-6</v>
      </c>
      <c r="AB20" s="2">
        <f t="shared" si="4"/>
        <v>-1.39067772407718E-11</v>
      </c>
      <c r="AC20" s="2">
        <f t="shared" si="5"/>
        <v>3.1765709145641809E-11</v>
      </c>
      <c r="AD20" s="2">
        <f t="shared" si="6"/>
        <v>1.52587890625E-5</v>
      </c>
      <c r="AF20" s="2">
        <v>16</v>
      </c>
      <c r="AG20" s="2">
        <f t="shared" si="13"/>
        <v>3041.9921875</v>
      </c>
      <c r="AH20" s="2">
        <v>-9.6945496406988241E-2</v>
      </c>
      <c r="AI20" s="2">
        <f t="shared" si="14"/>
        <v>3042.2821044921875</v>
      </c>
      <c r="AJ20" s="2">
        <v>2.9938358294657519E-2</v>
      </c>
      <c r="AK20" s="2">
        <f t="shared" si="9"/>
        <v>3042.1371459960938</v>
      </c>
      <c r="AL20" s="2">
        <v>-3.3504253252885974E-2</v>
      </c>
      <c r="AM20" s="2">
        <f t="shared" si="10"/>
        <v>3.2480864633464813E-3</v>
      </c>
      <c r="AN20" s="2">
        <f t="shared" si="11"/>
        <v>-1.003062338279845E-3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0.14000000002798471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8.5962767879977659E-3</v>
      </c>
      <c r="U21" s="2">
        <v>17</v>
      </c>
      <c r="V21" s="2">
        <f t="shared" si="7"/>
        <v>4.95758056640625E-2</v>
      </c>
      <c r="W21" s="2">
        <f t="shared" si="0"/>
        <v>4.6538654626671061E-6</v>
      </c>
      <c r="X21" s="2">
        <f t="shared" si="8"/>
        <v>4.958343505859375E-2</v>
      </c>
      <c r="Y21" s="2">
        <f t="shared" si="1"/>
        <v>-2.98822072797994E-6</v>
      </c>
      <c r="Z21" s="2">
        <f t="shared" si="3"/>
        <v>4.9579620361328125E-2</v>
      </c>
      <c r="AA21" s="2">
        <f t="shared" si="2"/>
        <v>8.3282260438660716E-7</v>
      </c>
      <c r="AB21" s="2">
        <f t="shared" si="4"/>
        <v>3.8758443550833018E-12</v>
      </c>
      <c r="AC21" s="2">
        <f t="shared" si="5"/>
        <v>-2.488657769158297E-12</v>
      </c>
      <c r="AD21" s="2">
        <f t="shared" si="6"/>
        <v>7.62939453125E-6</v>
      </c>
      <c r="AF21" s="2">
        <v>17</v>
      </c>
      <c r="AG21" s="2">
        <f t="shared" si="13"/>
        <v>3042.1371459960938</v>
      </c>
      <c r="AH21" s="2">
        <v>-3.3504253252885974E-2</v>
      </c>
      <c r="AI21" s="2">
        <f t="shared" si="14"/>
        <v>3042.2821044921875</v>
      </c>
      <c r="AJ21" s="2">
        <v>2.9938358294657519E-2</v>
      </c>
      <c r="AK21" s="2">
        <f t="shared" si="9"/>
        <v>3042.2096252441406</v>
      </c>
      <c r="AL21" s="2">
        <v>-1.7831185232353164E-3</v>
      </c>
      <c r="AM21" s="2">
        <f t="shared" si="10"/>
        <v>5.974205458238808E-5</v>
      </c>
      <c r="AN21" s="2">
        <f t="shared" si="11"/>
        <v>-5.3383641230459498E-5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271.52235188765354</v>
      </c>
      <c r="H22" s="25" t="s">
        <v>101</v>
      </c>
      <c r="J22" s="14" t="s">
        <v>112</v>
      </c>
      <c r="K22" s="6">
        <f>$C$55*(0.14*$G$12*1000/745.7)*0.453592</f>
        <v>26.95427393089728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4.9579620361328125E-2</v>
      </c>
      <c r="W22" s="2">
        <f t="shared" si="0"/>
        <v>8.3282260438660716E-7</v>
      </c>
      <c r="X22" s="2">
        <f t="shared" si="8"/>
        <v>4.958343505859375E-2</v>
      </c>
      <c r="Y22" s="2">
        <f t="shared" si="1"/>
        <v>-2.98822072797994E-6</v>
      </c>
      <c r="Z22" s="2">
        <f t="shared" si="3"/>
        <v>4.9581527709960938E-2</v>
      </c>
      <c r="AA22" s="2">
        <f t="shared" si="2"/>
        <v>-1.0776990025385125E-6</v>
      </c>
      <c r="AB22" s="2">
        <f t="shared" si="4"/>
        <v>-8.9753209003897274E-13</v>
      </c>
      <c r="AC22" s="2">
        <f t="shared" si="5"/>
        <v>3.2204024979088887E-12</v>
      </c>
      <c r="AD22" s="2">
        <f t="shared" si="6"/>
        <v>3.814697265625E-6</v>
      </c>
      <c r="AF22" s="2">
        <v>18</v>
      </c>
      <c r="AG22" s="2">
        <f t="shared" si="13"/>
        <v>3042.2096252441406</v>
      </c>
      <c r="AH22" s="2">
        <v>-1.7831185232353164E-3</v>
      </c>
      <c r="AI22" s="2">
        <f t="shared" si="14"/>
        <v>3042.2821044921875</v>
      </c>
      <c r="AJ22" s="2">
        <v>2.9938358294657519E-2</v>
      </c>
      <c r="AK22" s="2">
        <f t="shared" si="9"/>
        <v>3042.2458648681641</v>
      </c>
      <c r="AL22" s="2">
        <v>1.4077577121952345E-2</v>
      </c>
      <c r="AM22" s="2">
        <f t="shared" si="10"/>
        <v>-2.510198852842694E-5</v>
      </c>
      <c r="AN22" s="2">
        <f t="shared" si="11"/>
        <v>4.2145954779768292E-4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65.224791145759752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17182.433623685629</v>
      </c>
      <c r="P23" s="6" t="s">
        <v>18</v>
      </c>
      <c r="U23" s="2">
        <v>19</v>
      </c>
      <c r="V23" s="2">
        <f t="shared" si="7"/>
        <v>4.9579620361328125E-2</v>
      </c>
      <c r="W23" s="2">
        <f t="shared" si="0"/>
        <v>8.3282260438660716E-7</v>
      </c>
      <c r="X23" s="2">
        <f t="shared" si="8"/>
        <v>4.9581527709960938E-2</v>
      </c>
      <c r="Y23" s="2">
        <f t="shared" si="1"/>
        <v>-1.0776990025385125E-6</v>
      </c>
      <c r="Z23" s="2">
        <f t="shared" si="3"/>
        <v>4.9580574035644531E-2</v>
      </c>
      <c r="AA23" s="2">
        <f t="shared" si="2"/>
        <v>-1.2243818425794473E-7</v>
      </c>
      <c r="AB23" s="2">
        <f t="shared" si="4"/>
        <v>-1.0196928749006881E-13</v>
      </c>
      <c r="AC23" s="2">
        <f t="shared" si="5"/>
        <v>1.3195150904741363E-13</v>
      </c>
      <c r="AD23" s="2">
        <f t="shared" si="6"/>
        <v>1.9073486328125E-6</v>
      </c>
      <c r="AF23" s="2">
        <v>19</v>
      </c>
      <c r="AG23" s="2">
        <f t="shared" si="13"/>
        <v>3042.2096252441406</v>
      </c>
      <c r="AH23" s="2">
        <v>-1.7831185232353164E-3</v>
      </c>
      <c r="AI23" s="2">
        <f t="shared" si="14"/>
        <v>3042.2458648681641</v>
      </c>
      <c r="AJ23" s="2">
        <v>1.4077577121952345E-2</v>
      </c>
      <c r="AK23" s="2">
        <f t="shared" si="9"/>
        <v>3042.2277450561523</v>
      </c>
      <c r="AL23" s="2">
        <v>6.1566277540805459E-3</v>
      </c>
      <c r="AM23" s="2">
        <f t="shared" si="10"/>
        <v>-1.0977996988965665E-5</v>
      </c>
      <c r="AN23" s="2">
        <f t="shared" si="11"/>
        <v>8.6670402019221144E-5</v>
      </c>
      <c r="AO23" s="2">
        <f t="shared" si="12"/>
        <v>3.62396240234375E-2</v>
      </c>
    </row>
    <row r="24" spans="2:41" x14ac:dyDescent="0.2">
      <c r="B24" s="33" t="s">
        <v>104</v>
      </c>
      <c r="C24" s="33"/>
      <c r="D24" s="33"/>
      <c r="F24" s="32" t="s">
        <v>81</v>
      </c>
      <c r="G24" s="34"/>
      <c r="H24" s="34"/>
      <c r="J24" s="15" t="s">
        <v>65</v>
      </c>
      <c r="K24" s="6">
        <f xml:space="preserve"> $C$56 * (11.5 * ($C$5*2.20462/1000)^0.4 * 0.453592)</f>
        <v>8.934327689030324</v>
      </c>
      <c r="L24" s="6" t="s">
        <v>7</v>
      </c>
      <c r="N24" s="6" t="s">
        <v>31</v>
      </c>
      <c r="O24" s="18">
        <f>Z34</f>
        <v>4.9580451566725969E-2</v>
      </c>
      <c r="U24" s="2">
        <v>20</v>
      </c>
      <c r="V24" s="2">
        <f t="shared" si="7"/>
        <v>4.9579620361328125E-2</v>
      </c>
      <c r="W24" s="2">
        <f t="shared" si="0"/>
        <v>8.3282260438660716E-7</v>
      </c>
      <c r="X24" s="2">
        <f t="shared" si="8"/>
        <v>4.9580574035644531E-2</v>
      </c>
      <c r="Y24" s="2">
        <f t="shared" si="1"/>
        <v>-1.2243818425794473E-7</v>
      </c>
      <c r="Z24" s="2">
        <f t="shared" si="3"/>
        <v>4.9580097198486328E-2</v>
      </c>
      <c r="AA24" s="2">
        <f t="shared" si="2"/>
        <v>3.5519221376623111E-7</v>
      </c>
      <c r="AB24" s="2">
        <f t="shared" si="4"/>
        <v>2.9581210452663708E-13</v>
      </c>
      <c r="AC24" s="2">
        <f t="shared" si="5"/>
        <v>-4.3489089716097094E-14</v>
      </c>
      <c r="AD24" s="2">
        <f t="shared" si="6"/>
        <v>9.5367431640625E-7</v>
      </c>
      <c r="AF24" s="2">
        <v>20</v>
      </c>
      <c r="AG24" s="2">
        <f t="shared" si="13"/>
        <v>3042.2096252441406</v>
      </c>
      <c r="AH24" s="2">
        <v>-1.7831185232353164E-3</v>
      </c>
      <c r="AI24" s="2">
        <f t="shared" si="14"/>
        <v>3042.2277450561523</v>
      </c>
      <c r="AJ24" s="2">
        <v>6.1566277540805459E-3</v>
      </c>
      <c r="AK24" s="2">
        <f t="shared" si="9"/>
        <v>3042.2186851501465</v>
      </c>
      <c r="AL24" s="2">
        <v>2.1773428084088664E-3</v>
      </c>
      <c r="AM24" s="2">
        <f t="shared" si="10"/>
        <v>-3.8824602931070543E-6</v>
      </c>
      <c r="AN24" s="2">
        <f t="shared" si="11"/>
        <v>1.3405089164397707E-5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19.470086909182015</v>
      </c>
      <c r="L25" s="6" t="s">
        <v>7</v>
      </c>
      <c r="N25" s="6" t="s">
        <v>32</v>
      </c>
      <c r="O25" s="6">
        <f xml:space="preserve"> O19 * $C$9 * O24 - $C$8 * SIN(O17/180*PI())</f>
        <v>1.1359060222595696</v>
      </c>
      <c r="P25" s="6" t="s">
        <v>10</v>
      </c>
      <c r="U25" s="2">
        <v>21</v>
      </c>
      <c r="V25" s="2">
        <f t="shared" si="7"/>
        <v>4.9580097198486328E-2</v>
      </c>
      <c r="W25" s="2">
        <f t="shared" si="0"/>
        <v>3.5519221376623111E-7</v>
      </c>
      <c r="X25" s="2">
        <f t="shared" si="8"/>
        <v>4.9580574035644531E-2</v>
      </c>
      <c r="Y25" s="2">
        <f t="shared" si="1"/>
        <v>-1.2243818425794473E-7</v>
      </c>
      <c r="Z25" s="2">
        <f t="shared" si="3"/>
        <v>4.958033561706543E-2</v>
      </c>
      <c r="AA25" s="2">
        <f t="shared" si="2"/>
        <v>1.1637701567701608E-7</v>
      </c>
      <c r="AB25" s="2">
        <f t="shared" si="4"/>
        <v>4.1336209829826728E-14</v>
      </c>
      <c r="AC25" s="2">
        <f t="shared" si="5"/>
        <v>-1.4248990488852216E-14</v>
      </c>
      <c r="AD25" s="2">
        <f t="shared" si="6"/>
        <v>4.76837158203125E-7</v>
      </c>
      <c r="AF25" s="2">
        <v>21</v>
      </c>
      <c r="AG25" s="2">
        <f t="shared" si="13"/>
        <v>3042.2096252441406</v>
      </c>
      <c r="AH25" s="2">
        <v>-1.7831185232353164E-3</v>
      </c>
      <c r="AI25" s="2">
        <f t="shared" si="14"/>
        <v>3042.2186851501465</v>
      </c>
      <c r="AJ25" s="2">
        <v>2.1773428084088664E-3</v>
      </c>
      <c r="AK25" s="2">
        <f t="shared" si="9"/>
        <v>3042.2141551971436</v>
      </c>
      <c r="AL25" s="2">
        <v>2.0652058037740062E-4</v>
      </c>
      <c r="AM25" s="2">
        <f t="shared" si="10"/>
        <v>-3.6825067230025103E-7</v>
      </c>
      <c r="AN25" s="2">
        <f t="shared" si="11"/>
        <v>4.496661004731585E-7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55.998562978253531</v>
      </c>
      <c r="L26" s="6" t="s">
        <v>7</v>
      </c>
      <c r="N26" s="6" t="s">
        <v>33</v>
      </c>
      <c r="O26" s="6">
        <f xml:space="preserve"> 1/$C$21 - O23 * SQRT( (2*$C$47*PI()*$C$9^2) / O18^3 )</f>
        <v>1.0702847385627317</v>
      </c>
      <c r="U26" s="2">
        <v>22</v>
      </c>
      <c r="V26" s="2">
        <f t="shared" si="7"/>
        <v>4.958033561706543E-2</v>
      </c>
      <c r="W26" s="2">
        <f t="shared" si="0"/>
        <v>1.1637701567701608E-7</v>
      </c>
      <c r="X26" s="2">
        <f t="shared" si="8"/>
        <v>4.9580574035644531E-2</v>
      </c>
      <c r="Y26" s="2">
        <f t="shared" si="1"/>
        <v>-1.2243818425794473E-7</v>
      </c>
      <c r="Z26" s="2">
        <f t="shared" si="3"/>
        <v>4.958045482635498E-2</v>
      </c>
      <c r="AA26" s="2">
        <f t="shared" si="2"/>
        <v>-3.0305840614808233E-9</v>
      </c>
      <c r="AB26" s="2">
        <f t="shared" si="4"/>
        <v>-3.5269032883346884E-16</v>
      </c>
      <c r="AC26" s="2">
        <f t="shared" si="5"/>
        <v>3.7105920972877952E-16</v>
      </c>
      <c r="AD26" s="2">
        <f t="shared" si="6"/>
        <v>2.384185791015625E-7</v>
      </c>
      <c r="AF26" s="2">
        <v>22</v>
      </c>
      <c r="AG26" s="2">
        <f t="shared" si="13"/>
        <v>3042.2096252441406</v>
      </c>
      <c r="AH26" s="2">
        <v>-1.7831185232353164E-3</v>
      </c>
      <c r="AI26" s="2">
        <f t="shared" si="14"/>
        <v>3042.2141551971436</v>
      </c>
      <c r="AJ26" s="2">
        <v>2.0652058037740062E-4</v>
      </c>
      <c r="AK26" s="2">
        <f t="shared" si="9"/>
        <v>3042.2118902206421</v>
      </c>
      <c r="AL26" s="2">
        <v>-7.8829914491507225E-4</v>
      </c>
      <c r="AM26" s="2">
        <f t="shared" si="10"/>
        <v>1.4056308071486263E-6</v>
      </c>
      <c r="AN26" s="2">
        <f t="shared" si="11"/>
        <v>-1.6279999691886935E-7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-5.5150761013464944E-3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4.958033561706543E-2</v>
      </c>
      <c r="W27" s="2">
        <f t="shared" si="0"/>
        <v>1.1637701567701608E-7</v>
      </c>
      <c r="X27" s="2">
        <f t="shared" si="8"/>
        <v>4.958045482635498E-2</v>
      </c>
      <c r="Y27" s="2">
        <f t="shared" si="1"/>
        <v>-3.0305840614808233E-9</v>
      </c>
      <c r="Z27" s="2">
        <f t="shared" si="3"/>
        <v>4.9580395221710205E-2</v>
      </c>
      <c r="AA27" s="2">
        <f t="shared" si="2"/>
        <v>5.6673215870217675E-8</v>
      </c>
      <c r="AB27" s="2">
        <f t="shared" si="4"/>
        <v>6.5954597317952393E-15</v>
      </c>
      <c r="AC27" s="2">
        <f t="shared" si="5"/>
        <v>-1.7175294472914374E-16</v>
      </c>
      <c r="AD27" s="2">
        <f t="shared" si="6"/>
        <v>1.1920928955078125E-7</v>
      </c>
      <c r="AF27" s="2">
        <v>23</v>
      </c>
      <c r="AG27" s="2">
        <f t="shared" si="13"/>
        <v>3042.2118902206421</v>
      </c>
      <c r="AH27" s="2">
        <v>-7.8829914491507225E-4</v>
      </c>
      <c r="AI27" s="2">
        <f t="shared" si="14"/>
        <v>3042.2141551971436</v>
      </c>
      <c r="AJ27" s="2">
        <v>2.0652058037740062E-4</v>
      </c>
      <c r="AK27" s="2">
        <f t="shared" si="9"/>
        <v>3042.2130227088928</v>
      </c>
      <c r="AL27" s="2">
        <v>-3.002984240083606E-4</v>
      </c>
      <c r="AM27" s="2">
        <f t="shared" si="10"/>
        <v>2.3672499086513445E-7</v>
      </c>
      <c r="AN27" s="2">
        <f t="shared" si="11"/>
        <v>-6.2017804812625367E-8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7454.5267717042325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1.1529183138364392</v>
      </c>
      <c r="U28" s="2">
        <v>24</v>
      </c>
      <c r="V28" s="2">
        <f t="shared" si="7"/>
        <v>4.9580395221710205E-2</v>
      </c>
      <c r="W28" s="2">
        <f t="shared" si="0"/>
        <v>5.6673215870217675E-8</v>
      </c>
      <c r="X28" s="2">
        <f t="shared" si="8"/>
        <v>4.958045482635498E-2</v>
      </c>
      <c r="Y28" s="2">
        <f t="shared" si="1"/>
        <v>-3.0305840614808233E-9</v>
      </c>
      <c r="Z28" s="2">
        <f t="shared" si="3"/>
        <v>4.9580425024032593E-2</v>
      </c>
      <c r="AA28" s="2">
        <f t="shared" si="2"/>
        <v>2.6821315918246214E-8</v>
      </c>
      <c r="AB28" s="2">
        <f t="shared" si="4"/>
        <v>1.5200502269580733E-15</v>
      </c>
      <c r="AC28" s="2">
        <f t="shared" si="5"/>
        <v>-8.1284252529778868E-17</v>
      </c>
      <c r="AD28" s="2">
        <f t="shared" si="6"/>
        <v>5.9604644775390625E-8</v>
      </c>
      <c r="AF28" s="2">
        <v>24</v>
      </c>
      <c r="AG28" s="2">
        <f t="shared" si="13"/>
        <v>3042.2130227088928</v>
      </c>
      <c r="AH28" s="2">
        <v>-3.002984240083606E-4</v>
      </c>
      <c r="AI28" s="2">
        <f t="shared" si="14"/>
        <v>3042.2141551971436</v>
      </c>
      <c r="AJ28" s="2">
        <v>2.0652058037740062E-4</v>
      </c>
      <c r="AK28" s="2">
        <f t="shared" si="9"/>
        <v>3042.2135889530182</v>
      </c>
      <c r="AL28" s="2">
        <v>-3.7479831917153206E-5</v>
      </c>
      <c r="AM28" s="2">
        <f t="shared" si="10"/>
        <v>1.1255134456819361E-8</v>
      </c>
      <c r="AN28" s="2">
        <f t="shared" si="11"/>
        <v>-7.7403566399779034E-9</v>
      </c>
      <c r="AO28" s="2">
        <f t="shared" si="12"/>
        <v>1.1324882507324219E-3</v>
      </c>
    </row>
    <row r="29" spans="2:41" x14ac:dyDescent="0.2">
      <c r="B29" s="33" t="s">
        <v>108</v>
      </c>
      <c r="C29" s="33"/>
      <c r="D29" s="33"/>
      <c r="F29" t="s">
        <v>97</v>
      </c>
      <c r="G29" s="6">
        <f>G31/$C$18</f>
        <v>85.360576140434603</v>
      </c>
      <c r="H29" t="s">
        <v>18</v>
      </c>
      <c r="U29" s="2">
        <v>25</v>
      </c>
      <c r="V29" s="2">
        <f t="shared" si="7"/>
        <v>4.9580425024032593E-2</v>
      </c>
      <c r="W29" s="2">
        <f t="shared" si="0"/>
        <v>2.6821315918246214E-8</v>
      </c>
      <c r="X29" s="2">
        <f t="shared" si="8"/>
        <v>4.958045482635498E-2</v>
      </c>
      <c r="Y29" s="2">
        <f t="shared" si="1"/>
        <v>-3.0305840614808233E-9</v>
      </c>
      <c r="Z29" s="2">
        <f t="shared" si="3"/>
        <v>4.9580439925193787E-2</v>
      </c>
      <c r="AA29" s="2">
        <f t="shared" si="2"/>
        <v>1.1895365935321589E-8</v>
      </c>
      <c r="AB29" s="2">
        <f t="shared" si="4"/>
        <v>3.190493677144047E-16</v>
      </c>
      <c r="AC29" s="2">
        <f t="shared" si="5"/>
        <v>-3.6049906409067534E-17</v>
      </c>
      <c r="AD29" s="2">
        <f t="shared" si="6"/>
        <v>2.9802322387695312E-8</v>
      </c>
      <c r="AF29" s="2">
        <v>25</v>
      </c>
      <c r="AG29" s="2">
        <f t="shared" si="13"/>
        <v>3042.2135889530182</v>
      </c>
      <c r="AH29" s="2">
        <v>-3.7479831917153206E-5</v>
      </c>
      <c r="AI29" s="2">
        <f t="shared" si="14"/>
        <v>3042.2141551971436</v>
      </c>
      <c r="AJ29" s="2">
        <v>2.0652058037740062E-4</v>
      </c>
      <c r="AK29" s="2">
        <f t="shared" si="9"/>
        <v>3042.2138720750809</v>
      </c>
      <c r="AL29" s="2">
        <v>8.4520372638507979E-5</v>
      </c>
      <c r="AM29" s="2">
        <f t="shared" si="10"/>
        <v>-3.1678093600664339E-9</v>
      </c>
      <c r="AN29" s="2">
        <f t="shared" si="11"/>
        <v>1.7455196411018839E-8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8.909853989723203</v>
      </c>
      <c r="H30" s="6" t="s">
        <v>147</v>
      </c>
      <c r="J30" s="30" t="s">
        <v>111</v>
      </c>
      <c r="K30" s="30"/>
      <c r="L30" s="30"/>
      <c r="U30" s="2">
        <v>26</v>
      </c>
      <c r="V30" s="2">
        <f t="shared" si="7"/>
        <v>4.9580439925193787E-2</v>
      </c>
      <c r="W30" s="2">
        <f t="shared" si="0"/>
        <v>1.1895365935321589E-8</v>
      </c>
      <c r="X30" s="2">
        <f t="shared" si="8"/>
        <v>4.958045482635498E-2</v>
      </c>
      <c r="Y30" s="2">
        <f t="shared" si="1"/>
        <v>-3.0305840614808233E-9</v>
      </c>
      <c r="Z30" s="2">
        <f t="shared" si="3"/>
        <v>4.9580447375774384E-2</v>
      </c>
      <c r="AA30" s="2">
        <f t="shared" si="2"/>
        <v>4.4323909403898298E-9</v>
      </c>
      <c r="AB30" s="2">
        <f t="shared" si="4"/>
        <v>5.2724912204341206E-17</v>
      </c>
      <c r="AC30" s="2">
        <f t="shared" si="5"/>
        <v>-1.3432733338197417E-17</v>
      </c>
      <c r="AD30" s="2">
        <f t="shared" si="6"/>
        <v>1.4901161193847656E-8</v>
      </c>
      <c r="AF30" s="2">
        <v>26</v>
      </c>
      <c r="AG30" s="2">
        <f t="shared" si="13"/>
        <v>3042.2135889530182</v>
      </c>
      <c r="AH30" s="2">
        <v>-3.7479831917153206E-5</v>
      </c>
      <c r="AI30" s="2">
        <f t="shared" si="14"/>
        <v>3042.2138720750809</v>
      </c>
      <c r="AJ30" s="2">
        <v>8.4520372638507979E-5</v>
      </c>
      <c r="AK30" s="2">
        <f t="shared" si="9"/>
        <v>3042.2137305140495</v>
      </c>
      <c r="AL30" s="2">
        <v>2.3520270133303711E-5</v>
      </c>
      <c r="AM30" s="2">
        <f t="shared" si="10"/>
        <v>-8.8153577124226172E-10</v>
      </c>
      <c r="AN30" s="2">
        <f t="shared" si="11"/>
        <v>1.9879419962251992E-9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341.44230456173841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4.9580447375774384E-2</v>
      </c>
      <c r="W31" s="2">
        <f t="shared" si="0"/>
        <v>4.4323909403898298E-9</v>
      </c>
      <c r="X31" s="2">
        <f t="shared" si="8"/>
        <v>4.958045482635498E-2</v>
      </c>
      <c r="Y31" s="2">
        <f t="shared" si="1"/>
        <v>-3.0305840614808233E-9</v>
      </c>
      <c r="Z31" s="2">
        <f t="shared" si="3"/>
        <v>4.9580451101064682E-2</v>
      </c>
      <c r="AA31" s="2">
        <f t="shared" si="2"/>
        <v>7.0090343945450329E-10</v>
      </c>
      <c r="AB31" s="2">
        <f t="shared" si="4"/>
        <v>3.1066780551262119E-18</v>
      </c>
      <c r="AC31" s="2">
        <f t="shared" si="5"/>
        <v>-2.1241467922479069E-18</v>
      </c>
      <c r="AD31" s="2">
        <f t="shared" si="6"/>
        <v>7.4505805969238281E-9</v>
      </c>
      <c r="AF31" s="2">
        <v>27</v>
      </c>
      <c r="AG31" s="2">
        <f t="shared" si="13"/>
        <v>3042.2135889530182</v>
      </c>
      <c r="AH31" s="2">
        <v>-3.7479831917153206E-5</v>
      </c>
      <c r="AI31" s="2">
        <f t="shared" si="14"/>
        <v>3042.2137305140495</v>
      </c>
      <c r="AJ31" s="2">
        <v>2.3520270133303711E-5</v>
      </c>
      <c r="AK31" s="2">
        <f t="shared" si="9"/>
        <v>3042.2136597335339</v>
      </c>
      <c r="AL31" s="2">
        <v>-1.6388881704187952E-5</v>
      </c>
      <c r="AM31" s="2">
        <f t="shared" si="10"/>
        <v>6.1425253158307183E-10</v>
      </c>
      <c r="AN31" s="2">
        <f t="shared" si="11"/>
        <v>-3.8547092486525951E-10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1383.19</v>
      </c>
      <c r="L32" s="6" t="s">
        <v>7</v>
      </c>
      <c r="U32" s="2">
        <v>28</v>
      </c>
      <c r="V32" s="2">
        <f t="shared" si="7"/>
        <v>4.9580451101064682E-2</v>
      </c>
      <c r="W32" s="2">
        <f t="shared" si="0"/>
        <v>7.0090343945450329E-10</v>
      </c>
      <c r="X32" s="2">
        <f t="shared" si="8"/>
        <v>4.958045482635498E-2</v>
      </c>
      <c r="Y32" s="2">
        <f t="shared" si="1"/>
        <v>-3.0305840614808233E-9</v>
      </c>
      <c r="Z32" s="2">
        <f t="shared" si="3"/>
        <v>4.9580452963709831E-2</v>
      </c>
      <c r="AA32" s="2">
        <f t="shared" si="2"/>
        <v>-1.164840307543713E-9</v>
      </c>
      <c r="AB32" s="2">
        <f t="shared" si="4"/>
        <v>-8.1644057797262986E-19</v>
      </c>
      <c r="AC32" s="2">
        <f t="shared" si="5"/>
        <v>3.5301464702123971E-18</v>
      </c>
      <c r="AD32" s="2">
        <f t="shared" si="6"/>
        <v>3.7252902984619141E-9</v>
      </c>
      <c r="AF32" s="2">
        <v>28</v>
      </c>
      <c r="AG32" s="2">
        <f t="shared" si="13"/>
        <v>3042.2136597335339</v>
      </c>
      <c r="AH32" s="2">
        <v>-1.6388881704187952E-5</v>
      </c>
      <c r="AI32" s="2">
        <f t="shared" si="14"/>
        <v>3042.2137305140495</v>
      </c>
      <c r="AJ32" s="2">
        <v>2.3520270133303711E-5</v>
      </c>
      <c r="AK32" s="2">
        <f t="shared" si="9"/>
        <v>3042.2136951237917</v>
      </c>
      <c r="AL32" s="2">
        <v>-5.8434093261894304E-6</v>
      </c>
      <c r="AM32" s="2">
        <f t="shared" si="10"/>
        <v>9.5766944196067205E-11</v>
      </c>
      <c r="AN32" s="2">
        <f t="shared" si="11"/>
        <v>-1.3743856585144162E-10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4"/>
      <c r="H33" s="34"/>
      <c r="J33" s="19" t="s">
        <v>78</v>
      </c>
      <c r="K33" s="6">
        <f>ROUND(SUM(K14:K17),2)</f>
        <v>710.26</v>
      </c>
      <c r="L33" s="6" t="s">
        <v>7</v>
      </c>
      <c r="U33" s="2">
        <v>29</v>
      </c>
      <c r="V33" s="2">
        <f t="shared" si="7"/>
        <v>4.9580451101064682E-2</v>
      </c>
      <c r="W33" s="2">
        <f t="shared" si="0"/>
        <v>7.0090343945450329E-10</v>
      </c>
      <c r="X33" s="2">
        <f t="shared" si="8"/>
        <v>4.9580452963709831E-2</v>
      </c>
      <c r="Y33" s="2">
        <f t="shared" si="1"/>
        <v>-1.164840307543713E-9</v>
      </c>
      <c r="Z33" s="2">
        <f t="shared" si="3"/>
        <v>4.9580452032387257E-2</v>
      </c>
      <c r="AA33" s="2">
        <f t="shared" si="2"/>
        <v>-2.3196843057515792E-10</v>
      </c>
      <c r="AB33" s="2">
        <f t="shared" si="4"/>
        <v>-1.6258747083499135E-19</v>
      </c>
      <c r="AC33" s="2">
        <f t="shared" si="5"/>
        <v>2.702061780115994E-19</v>
      </c>
      <c r="AD33" s="2">
        <f t="shared" si="6"/>
        <v>1.862645149230957E-9</v>
      </c>
      <c r="AF33" s="2">
        <v>29</v>
      </c>
      <c r="AG33" s="2">
        <f t="shared" si="13"/>
        <v>3042.2136951237917</v>
      </c>
      <c r="AH33" s="2">
        <v>-5.8434093261894304E-6</v>
      </c>
      <c r="AI33" s="2">
        <f t="shared" si="14"/>
        <v>3042.2137305140495</v>
      </c>
      <c r="AJ33" s="2">
        <v>2.3520270133303711E-5</v>
      </c>
      <c r="AK33" s="2">
        <f t="shared" si="9"/>
        <v>3042.2137128189206</v>
      </c>
      <c r="AL33" s="2">
        <v>1.8247533262183424E-5</v>
      </c>
      <c r="AM33" s="2">
        <f t="shared" si="10"/>
        <v>-1.0662780604419446E-10</v>
      </c>
      <c r="AN33" s="2">
        <f t="shared" si="11"/>
        <v>4.2918691159299883E-10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199.13</v>
      </c>
      <c r="L34" s="6" t="s">
        <v>7</v>
      </c>
      <c r="U34" s="2">
        <v>30</v>
      </c>
      <c r="V34" s="2">
        <f t="shared" si="7"/>
        <v>4.9580451101064682E-2</v>
      </c>
      <c r="W34" s="2">
        <f t="shared" si="0"/>
        <v>7.0090343945450329E-10</v>
      </c>
      <c r="X34" s="2">
        <f t="shared" si="8"/>
        <v>4.9580452032387257E-2</v>
      </c>
      <c r="Y34" s="2">
        <f t="shared" si="1"/>
        <v>-2.3196843057515792E-10</v>
      </c>
      <c r="Z34" s="2">
        <f t="shared" si="3"/>
        <v>4.9580451566725969E-2</v>
      </c>
      <c r="AA34" s="2">
        <f t="shared" si="2"/>
        <v>2.3446750097022573E-10</v>
      </c>
      <c r="AB34" s="2">
        <f t="shared" si="4"/>
        <v>1.643390778703333E-19</v>
      </c>
      <c r="AC34" s="2">
        <f t="shared" si="5"/>
        <v>-5.438905822094258E-20</v>
      </c>
      <c r="AD34" s="2">
        <f>X34-V34</f>
        <v>9.3132257461547852E-10</v>
      </c>
      <c r="AF34" s="2">
        <v>30</v>
      </c>
      <c r="AG34" s="2">
        <f t="shared" si="13"/>
        <v>3042.2136951237917</v>
      </c>
      <c r="AH34" s="2">
        <v>-5.8434093261894304E-6</v>
      </c>
      <c r="AI34" s="2">
        <f t="shared" si="14"/>
        <v>3042.2137128189206</v>
      </c>
      <c r="AJ34" s="2">
        <v>1.8247533262183424E-5</v>
      </c>
      <c r="AK34" s="2">
        <f t="shared" si="9"/>
        <v>3042.2137039713562</v>
      </c>
      <c r="AL34" s="2">
        <v>-3.2070388442662079E-6</v>
      </c>
      <c r="AM34" s="2">
        <f t="shared" si="10"/>
        <v>1.8740040692036932E-11</v>
      </c>
      <c r="AN34" s="2">
        <f t="shared" si="11"/>
        <v>-5.8520547983861915E-11</v>
      </c>
      <c r="AO34" s="2">
        <f t="shared" si="12"/>
        <v>1.7695128917694092E-5</v>
      </c>
    </row>
    <row r="35" spans="2:41" x14ac:dyDescent="0.2">
      <c r="B35" s="30" t="s">
        <v>2</v>
      </c>
      <c r="C35" s="30"/>
      <c r="D35" s="30"/>
      <c r="F35" s="26" t="s">
        <v>132</v>
      </c>
      <c r="G35" s="25">
        <f xml:space="preserve"> G22</f>
        <v>271.52235188765354</v>
      </c>
      <c r="H35" s="25" t="s">
        <v>101</v>
      </c>
      <c r="J35" s="15" t="s">
        <v>70</v>
      </c>
      <c r="K35" s="6">
        <f>ROUND(SUM(K23:K26),2)</f>
        <v>149.63</v>
      </c>
      <c r="L35" s="6" t="s">
        <v>7</v>
      </c>
      <c r="AF35" s="2">
        <v>31</v>
      </c>
      <c r="AG35" s="2">
        <f t="shared" si="13"/>
        <v>3042.2137039713562</v>
      </c>
      <c r="AH35" s="2">
        <v>-3.2070388442662079E-6</v>
      </c>
      <c r="AI35" s="2">
        <f t="shared" si="14"/>
        <v>3042.2137128189206</v>
      </c>
      <c r="AJ35" s="2">
        <v>1.8247533262183424E-5</v>
      </c>
      <c r="AK35" s="2">
        <f t="shared" si="9"/>
        <v>3042.2137083951384</v>
      </c>
      <c r="AL35" s="2">
        <v>1.6929349840211216E-5</v>
      </c>
      <c r="AM35" s="2">
        <f t="shared" si="10"/>
        <v>-5.4293082545729291E-11</v>
      </c>
      <c r="AN35" s="2">
        <f t="shared" si="11"/>
        <v>3.0891887431639381E-10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3042.21</v>
      </c>
      <c r="L36" s="6" t="s">
        <v>7</v>
      </c>
      <c r="AF36" s="2">
        <v>32</v>
      </c>
      <c r="AG36" s="2">
        <f t="shared" si="13"/>
        <v>3042.2137039713562</v>
      </c>
      <c r="AH36" s="2">
        <v>-3.2070388442662079E-6</v>
      </c>
      <c r="AI36" s="2">
        <f t="shared" si="14"/>
        <v>3042.2137083951384</v>
      </c>
      <c r="AJ36" s="2">
        <v>1.6929349840211216E-5</v>
      </c>
      <c r="AK36" s="2">
        <f t="shared" si="9"/>
        <v>3042.2137061832473</v>
      </c>
      <c r="AL36" s="2">
        <v>1.6270257219730411E-5</v>
      </c>
      <c r="AM36" s="2">
        <f t="shared" si="10"/>
        <v>-5.2179346909878141E-11</v>
      </c>
      <c r="AN36" s="2">
        <f t="shared" si="11"/>
        <v>2.7544487646303842E-10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3042.2137039713562</v>
      </c>
      <c r="AH37" s="2">
        <v>-3.2070388442662079E-6</v>
      </c>
      <c r="AI37" s="2">
        <f t="shared" si="14"/>
        <v>3042.2137061832473</v>
      </c>
      <c r="AJ37" s="2">
        <v>1.6270257219730411E-5</v>
      </c>
      <c r="AK37" s="2">
        <f t="shared" si="9"/>
        <v>3042.2137050773017</v>
      </c>
      <c r="AL37" s="2">
        <v>-2.877496626751963E-6</v>
      </c>
      <c r="AM37" s="2">
        <f t="shared" si="10"/>
        <v>9.2282434562385274E-12</v>
      </c>
      <c r="AN37" s="2">
        <f t="shared" si="11"/>
        <v>-4.681761026616103E-11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0" t="s">
        <v>56</v>
      </c>
      <c r="K38" s="30"/>
      <c r="L38" s="30"/>
      <c r="AF38" s="2">
        <v>34</v>
      </c>
      <c r="AG38" s="2">
        <f t="shared" si="13"/>
        <v>3042.2137050773017</v>
      </c>
      <c r="AH38" s="2">
        <v>-2.877496626751963E-6</v>
      </c>
      <c r="AI38" s="2">
        <f t="shared" si="14"/>
        <v>3042.2137061832473</v>
      </c>
      <c r="AJ38" s="2">
        <v>1.6270257219730411E-5</v>
      </c>
      <c r="AK38" s="2">
        <f t="shared" si="9"/>
        <v>3042.2137056302745</v>
      </c>
      <c r="AL38" s="2">
        <v>1.6105483609862858E-5</v>
      </c>
      <c r="AM38" s="2">
        <f t="shared" si="10"/>
        <v>-4.6343474759589404E-11</v>
      </c>
      <c r="AN38" s="2">
        <f t="shared" si="11"/>
        <v>2.6204036098062097E-10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19.72</v>
      </c>
      <c r="L39" s="6" t="s">
        <v>58</v>
      </c>
      <c r="AF39" s="2">
        <v>35</v>
      </c>
      <c r="AG39" s="2">
        <f t="shared" si="13"/>
        <v>3042.2137050773017</v>
      </c>
      <c r="AH39" s="2">
        <v>-2.877496626751963E-6</v>
      </c>
      <c r="AI39" s="2">
        <f t="shared" si="14"/>
        <v>3042.2137056302745</v>
      </c>
      <c r="AJ39" s="2">
        <v>1.6105483609862858E-5</v>
      </c>
      <c r="AK39" s="2">
        <f t="shared" si="9"/>
        <v>3042.2137053537881</v>
      </c>
      <c r="AL39" s="2">
        <v>-2.7951095944445115E-6</v>
      </c>
      <c r="AM39" s="2">
        <f t="shared" si="10"/>
        <v>8.0429184294161292E-12</v>
      </c>
      <c r="AN39" s="2">
        <f t="shared" si="11"/>
        <v>-4.5016591761096501E-11</v>
      </c>
      <c r="AO39" s="2">
        <f t="shared" si="12"/>
        <v>5.5297277867794037E-7</v>
      </c>
    </row>
    <row r="40" spans="2:41" x14ac:dyDescent="0.2">
      <c r="B40" s="30" t="s">
        <v>144</v>
      </c>
      <c r="C40" s="31"/>
      <c r="D40" s="31"/>
      <c r="J40" s="11" t="s">
        <v>52</v>
      </c>
      <c r="K40" s="6">
        <f>ROUND(K13/$C$5 * 100, 2)</f>
        <v>45.47</v>
      </c>
      <c r="L40" s="6" t="s">
        <v>58</v>
      </c>
      <c r="AF40" s="2">
        <v>36</v>
      </c>
      <c r="AG40" s="2">
        <f t="shared" si="13"/>
        <v>3042.2137053537881</v>
      </c>
      <c r="AH40" s="2">
        <v>-2.7951095944445115E-6</v>
      </c>
      <c r="AI40" s="2">
        <f t="shared" si="14"/>
        <v>3042.2137056302745</v>
      </c>
      <c r="AJ40" s="2">
        <v>1.6105483609862858E-5</v>
      </c>
      <c r="AK40" s="2">
        <f t="shared" si="9"/>
        <v>3042.2137054920313</v>
      </c>
      <c r="AL40" s="2">
        <v>1.6064291685324861E-5</v>
      </c>
      <c r="AM40" s="2">
        <f t="shared" si="10"/>
        <v>-4.4901455817606709E-11</v>
      </c>
      <c r="AN40" s="2">
        <f t="shared" si="11"/>
        <v>2.5872318644205574E-10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23.35</v>
      </c>
      <c r="L41" s="6" t="s">
        <v>58</v>
      </c>
      <c r="AF41" s="2">
        <v>37</v>
      </c>
      <c r="AG41" s="2">
        <f t="shared" si="13"/>
        <v>3042.2137053537881</v>
      </c>
      <c r="AH41" s="2">
        <v>-2.7951095944445115E-6</v>
      </c>
      <c r="AI41" s="2">
        <f t="shared" si="14"/>
        <v>3042.2137054920313</v>
      </c>
      <c r="AJ41" s="2">
        <v>1.6064291685324861E-5</v>
      </c>
      <c r="AK41" s="2">
        <f t="shared" si="9"/>
        <v>3042.2137054229097</v>
      </c>
      <c r="AL41" s="2">
        <v>-2.7745113584387582E-6</v>
      </c>
      <c r="AM41" s="2">
        <f t="shared" si="10"/>
        <v>7.7550633178674479E-12</v>
      </c>
      <c r="AN41" s="2">
        <f t="shared" si="11"/>
        <v>-4.4570559746207127E-11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6.55</v>
      </c>
      <c r="L42" s="6" t="s">
        <v>58</v>
      </c>
      <c r="AF42" s="2">
        <v>38</v>
      </c>
      <c r="AG42" s="2">
        <f t="shared" si="13"/>
        <v>3042.2137054229097</v>
      </c>
      <c r="AH42" s="2">
        <v>-2.7745113584387582E-6</v>
      </c>
      <c r="AI42" s="2">
        <f t="shared" si="14"/>
        <v>3042.2137054920313</v>
      </c>
      <c r="AJ42" s="2">
        <v>1.6064291685324861E-5</v>
      </c>
      <c r="AK42" s="2">
        <f t="shared" si="9"/>
        <v>3042.2137054574705</v>
      </c>
      <c r="AL42" s="2">
        <v>-2.7642117856885307E-6</v>
      </c>
      <c r="AM42" s="2">
        <f t="shared" si="10"/>
        <v>7.6693369965231107E-12</v>
      </c>
      <c r="AN42" s="2">
        <f t="shared" si="11"/>
        <v>-4.4405104405313249E-11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3042.2137054574705</v>
      </c>
      <c r="AH43" s="2">
        <v>-2.7642117856885307E-6</v>
      </c>
      <c r="AI43" s="2">
        <f t="shared" si="14"/>
        <v>3042.2137054920313</v>
      </c>
      <c r="AJ43" s="2">
        <v>1.6064291685324861E-5</v>
      </c>
      <c r="AK43" s="2">
        <f t="shared" si="9"/>
        <v>3042.2137054747509</v>
      </c>
      <c r="AL43" s="2">
        <v>-2.7590640456764959E-6</v>
      </c>
      <c r="AM43" s="2">
        <f t="shared" si="10"/>
        <v>7.6266373525284484E-12</v>
      </c>
      <c r="AN43" s="2">
        <f t="shared" si="11"/>
        <v>-4.4322409608239705E-11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100.00999999999999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3042.2137054747509</v>
      </c>
      <c r="AH44" s="2">
        <v>-2.7590640456764959E-6</v>
      </c>
      <c r="AI44" s="2">
        <f t="shared" si="14"/>
        <v>3042.2137054920313</v>
      </c>
      <c r="AJ44" s="2">
        <v>1.6064291685324861E-5</v>
      </c>
      <c r="AK44" s="5">
        <f>(AG44+AI44)/2</f>
        <v>3042.2137054833911</v>
      </c>
      <c r="AL44" s="2">
        <v>-2.7564897209231276E-6</v>
      </c>
      <c r="AM44" s="2">
        <f t="shared" si="10"/>
        <v>7.6053316812758395E-12</v>
      </c>
      <c r="AN44" s="2">
        <f t="shared" si="11"/>
        <v>-4.4281054904508845E-11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0" t="s">
        <v>145</v>
      </c>
      <c r="C46" s="31"/>
      <c r="D46" s="31"/>
      <c r="J46" s="30" t="s">
        <v>56</v>
      </c>
      <c r="K46" s="30"/>
      <c r="L46" s="30"/>
      <c r="N46" s="6" t="s">
        <v>153</v>
      </c>
      <c r="O46" s="6">
        <f>G12*1000/O45</f>
        <v>3148.462375497968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19.72</v>
      </c>
      <c r="L47" s="6" t="s">
        <v>58</v>
      </c>
      <c r="N47" s="6" t="s">
        <v>154</v>
      </c>
      <c r="O47" s="6">
        <f>0.377*O46^0.6945</f>
        <v>101.33763483369758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45.47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34.81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30" t="s">
        <v>71</v>
      </c>
      <c r="C52" s="30"/>
      <c r="D52" s="30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N12:P12"/>
    <mergeCell ref="F14:H14"/>
    <mergeCell ref="N16:P16"/>
    <mergeCell ref="B17:D17"/>
    <mergeCell ref="B24:D24"/>
    <mergeCell ref="F24:H24"/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B29:D29"/>
    <mergeCell ref="J30:L30"/>
    <mergeCell ref="F33:H33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3BD7-97B4-D149-9E6E-38BC85791D47}">
  <dimension ref="B1:AO56"/>
  <sheetViews>
    <sheetView topLeftCell="B1" workbookViewId="0">
      <selection activeCell="O6" sqref="O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6" t="s">
        <v>0</v>
      </c>
      <c r="C1" s="36"/>
      <c r="D1" s="36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4"/>
      <c r="D3" s="34"/>
      <c r="F3" s="32" t="s">
        <v>80</v>
      </c>
      <c r="G3" s="34"/>
      <c r="H3" s="34"/>
      <c r="J3" s="30" t="s">
        <v>98</v>
      </c>
      <c r="K3" s="30"/>
      <c r="L3" s="30"/>
      <c r="N3" s="30" t="s">
        <v>92</v>
      </c>
      <c r="O3" s="30"/>
      <c r="P3" s="30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542.14638013457204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5.3760528108160913E-2</v>
      </c>
      <c r="X4" s="3">
        <v>1</v>
      </c>
      <c r="Y4" s="2">
        <f t="shared" ref="Y4:Y34" si="1" xml:space="preserve"> $O$20 * TAN($O$17/180*PI()) + $O$21 / (2 * SQRT($O$20^2 + X4^2)) - X4</f>
        <v>-0.9499563816539327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-0.44805298540232991</v>
      </c>
      <c r="AB4" s="2">
        <f>W4*AA4</f>
        <v>-2.4087565115667366E-2</v>
      </c>
      <c r="AC4" s="2">
        <f>Y4*AA4</f>
        <v>0.42563079280203964</v>
      </c>
      <c r="AD4" s="2">
        <f>X4-V4</f>
        <v>1</v>
      </c>
      <c r="AF4" s="2">
        <v>0</v>
      </c>
      <c r="AG4" s="2"/>
      <c r="AH4" s="2">
        <f>K27</f>
        <v>-7.2886137586465338E-3</v>
      </c>
      <c r="AI4" s="2"/>
      <c r="AJ4" s="2">
        <f>K27</f>
        <v>-7.2886137586465338E-3</v>
      </c>
      <c r="AK4" s="2"/>
      <c r="AL4" s="2">
        <f>K27</f>
        <v>-7.2886137586465338E-3</v>
      </c>
      <c r="AM4" s="2"/>
      <c r="AN4" s="2"/>
      <c r="AO4" s="2"/>
    </row>
    <row r="5" spans="2:41" x14ac:dyDescent="0.2">
      <c r="B5" s="10" t="s">
        <v>37</v>
      </c>
      <c r="C5" s="10">
        <v>3130.3501114894798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135.53659503364301</v>
      </c>
      <c r="L5" s="6" t="s">
        <v>101</v>
      </c>
      <c r="N5" s="6" t="s">
        <v>114</v>
      </c>
      <c r="O5" s="6">
        <f xml:space="preserve"> $C$18 * 0.85 * ($C$5/$C$18 *2.20462/1000)^(2/3) * 0.3048^2</f>
        <v>0.45438077977604835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5.3760528108160913E-2</v>
      </c>
      <c r="X5" s="2">
        <f>IF(AC4&gt;0, Z4, X4)</f>
        <v>0.5</v>
      </c>
      <c r="Y5" s="2">
        <f t="shared" si="1"/>
        <v>-0.44805298540232991</v>
      </c>
      <c r="Z5" s="2">
        <f t="shared" ref="Z5:Z34" si="3" xml:space="preserve"> (V5 + X5)/2</f>
        <v>0.25</v>
      </c>
      <c r="AA5" s="2">
        <f t="shared" si="2"/>
        <v>-0.19685103962379408</v>
      </c>
      <c r="AB5" s="2">
        <f t="shared" ref="AB5:AB34" si="4">W5*AA5</f>
        <v>-1.058281584881568E-2</v>
      </c>
      <c r="AC5" s="2">
        <f t="shared" ref="AC5:AC34" si="5">Y5*AA5</f>
        <v>8.8199695982993279E-2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-1348.5827003913391</v>
      </c>
      <c r="AI5" s="3">
        <v>10000</v>
      </c>
      <c r="AJ5" s="2">
        <f t="dataTable" ref="AJ5:AJ44" dt2D="0" dtr="0" r1="C5"/>
        <v>2228.5531316525849</v>
      </c>
      <c r="AK5" s="2">
        <f>(AG5+AI5)/2</f>
        <v>5250</v>
      </c>
      <c r="AL5" s="2">
        <f t="dataTable" ref="AL5:AL44" dt2D="0" dtr="0" r1="C5" ca="1"/>
        <v>903.62583181558512</v>
      </c>
      <c r="AM5" s="2">
        <f>AH5*AL5</f>
        <v>-1218614.1644132319</v>
      </c>
      <c r="AN5" s="2">
        <f>AJ5*AL5</f>
        <v>2013778.1773347941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5.3760528108160913E-2</v>
      </c>
      <c r="X6" s="2">
        <f t="shared" ref="X6:X34" si="8">IF(AC5&gt;0, Z5, X5)</f>
        <v>0.25</v>
      </c>
      <c r="Y6" s="2">
        <f t="shared" si="1"/>
        <v>-0.19685103962379408</v>
      </c>
      <c r="Z6" s="2">
        <f t="shared" si="3"/>
        <v>0.125</v>
      </c>
      <c r="AA6" s="2">
        <f t="shared" si="2"/>
        <v>-7.1407642000847191E-2</v>
      </c>
      <c r="AB6" s="2">
        <f t="shared" si="4"/>
        <v>-3.8389125449240372E-3</v>
      </c>
      <c r="AC6" s="2">
        <f t="shared" si="5"/>
        <v>1.4056668564950473E-2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-1348.5827003913391</v>
      </c>
      <c r="AI6" s="2">
        <f>IF(AN5&gt;0, AK5, AI5)</f>
        <v>5250</v>
      </c>
      <c r="AJ6" s="2">
        <v>903.62583181558512</v>
      </c>
      <c r="AK6" s="2">
        <f t="shared" ref="AK6:AK43" si="9">(AG6+AI6)/2</f>
        <v>2875</v>
      </c>
      <c r="AL6" s="2">
        <v>-121.02087186405606</v>
      </c>
      <c r="AM6" s="2">
        <f t="shared" ref="AM6:AM44" si="10">AH6*AL6</f>
        <v>163206.65418214296</v>
      </c>
      <c r="AN6" s="2">
        <f t="shared" ref="AN6:AN44" si="11">AJ6*AL6</f>
        <v>-109357.586005205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240.41273479795399</v>
      </c>
      <c r="D7" s="6" t="s">
        <v>125</v>
      </c>
      <c r="F7" t="s">
        <v>121</v>
      </c>
      <c r="G7" s="8">
        <f>$C$6*2*PI()/60*$C$9</f>
        <v>192.4643856609004</v>
      </c>
      <c r="H7" s="6" t="s">
        <v>10</v>
      </c>
      <c r="J7" s="30" t="s">
        <v>21</v>
      </c>
      <c r="K7" s="30"/>
      <c r="L7" s="30"/>
      <c r="N7" s="6" t="s">
        <v>159</v>
      </c>
      <c r="O7" s="6">
        <f>O5+$O$6</f>
        <v>1.0846574031111444</v>
      </c>
      <c r="P7" s="6" t="s">
        <v>115</v>
      </c>
      <c r="U7" s="2">
        <v>3</v>
      </c>
      <c r="V7" s="2">
        <f t="shared" si="7"/>
        <v>0</v>
      </c>
      <c r="W7" s="2">
        <f t="shared" si="0"/>
        <v>5.3760528108160913E-2</v>
      </c>
      <c r="X7" s="2">
        <f t="shared" si="8"/>
        <v>0.125</v>
      </c>
      <c r="Y7" s="2">
        <f t="shared" si="1"/>
        <v>-7.1407642000847191E-2</v>
      </c>
      <c r="Z7" s="2">
        <f t="shared" si="3"/>
        <v>6.25E-2</v>
      </c>
      <c r="AA7" s="2">
        <f t="shared" si="2"/>
        <v>-8.7826062916569816E-3</v>
      </c>
      <c r="AB7" s="2">
        <f t="shared" si="4"/>
        <v>-4.7215755240553604E-4</v>
      </c>
      <c r="AC7" s="2">
        <f t="shared" si="5"/>
        <v>6.2714520590902991E-4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-121.02087186405606</v>
      </c>
      <c r="AI7" s="2">
        <f t="shared" ref="AI7:AI44" si="14">IF(AN6&gt;0, AK6, AI6)</f>
        <v>5250</v>
      </c>
      <c r="AJ7" s="2">
        <v>903.62583181558512</v>
      </c>
      <c r="AK7" s="2">
        <f t="shared" si="9"/>
        <v>4062.5</v>
      </c>
      <c r="AL7" s="2">
        <v>421.46781012021574</v>
      </c>
      <c r="AM7" s="2">
        <f t="shared" si="10"/>
        <v>-51006.401843382941</v>
      </c>
      <c r="AN7" s="2">
        <f t="shared" si="11"/>
        <v>380849.20050337305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241.4016 *1000/3600</f>
        <v>67.055999999999997</v>
      </c>
      <c r="D8" s="6" t="s">
        <v>10</v>
      </c>
      <c r="F8" t="s">
        <v>124</v>
      </c>
      <c r="G8" s="8">
        <f>G7/$C$43</f>
        <v>0.57638400442025639</v>
      </c>
      <c r="H8" s="6" t="s">
        <v>122</v>
      </c>
      <c r="J8" s="6" t="s">
        <v>96</v>
      </c>
      <c r="K8" s="6">
        <f xml:space="preserve"> $C$15 * (G12*G6 + G22*G15 + G31*G27 +G35*G34)/3600</f>
        <v>228.95886178866743</v>
      </c>
      <c r="L8" s="6" t="s">
        <v>102</v>
      </c>
      <c r="N8" s="6" t="s">
        <v>38</v>
      </c>
      <c r="O8" s="6">
        <f xml:space="preserve"> O4 *O7</f>
        <v>2459.421381331053</v>
      </c>
      <c r="P8" s="6" t="s">
        <v>20</v>
      </c>
      <c r="U8" s="2">
        <v>4</v>
      </c>
      <c r="V8" s="2">
        <f t="shared" si="7"/>
        <v>0</v>
      </c>
      <c r="W8" s="2">
        <f t="shared" si="0"/>
        <v>5.3760528108160913E-2</v>
      </c>
      <c r="X8" s="2">
        <f t="shared" si="8"/>
        <v>6.25E-2</v>
      </c>
      <c r="Y8" s="2">
        <f t="shared" si="1"/>
        <v>-8.7826062916569816E-3</v>
      </c>
      <c r="Z8" s="2">
        <f t="shared" si="3"/>
        <v>3.125E-2</v>
      </c>
      <c r="AA8" s="2">
        <f t="shared" si="2"/>
        <v>2.2499673783512475E-2</v>
      </c>
      <c r="AB8" s="2">
        <f t="shared" si="4"/>
        <v>1.2095943448629735E-3</v>
      </c>
      <c r="AC8" s="2">
        <f t="shared" si="5"/>
        <v>-1.976057765313063E-4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-121.02087186405606</v>
      </c>
      <c r="AI8" s="2">
        <f t="shared" si="14"/>
        <v>4062.5</v>
      </c>
      <c r="AJ8" s="2">
        <v>421.46781012021574</v>
      </c>
      <c r="AK8" s="2">
        <f t="shared" si="9"/>
        <v>3468.75</v>
      </c>
      <c r="AL8" s="2">
        <v>156.93511134698019</v>
      </c>
      <c r="AM8" s="2">
        <f t="shared" si="10"/>
        <v>-18992.424001294261</v>
      </c>
      <c r="AN8" s="2">
        <f t="shared" si="11"/>
        <v>66143.097710383969</v>
      </c>
      <c r="AO8" s="2">
        <f t="shared" si="12"/>
        <v>1187.5</v>
      </c>
    </row>
    <row r="9" spans="2:41" x14ac:dyDescent="0.2">
      <c r="B9" s="6" t="s">
        <v>95</v>
      </c>
      <c r="C9" s="17">
        <v>4.5947487520615802</v>
      </c>
      <c r="D9" s="6" t="s">
        <v>8</v>
      </c>
      <c r="F9" t="s">
        <v>19</v>
      </c>
      <c r="G9" s="6">
        <f xml:space="preserve"> $C$5 * $C$44 / $C$18</f>
        <v>7670.5247617238592</v>
      </c>
      <c r="H9" s="6" t="s">
        <v>20</v>
      </c>
      <c r="J9" s="6" t="s">
        <v>138</v>
      </c>
      <c r="K9" s="6">
        <f xml:space="preserve"> $C$15 * (G6 + G15 + G27 + G34)/60</f>
        <v>50.188181022826697</v>
      </c>
      <c r="L9" s="6" t="s">
        <v>103</v>
      </c>
      <c r="N9" s="6" t="s">
        <v>39</v>
      </c>
      <c r="O9" s="6">
        <f xml:space="preserve"> O8</f>
        <v>2459.421381331053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2.2499673783512475E-2</v>
      </c>
      <c r="X9" s="2">
        <f t="shared" si="8"/>
        <v>6.25E-2</v>
      </c>
      <c r="Y9" s="2">
        <f t="shared" si="1"/>
        <v>-8.7826062916569816E-3</v>
      </c>
      <c r="Z9" s="2">
        <f t="shared" si="3"/>
        <v>4.6875E-2</v>
      </c>
      <c r="AA9" s="2">
        <f t="shared" si="2"/>
        <v>6.8611724631282012E-3</v>
      </c>
      <c r="AB9" s="2">
        <f t="shared" si="4"/>
        <v>1.543741421928033E-4</v>
      </c>
      <c r="AC9" s="2">
        <f t="shared" si="5"/>
        <v>-6.0258976442813369E-5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-121.02087186405606</v>
      </c>
      <c r="AI9" s="2">
        <f t="shared" si="14"/>
        <v>3468.75</v>
      </c>
      <c r="AJ9" s="2">
        <v>156.93511134698019</v>
      </c>
      <c r="AK9" s="2">
        <f t="shared" si="9"/>
        <v>3171.875</v>
      </c>
      <c r="AL9" s="2">
        <v>19.468631177180669</v>
      </c>
      <c r="AM9" s="2">
        <f t="shared" si="10"/>
        <v>-2356.1107190621487</v>
      </c>
      <c r="AN9" s="2">
        <f t="shared" si="11"/>
        <v>3055.3118015641385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90.357730022428669</v>
      </c>
      <c r="H10" s="6" t="s">
        <v>101</v>
      </c>
      <c r="N10" s="6" t="s">
        <v>113</v>
      </c>
      <c r="O10" s="6">
        <f>O7/(0.3048^2)/($C$5*2.20462/1000)^(2/3)</f>
        <v>3.2209072708500006</v>
      </c>
      <c r="U10" s="2">
        <v>6</v>
      </c>
      <c r="V10" s="2">
        <f t="shared" si="7"/>
        <v>4.6875E-2</v>
      </c>
      <c r="W10" s="2">
        <f t="shared" si="0"/>
        <v>6.8611724631282012E-3</v>
      </c>
      <c r="X10" s="2">
        <f t="shared" si="8"/>
        <v>6.25E-2</v>
      </c>
      <c r="Y10" s="2">
        <f t="shared" si="1"/>
        <v>-8.7826062916569816E-3</v>
      </c>
      <c r="Z10" s="2">
        <f t="shared" si="3"/>
        <v>5.46875E-2</v>
      </c>
      <c r="AA10" s="2">
        <f t="shared" si="2"/>
        <v>-9.6006401502998079E-4</v>
      </c>
      <c r="AB10" s="2">
        <f t="shared" si="4"/>
        <v>-6.587164782764004E-6</v>
      </c>
      <c r="AC10" s="2">
        <f t="shared" si="5"/>
        <v>8.4318642587957716E-6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-121.02087186405606</v>
      </c>
      <c r="AI10" s="2">
        <f t="shared" si="14"/>
        <v>3171.875</v>
      </c>
      <c r="AJ10" s="2">
        <v>19.468631177180669</v>
      </c>
      <c r="AK10" s="2">
        <f t="shared" si="9"/>
        <v>3023.4375</v>
      </c>
      <c r="AL10" s="2">
        <v>-50.417147292962909</v>
      </c>
      <c r="AM10" s="2">
        <f t="shared" si="10"/>
        <v>6101.527122292905</v>
      </c>
      <c r="AN10" s="2">
        <f t="shared" si="11"/>
        <v>-981.5528456522876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8.6609914578212113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4.6875E-2</v>
      </c>
      <c r="W11" s="2">
        <f t="shared" si="0"/>
        <v>6.8611724631282012E-3</v>
      </c>
      <c r="X11" s="2">
        <f t="shared" si="8"/>
        <v>5.46875E-2</v>
      </c>
      <c r="Y11" s="2">
        <f t="shared" si="1"/>
        <v>-9.6006401502998079E-4</v>
      </c>
      <c r="Z11" s="2">
        <f t="shared" si="3"/>
        <v>5.078125E-2</v>
      </c>
      <c r="AA11" s="2">
        <f t="shared" si="2"/>
        <v>2.950718376009423E-3</v>
      </c>
      <c r="AB11" s="2">
        <f t="shared" si="4"/>
        <v>2.0245387667922219E-5</v>
      </c>
      <c r="AC11" s="2">
        <f t="shared" si="5"/>
        <v>-2.8328785312943513E-6</v>
      </c>
      <c r="AD11" s="2">
        <f t="shared" si="6"/>
        <v>7.8125E-3</v>
      </c>
      <c r="AF11" s="2">
        <v>7</v>
      </c>
      <c r="AG11" s="2">
        <f t="shared" si="13"/>
        <v>3023.4375</v>
      </c>
      <c r="AH11" s="2">
        <v>-50.417147292962909</v>
      </c>
      <c r="AI11" s="2">
        <f t="shared" si="14"/>
        <v>3171.875</v>
      </c>
      <c r="AJ11" s="2">
        <v>19.468631177180669</v>
      </c>
      <c r="AK11" s="2">
        <f t="shared" si="9"/>
        <v>3097.65625</v>
      </c>
      <c r="AL11" s="2">
        <v>-15.382292875965049</v>
      </c>
      <c r="AM11" s="2">
        <f t="shared" si="10"/>
        <v>775.53132563102395</v>
      </c>
      <c r="AN11" s="2">
        <f t="shared" si="11"/>
        <v>-299.47218666153725</v>
      </c>
      <c r="AO11" s="2">
        <f t="shared" si="12"/>
        <v>148.4375</v>
      </c>
    </row>
    <row r="12" spans="2:41" x14ac:dyDescent="0.2">
      <c r="B12" s="30" t="s">
        <v>11</v>
      </c>
      <c r="C12" s="30"/>
      <c r="D12" s="30"/>
      <c r="F12" s="24" t="s">
        <v>82</v>
      </c>
      <c r="G12" s="25">
        <f xml:space="preserve"> 1/1000 * (($C$5*$C$44)/$C$21 * ( ($G$4/2) + SQRT( ($G$4/2)^2 + ($C$5*$C$44) / (2*$C$41*PI()*$C$9^2 * $C$18) ) ) )</f>
        <v>361.43092008971468</v>
      </c>
      <c r="H12" s="25" t="s">
        <v>101</v>
      </c>
      <c r="J12" s="10" t="s">
        <v>79</v>
      </c>
      <c r="K12" s="6">
        <f>C5</f>
        <v>3130.3501114894798</v>
      </c>
      <c r="L12" s="6" t="s">
        <v>7</v>
      </c>
      <c r="N12" s="32" t="s">
        <v>73</v>
      </c>
      <c r="O12" s="35"/>
      <c r="P12" s="35"/>
      <c r="U12" s="2">
        <v>8</v>
      </c>
      <c r="V12" s="2">
        <f t="shared" si="7"/>
        <v>5.078125E-2</v>
      </c>
      <c r="W12" s="2">
        <f t="shared" si="0"/>
        <v>2.950718376009423E-3</v>
      </c>
      <c r="X12" s="2">
        <f t="shared" si="8"/>
        <v>5.46875E-2</v>
      </c>
      <c r="Y12" s="2">
        <f t="shared" si="1"/>
        <v>-9.6006401502998079E-4</v>
      </c>
      <c r="Z12" s="2">
        <f t="shared" si="3"/>
        <v>5.2734375E-2</v>
      </c>
      <c r="AA12" s="2">
        <f t="shared" si="2"/>
        <v>9.9536810748126342E-4</v>
      </c>
      <c r="AB12" s="2">
        <f t="shared" si="4"/>
        <v>2.9370509656386863E-6</v>
      </c>
      <c r="AC12" s="2">
        <f t="shared" si="5"/>
        <v>-9.5561710170125529E-7</v>
      </c>
      <c r="AD12" s="2">
        <f t="shared" si="6"/>
        <v>3.90625E-3</v>
      </c>
      <c r="AF12" s="2">
        <v>8</v>
      </c>
      <c r="AG12" s="2">
        <f t="shared" si="13"/>
        <v>3097.65625</v>
      </c>
      <c r="AH12" s="2">
        <v>-15.382292875965049</v>
      </c>
      <c r="AI12" s="2">
        <f t="shared" si="14"/>
        <v>3171.875</v>
      </c>
      <c r="AJ12" s="2">
        <v>19.468631177180669</v>
      </c>
      <c r="AK12" s="2">
        <f t="shared" si="9"/>
        <v>3134.765625</v>
      </c>
      <c r="AL12" s="2">
        <v>2.0664506308539785</v>
      </c>
      <c r="AM12" s="2">
        <f t="shared" si="10"/>
        <v>-31.786748817518635</v>
      </c>
      <c r="AN12" s="2">
        <f t="shared" si="11"/>
        <v>40.230965177948427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1346.8168340509849</v>
      </c>
      <c r="L13" s="6" t="s">
        <v>7</v>
      </c>
      <c r="N13" s="6" t="s">
        <v>74</v>
      </c>
      <c r="O13" s="6">
        <f xml:space="preserve"> SQRT( ($C$5*$C$50)^2 + O9^2)</f>
        <v>30777.587186847046</v>
      </c>
      <c r="P13" s="6" t="s">
        <v>20</v>
      </c>
      <c r="U13" s="2">
        <v>9</v>
      </c>
      <c r="V13" s="2">
        <f t="shared" si="7"/>
        <v>5.2734375E-2</v>
      </c>
      <c r="W13" s="2">
        <f t="shared" si="0"/>
        <v>9.9536810748126342E-4</v>
      </c>
      <c r="X13" s="2">
        <f t="shared" si="8"/>
        <v>5.46875E-2</v>
      </c>
      <c r="Y13" s="2">
        <f t="shared" si="1"/>
        <v>-9.6006401502998079E-4</v>
      </c>
      <c r="Z13" s="2">
        <f t="shared" si="3"/>
        <v>5.37109375E-2</v>
      </c>
      <c r="AA13" s="2">
        <f t="shared" si="2"/>
        <v>1.7662263667221623E-5</v>
      </c>
      <c r="AB13" s="2">
        <f t="shared" si="4"/>
        <v>1.7580453960277465E-8</v>
      </c>
      <c r="AC13" s="2">
        <f t="shared" si="5"/>
        <v>-1.6956903770870944E-8</v>
      </c>
      <c r="AD13" s="2">
        <f t="shared" si="6"/>
        <v>1.953125E-3</v>
      </c>
      <c r="AF13" s="2">
        <v>9</v>
      </c>
      <c r="AG13" s="2">
        <f t="shared" si="13"/>
        <v>3097.65625</v>
      </c>
      <c r="AH13" s="2">
        <v>-15.382292875965049</v>
      </c>
      <c r="AI13" s="2">
        <f t="shared" si="14"/>
        <v>3134.765625</v>
      </c>
      <c r="AJ13" s="2">
        <v>2.0664506308539785</v>
      </c>
      <c r="AK13" s="2">
        <f t="shared" si="9"/>
        <v>3116.2109375</v>
      </c>
      <c r="AL13" s="2">
        <v>-6.6521457057724547</v>
      </c>
      <c r="AM13" s="2">
        <f t="shared" si="10"/>
        <v>102.32525349978512</v>
      </c>
      <c r="AN13" s="2">
        <f t="shared" si="11"/>
        <v>-13.746330690226072</v>
      </c>
      <c r="AO13" s="2">
        <f t="shared" si="12"/>
        <v>37.109375</v>
      </c>
    </row>
    <row r="14" spans="2:41" x14ac:dyDescent="0.2">
      <c r="B14" s="6" t="s">
        <v>12</v>
      </c>
      <c r="C14" s="17">
        <f>100*1000</f>
        <v>100000</v>
      </c>
      <c r="D14" s="6" t="s">
        <v>8</v>
      </c>
      <c r="F14" s="32" t="s">
        <v>86</v>
      </c>
      <c r="G14" s="34"/>
      <c r="H14" s="34"/>
      <c r="J14" s="12" t="s">
        <v>126</v>
      </c>
      <c r="K14" s="6">
        <f xml:space="preserve"> $C$54 * $C$18 * (0.0095 * MAX(G9,O18,G28) - 1.9275)</f>
        <v>227.74166262003757</v>
      </c>
      <c r="L14" s="6" t="s">
        <v>7</v>
      </c>
      <c r="N14" s="6" t="s">
        <v>75</v>
      </c>
      <c r="O14" s="6">
        <f>$C$5*$C$50/O13</f>
        <v>0.99680212327342477</v>
      </c>
      <c r="U14" s="2">
        <v>10</v>
      </c>
      <c r="V14" s="2">
        <f t="shared" si="7"/>
        <v>5.37109375E-2</v>
      </c>
      <c r="W14" s="2">
        <f t="shared" si="0"/>
        <v>1.7662263667221623E-5</v>
      </c>
      <c r="X14" s="2">
        <f t="shared" si="8"/>
        <v>5.46875E-2</v>
      </c>
      <c r="Y14" s="2">
        <f t="shared" si="1"/>
        <v>-9.6006401502998079E-4</v>
      </c>
      <c r="Z14" s="2">
        <f t="shared" si="3"/>
        <v>5.419921875E-2</v>
      </c>
      <c r="AA14" s="2">
        <f t="shared" si="2"/>
        <v>-4.7119832313607946E-4</v>
      </c>
      <c r="AB14" s="2">
        <f t="shared" si="4"/>
        <v>-8.3224290227821301E-9</v>
      </c>
      <c r="AC14" s="2">
        <f t="shared" si="5"/>
        <v>4.5238055398541873E-7</v>
      </c>
      <c r="AD14" s="2">
        <f t="shared" si="6"/>
        <v>9.765625E-4</v>
      </c>
      <c r="AF14" s="2">
        <v>10</v>
      </c>
      <c r="AG14" s="2">
        <f t="shared" si="13"/>
        <v>3116.2109375</v>
      </c>
      <c r="AH14" s="2">
        <v>-6.6521457057724547</v>
      </c>
      <c r="AI14" s="2">
        <f t="shared" si="14"/>
        <v>3134.765625</v>
      </c>
      <c r="AJ14" s="2">
        <v>2.0664506308539785</v>
      </c>
      <c r="AK14" s="2">
        <f t="shared" si="9"/>
        <v>3125.48828125</v>
      </c>
      <c r="AL14" s="2">
        <v>-2.291386259277715</v>
      </c>
      <c r="AM14" s="2">
        <f t="shared" si="10"/>
        <v>15.24263526492026</v>
      </c>
      <c r="AN14" s="2">
        <f t="shared" si="11"/>
        <v>-4.7350365810145725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1491.2908613696015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460.58098360999332</v>
      </c>
      <c r="L15" s="6" t="s">
        <v>7</v>
      </c>
      <c r="U15" s="2">
        <v>11</v>
      </c>
      <c r="V15" s="2">
        <f t="shared" si="7"/>
        <v>5.37109375E-2</v>
      </c>
      <c r="W15" s="2">
        <f t="shared" si="0"/>
        <v>1.7662263667221623E-5</v>
      </c>
      <c r="X15" s="2">
        <f t="shared" si="8"/>
        <v>5.419921875E-2</v>
      </c>
      <c r="Y15" s="2">
        <f t="shared" si="1"/>
        <v>-4.7119832313607946E-4</v>
      </c>
      <c r="Z15" s="2">
        <f t="shared" si="3"/>
        <v>5.3955078125E-2</v>
      </c>
      <c r="AA15" s="2">
        <f t="shared" si="2"/>
        <v>-2.2676739137002244E-4</v>
      </c>
      <c r="AB15" s="2">
        <f t="shared" si="4"/>
        <v>-4.0052254575053737E-9</v>
      </c>
      <c r="AC15" s="2">
        <f t="shared" si="5"/>
        <v>1.0685241455549763E-7</v>
      </c>
      <c r="AD15" s="2">
        <f t="shared" si="6"/>
        <v>4.8828125E-4</v>
      </c>
      <c r="AF15" s="2">
        <v>11</v>
      </c>
      <c r="AG15" s="2">
        <f t="shared" si="13"/>
        <v>3125.48828125</v>
      </c>
      <c r="AH15" s="2">
        <v>-2.291386259277715</v>
      </c>
      <c r="AI15" s="2">
        <f t="shared" si="14"/>
        <v>3134.765625</v>
      </c>
      <c r="AJ15" s="2">
        <v>2.0664506308539785</v>
      </c>
      <c r="AK15" s="2">
        <f t="shared" si="9"/>
        <v>3130.126953125</v>
      </c>
      <c r="AL15" s="2">
        <v>-0.11210716611458338</v>
      </c>
      <c r="AM15" s="2">
        <f t="shared" si="10"/>
        <v>0.25688082000152063</v>
      </c>
      <c r="AN15" s="2">
        <f t="shared" si="11"/>
        <v>-0.23166392414073259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115.67722326986296</v>
      </c>
      <c r="H16" s="6" t="s">
        <v>10</v>
      </c>
      <c r="J16" s="13" t="s">
        <v>53</v>
      </c>
      <c r="K16" s="6">
        <f xml:space="preserve"> $C$54 * 0.2138 * K4</f>
        <v>92.728716858217197</v>
      </c>
      <c r="L16" s="6" t="s">
        <v>7</v>
      </c>
      <c r="N16" s="32" t="s">
        <v>24</v>
      </c>
      <c r="O16" s="35"/>
      <c r="P16" s="35"/>
      <c r="U16" s="2">
        <v>12</v>
      </c>
      <c r="V16" s="2">
        <f t="shared" si="7"/>
        <v>5.37109375E-2</v>
      </c>
      <c r="W16" s="2">
        <f t="shared" si="0"/>
        <v>1.7662263667221623E-5</v>
      </c>
      <c r="X16" s="2">
        <f t="shared" si="8"/>
        <v>5.3955078125E-2</v>
      </c>
      <c r="Y16" s="2">
        <f t="shared" si="1"/>
        <v>-2.2676739137002244E-4</v>
      </c>
      <c r="Z16" s="2">
        <f t="shared" si="3"/>
        <v>5.38330078125E-2</v>
      </c>
      <c r="AA16" s="2">
        <f t="shared" si="2"/>
        <v>-1.0455240423189183E-4</v>
      </c>
      <c r="AB16" s="2">
        <f t="shared" si="4"/>
        <v>-1.8466321305856112E-9</v>
      </c>
      <c r="AC16" s="2">
        <f t="shared" si="5"/>
        <v>2.3709075969130204E-8</v>
      </c>
      <c r="AD16" s="2">
        <f t="shared" si="6"/>
        <v>2.44140625E-4</v>
      </c>
      <c r="AF16" s="2">
        <v>12</v>
      </c>
      <c r="AG16" s="2">
        <f t="shared" si="13"/>
        <v>3130.126953125</v>
      </c>
      <c r="AH16" s="2">
        <v>-0.11210716611458338</v>
      </c>
      <c r="AI16" s="2">
        <f t="shared" si="14"/>
        <v>3134.765625</v>
      </c>
      <c r="AJ16" s="2">
        <v>2.0664506308539785</v>
      </c>
      <c r="AK16" s="2">
        <f t="shared" si="9"/>
        <v>3132.4462890625</v>
      </c>
      <c r="AL16" s="2">
        <v>0.97726051688459847</v>
      </c>
      <c r="AM16" s="2">
        <f t="shared" si="10"/>
        <v>-0.1095579071036053</v>
      </c>
      <c r="AN16" s="2">
        <f t="shared" si="11"/>
        <v>2.0194606116248637</v>
      </c>
      <c r="AO16" s="2">
        <f t="shared" si="12"/>
        <v>4.638671875</v>
      </c>
    </row>
    <row r="17" spans="2:41" x14ac:dyDescent="0.2">
      <c r="B17" s="33" t="s">
        <v>110</v>
      </c>
      <c r="C17" s="33"/>
      <c r="D17" s="33"/>
      <c r="F17" s="6" t="s">
        <v>124</v>
      </c>
      <c r="G17" s="6">
        <f>G16/$C$49</f>
        <v>0.34766955428383156</v>
      </c>
      <c r="H17" s="6" t="s">
        <v>122</v>
      </c>
      <c r="J17" s="13" t="s">
        <v>77</v>
      </c>
      <c r="K17" s="6">
        <f xml:space="preserve"> $C$54 * 0.1149 * K4</f>
        <v>49.834095261969864</v>
      </c>
      <c r="L17" s="6" t="s">
        <v>7</v>
      </c>
      <c r="N17" s="6" t="s">
        <v>25</v>
      </c>
      <c r="O17" s="6">
        <f xml:space="preserve"> ACOS(O14)/PI()*180</f>
        <v>4.5833633991958935</v>
      </c>
      <c r="P17" s="6" t="s">
        <v>40</v>
      </c>
      <c r="U17" s="2">
        <v>13</v>
      </c>
      <c r="V17" s="2">
        <f t="shared" si="7"/>
        <v>5.37109375E-2</v>
      </c>
      <c r="W17" s="2">
        <f t="shared" si="0"/>
        <v>1.7662263667221623E-5</v>
      </c>
      <c r="X17" s="2">
        <f t="shared" si="8"/>
        <v>5.38330078125E-2</v>
      </c>
      <c r="Y17" s="2">
        <f t="shared" si="1"/>
        <v>-1.0455240423189183E-4</v>
      </c>
      <c r="Z17" s="2">
        <f t="shared" si="3"/>
        <v>5.377197265625E-2</v>
      </c>
      <c r="AA17" s="2">
        <f t="shared" si="2"/>
        <v>-4.3445030373914784E-5</v>
      </c>
      <c r="AB17" s="2">
        <f t="shared" si="4"/>
        <v>-7.6733758149453487E-10</v>
      </c>
      <c r="AC17" s="2">
        <f t="shared" si="5"/>
        <v>4.542282377520357E-9</v>
      </c>
      <c r="AD17" s="2">
        <f t="shared" si="6"/>
        <v>1.220703125E-4</v>
      </c>
      <c r="AF17" s="2">
        <v>13</v>
      </c>
      <c r="AG17" s="2">
        <f t="shared" si="13"/>
        <v>3130.126953125</v>
      </c>
      <c r="AH17" s="2">
        <v>-0.11210716611458338</v>
      </c>
      <c r="AI17" s="2">
        <f t="shared" si="14"/>
        <v>3132.4462890625</v>
      </c>
      <c r="AJ17" s="2">
        <v>0.97726051688459847</v>
      </c>
      <c r="AK17" s="2">
        <f t="shared" si="9"/>
        <v>3131.28662109375</v>
      </c>
      <c r="AL17" s="2">
        <v>0.43259878191975076</v>
      </c>
      <c r="AM17" s="2">
        <f t="shared" si="10"/>
        <v>-4.8497423505643927E-2</v>
      </c>
      <c r="AN17" s="2">
        <f t="shared" si="11"/>
        <v>0.4227617092225433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7694.3967967117615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138.66901787381832</v>
      </c>
      <c r="L18" s="6" t="s">
        <v>7</v>
      </c>
      <c r="N18" s="6" t="s">
        <v>19</v>
      </c>
      <c r="O18" s="6">
        <f xml:space="preserve"> O13 / $C$18</f>
        <v>7694.3967967117615</v>
      </c>
      <c r="P18" s="6" t="s">
        <v>20</v>
      </c>
      <c r="U18" s="2">
        <v>14</v>
      </c>
      <c r="V18" s="2">
        <f t="shared" si="7"/>
        <v>5.37109375E-2</v>
      </c>
      <c r="W18" s="2">
        <f t="shared" si="0"/>
        <v>1.7662263667221623E-5</v>
      </c>
      <c r="X18" s="2">
        <f t="shared" si="8"/>
        <v>5.377197265625E-2</v>
      </c>
      <c r="Y18" s="2">
        <f t="shared" si="1"/>
        <v>-4.3445030373914784E-5</v>
      </c>
      <c r="Z18" s="2">
        <f t="shared" si="3"/>
        <v>5.3741455078125E-2</v>
      </c>
      <c r="AA18" s="2">
        <f t="shared" si="2"/>
        <v>-1.2891373375796544E-5</v>
      </c>
      <c r="AB18" s="2">
        <f t="shared" si="4"/>
        <v>-2.2769083559591946E-10</v>
      </c>
      <c r="AC18" s="2">
        <f t="shared" si="5"/>
        <v>5.6006610787295722E-10</v>
      </c>
      <c r="AD18" s="2">
        <f t="shared" si="6"/>
        <v>6.103515625E-5</v>
      </c>
      <c r="AF18" s="2">
        <v>14</v>
      </c>
      <c r="AG18" s="2">
        <f t="shared" si="13"/>
        <v>3130.126953125</v>
      </c>
      <c r="AH18" s="2">
        <v>-0.11210716611458338</v>
      </c>
      <c r="AI18" s="2">
        <f t="shared" si="14"/>
        <v>3131.28662109375</v>
      </c>
      <c r="AJ18" s="2">
        <v>0.43259878191975076</v>
      </c>
      <c r="AK18" s="2">
        <f t="shared" si="9"/>
        <v>3130.706787109375</v>
      </c>
      <c r="AL18" s="2">
        <v>0.16025761628452528</v>
      </c>
      <c r="AM18" s="2">
        <f t="shared" si="10"/>
        <v>-1.7966027209936439E-2</v>
      </c>
      <c r="AN18" s="2">
        <f t="shared" si="11"/>
        <v>6.9327249598048452E-2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66.869720471377263</v>
      </c>
      <c r="H19" s="6" t="s">
        <v>101</v>
      </c>
      <c r="J19" s="14" t="s">
        <v>61</v>
      </c>
      <c r="K19" s="6">
        <f xml:space="preserve"> $C$55 * C31 * $C$5</f>
        <v>35.05992124868218</v>
      </c>
      <c r="L19" s="6" t="s">
        <v>7</v>
      </c>
      <c r="N19" s="6" t="s">
        <v>26</v>
      </c>
      <c r="O19" s="6">
        <f>$C$7*2*PI()/60</f>
        <v>25.175962715689447</v>
      </c>
      <c r="P19" s="6" t="s">
        <v>27</v>
      </c>
      <c r="U19" s="2">
        <v>15</v>
      </c>
      <c r="V19" s="2">
        <f t="shared" si="7"/>
        <v>5.37109375E-2</v>
      </c>
      <c r="W19" s="2">
        <f t="shared" si="0"/>
        <v>1.7662263667221623E-5</v>
      </c>
      <c r="X19" s="2">
        <f t="shared" si="8"/>
        <v>5.3741455078125E-2</v>
      </c>
      <c r="Y19" s="2">
        <f t="shared" si="1"/>
        <v>-1.2891373375796544E-5</v>
      </c>
      <c r="Z19" s="2">
        <f t="shared" si="3"/>
        <v>5.37261962890625E-2</v>
      </c>
      <c r="AA19" s="2">
        <f t="shared" si="2"/>
        <v>2.385447640154692E-6</v>
      </c>
      <c r="AB19" s="2">
        <f t="shared" si="4"/>
        <v>4.2132405184763779E-11</v>
      </c>
      <c r="AC19" s="2">
        <f t="shared" si="5"/>
        <v>-3.0751696197646891E-11</v>
      </c>
      <c r="AD19" s="2">
        <f t="shared" si="6"/>
        <v>3.0517578125E-5</v>
      </c>
      <c r="AF19" s="2">
        <v>15</v>
      </c>
      <c r="AG19" s="2">
        <f t="shared" si="13"/>
        <v>3130.126953125</v>
      </c>
      <c r="AH19" s="2">
        <v>-0.11210716611458338</v>
      </c>
      <c r="AI19" s="2">
        <f t="shared" si="14"/>
        <v>3130.706787109375</v>
      </c>
      <c r="AJ19" s="2">
        <v>0.16025761628452528</v>
      </c>
      <c r="AK19" s="2">
        <f t="shared" si="9"/>
        <v>3130.4168701171875</v>
      </c>
      <c r="AL19" s="2">
        <v>2.4071882980933879E-2</v>
      </c>
      <c r="AM19" s="2">
        <f t="shared" si="10"/>
        <v>-2.6986305840343669E-3</v>
      </c>
      <c r="AN19" s="2">
        <f t="shared" si="11"/>
        <v>3.857702586004496E-3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11.74071268012111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0.57782821275272434</v>
      </c>
      <c r="U20" s="2">
        <v>16</v>
      </c>
      <c r="V20" s="2">
        <f t="shared" si="7"/>
        <v>5.37261962890625E-2</v>
      </c>
      <c r="W20" s="2">
        <f t="shared" si="0"/>
        <v>2.385447640154692E-6</v>
      </c>
      <c r="X20" s="2">
        <f t="shared" si="8"/>
        <v>5.3741455078125E-2</v>
      </c>
      <c r="Y20" s="2">
        <f t="shared" si="1"/>
        <v>-1.2891373375796544E-5</v>
      </c>
      <c r="Z20" s="2">
        <f t="shared" si="3"/>
        <v>5.373382568359375E-2</v>
      </c>
      <c r="AA20" s="2">
        <f t="shared" si="2"/>
        <v>-5.2529622442190615E-6</v>
      </c>
      <c r="AB20" s="2">
        <f t="shared" si="4"/>
        <v>-1.2530666389294056E-11</v>
      </c>
      <c r="AC20" s="2">
        <f t="shared" si="5"/>
        <v>6.7717897619190074E-11</v>
      </c>
      <c r="AD20" s="2">
        <f t="shared" si="6"/>
        <v>1.52587890625E-5</v>
      </c>
      <c r="AF20" s="2">
        <v>16</v>
      </c>
      <c r="AG20" s="2">
        <f t="shared" si="13"/>
        <v>3130.126953125</v>
      </c>
      <c r="AH20" s="2">
        <v>-0.11210716611458338</v>
      </c>
      <c r="AI20" s="2">
        <f t="shared" si="14"/>
        <v>3130.4168701171875</v>
      </c>
      <c r="AJ20" s="2">
        <v>2.4071882980933879E-2</v>
      </c>
      <c r="AK20" s="2">
        <f t="shared" si="9"/>
        <v>3130.2719116210938</v>
      </c>
      <c r="AL20" s="2">
        <v>-4.4018477105510101E-2</v>
      </c>
      <c r="AM20" s="2">
        <f t="shared" si="10"/>
        <v>4.9347867249784063E-3</v>
      </c>
      <c r="AN20" s="2">
        <f t="shared" si="11"/>
        <v>-1.0596076298827561E-3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0.13999999999851373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8.5962767861881891E-3</v>
      </c>
      <c r="U21" s="2">
        <v>17</v>
      </c>
      <c r="V21" s="2">
        <f t="shared" si="7"/>
        <v>5.37261962890625E-2</v>
      </c>
      <c r="W21" s="2">
        <f t="shared" si="0"/>
        <v>2.385447640154692E-6</v>
      </c>
      <c r="X21" s="2">
        <f t="shared" si="8"/>
        <v>5.373382568359375E-2</v>
      </c>
      <c r="Y21" s="2">
        <f t="shared" si="1"/>
        <v>-5.2529622442190615E-6</v>
      </c>
      <c r="Z21" s="2">
        <f t="shared" si="3"/>
        <v>5.3730010986328125E-2</v>
      </c>
      <c r="AA21" s="2">
        <f t="shared" si="2"/>
        <v>-1.433757146132586E-6</v>
      </c>
      <c r="AB21" s="2">
        <f t="shared" si="4"/>
        <v>-3.4201526007969033E-12</v>
      </c>
      <c r="AC21" s="2">
        <f t="shared" si="5"/>
        <v>7.5314721560137457E-12</v>
      </c>
      <c r="AD21" s="2">
        <f t="shared" si="6"/>
        <v>7.62939453125E-6</v>
      </c>
      <c r="AF21" s="2">
        <v>17</v>
      </c>
      <c r="AG21" s="2">
        <f t="shared" si="13"/>
        <v>3130.2719116210938</v>
      </c>
      <c r="AH21" s="2">
        <v>-4.4018477105510101E-2</v>
      </c>
      <c r="AI21" s="2">
        <f t="shared" si="14"/>
        <v>3130.4168701171875</v>
      </c>
      <c r="AJ21" s="2">
        <v>2.4071882980933879E-2</v>
      </c>
      <c r="AK21" s="2">
        <f t="shared" si="9"/>
        <v>3130.3443908691406</v>
      </c>
      <c r="AL21" s="2">
        <v>-9.9651163250200625E-3</v>
      </c>
      <c r="AM21" s="2">
        <f t="shared" si="10"/>
        <v>4.3864924480664056E-4</v>
      </c>
      <c r="AN21" s="2">
        <f t="shared" si="11"/>
        <v>-2.3987911406727681E-4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267.47888188550905</v>
      </c>
      <c r="H22" s="25" t="s">
        <v>101</v>
      </c>
      <c r="J22" s="14" t="s">
        <v>112</v>
      </c>
      <c r="K22" s="6">
        <f>$C$55*(0.14*$G$12*1000/745.7)*0.453592</f>
        <v>24.623204341420667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5.37261962890625E-2</v>
      </c>
      <c r="W22" s="2">
        <f t="shared" si="0"/>
        <v>2.385447640154692E-6</v>
      </c>
      <c r="X22" s="2">
        <f t="shared" si="8"/>
        <v>5.3730010986328125E-2</v>
      </c>
      <c r="Y22" s="2">
        <f t="shared" si="1"/>
        <v>-1.433757146132586E-6</v>
      </c>
      <c r="Z22" s="2">
        <f t="shared" si="3"/>
        <v>5.3728103637695312E-2</v>
      </c>
      <c r="AA22" s="2">
        <f t="shared" si="2"/>
        <v>4.7584528598682008E-7</v>
      </c>
      <c r="AB22" s="2">
        <f t="shared" si="4"/>
        <v>1.1351040145359946E-12</v>
      </c>
      <c r="AC22" s="2">
        <f t="shared" si="5"/>
        <v>-6.8224657923710737E-13</v>
      </c>
      <c r="AD22" s="2">
        <f t="shared" si="6"/>
        <v>3.814697265625E-6</v>
      </c>
      <c r="AF22" s="2">
        <v>18</v>
      </c>
      <c r="AG22" s="2">
        <f t="shared" si="13"/>
        <v>3130.3443908691406</v>
      </c>
      <c r="AH22" s="2">
        <v>-9.9651163250200625E-3</v>
      </c>
      <c r="AI22" s="2">
        <f t="shared" si="14"/>
        <v>3130.4168701171875</v>
      </c>
      <c r="AJ22" s="2">
        <v>2.4071882980933879E-2</v>
      </c>
      <c r="AK22" s="2">
        <f t="shared" si="9"/>
        <v>3130.3806304931641</v>
      </c>
      <c r="AL22" s="2">
        <v>7.0449414374706976E-3</v>
      </c>
      <c r="AM22" s="2">
        <f t="shared" si="10"/>
        <v>-7.0203660927349557E-5</v>
      </c>
      <c r="AN22" s="2">
        <f t="shared" si="11"/>
        <v>1.6958500589032673E-4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67.114706390334447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18053.924482575774</v>
      </c>
      <c r="P23" s="6" t="s">
        <v>18</v>
      </c>
      <c r="U23" s="2">
        <v>19</v>
      </c>
      <c r="V23" s="2">
        <f t="shared" si="7"/>
        <v>5.3728103637695312E-2</v>
      </c>
      <c r="W23" s="2">
        <f t="shared" si="0"/>
        <v>4.7584528598682008E-7</v>
      </c>
      <c r="X23" s="2">
        <f t="shared" si="8"/>
        <v>5.3730010986328125E-2</v>
      </c>
      <c r="Y23" s="2">
        <f t="shared" si="1"/>
        <v>-1.433757146132586E-6</v>
      </c>
      <c r="Z23" s="2">
        <f t="shared" si="3"/>
        <v>5.3729057312011719E-2</v>
      </c>
      <c r="AA23" s="2">
        <f t="shared" si="2"/>
        <v>-4.7895592032720646E-7</v>
      </c>
      <c r="AB23" s="2">
        <f t="shared" si="4"/>
        <v>-2.2790891688318015E-13</v>
      </c>
      <c r="AC23" s="2">
        <f t="shared" si="5"/>
        <v>6.8670647345164178E-13</v>
      </c>
      <c r="AD23" s="2">
        <f t="shared" si="6"/>
        <v>1.9073486328125E-6</v>
      </c>
      <c r="AF23" s="2">
        <v>19</v>
      </c>
      <c r="AG23" s="2">
        <f t="shared" si="13"/>
        <v>3130.3443908691406</v>
      </c>
      <c r="AH23" s="2">
        <v>-9.9651163250200625E-3</v>
      </c>
      <c r="AI23" s="2">
        <f t="shared" si="14"/>
        <v>3130.3806304931641</v>
      </c>
      <c r="AJ23" s="2">
        <v>7.0449414374706976E-3</v>
      </c>
      <c r="AK23" s="2">
        <f t="shared" si="9"/>
        <v>3130.3625106811523</v>
      </c>
      <c r="AL23" s="2">
        <v>-1.4601004600081069E-3</v>
      </c>
      <c r="AM23" s="2">
        <f t="shared" si="10"/>
        <v>1.4550070930196088E-5</v>
      </c>
      <c r="AN23" s="2">
        <f t="shared" si="11"/>
        <v>-1.028632223358114E-5</v>
      </c>
      <c r="AO23" s="2">
        <f t="shared" si="12"/>
        <v>3.62396240234375E-2</v>
      </c>
    </row>
    <row r="24" spans="2:41" x14ac:dyDescent="0.2">
      <c r="B24" s="33" t="s">
        <v>104</v>
      </c>
      <c r="C24" s="33"/>
      <c r="D24" s="33"/>
      <c r="F24" s="32" t="s">
        <v>81</v>
      </c>
      <c r="G24" s="34"/>
      <c r="H24" s="34"/>
      <c r="J24" s="15" t="s">
        <v>65</v>
      </c>
      <c r="K24" s="6">
        <f xml:space="preserve"> $C$56 * (11.5 * ($C$5*2.20462/1000)^0.4 * 0.453592)</f>
        <v>9.0369915513696242</v>
      </c>
      <c r="L24" s="6" t="s">
        <v>7</v>
      </c>
      <c r="N24" s="6" t="s">
        <v>31</v>
      </c>
      <c r="O24" s="18">
        <f>Z34</f>
        <v>5.3728579077869654E-2</v>
      </c>
      <c r="U24" s="2">
        <v>20</v>
      </c>
      <c r="V24" s="2">
        <f t="shared" si="7"/>
        <v>5.3728103637695312E-2</v>
      </c>
      <c r="W24" s="2">
        <f t="shared" si="0"/>
        <v>4.7584528598682008E-7</v>
      </c>
      <c r="X24" s="2">
        <f t="shared" si="8"/>
        <v>5.3729057312011719E-2</v>
      </c>
      <c r="Y24" s="2">
        <f t="shared" si="1"/>
        <v>-4.7895592032720646E-7</v>
      </c>
      <c r="Z24" s="2">
        <f t="shared" si="3"/>
        <v>5.3728580474853516E-2</v>
      </c>
      <c r="AA24" s="2">
        <f t="shared" si="2"/>
        <v>-1.5553147311719862E-9</v>
      </c>
      <c r="AB24" s="2">
        <f t="shared" si="4"/>
        <v>-7.4008918305404789E-16</v>
      </c>
      <c r="AC24" s="2">
        <f t="shared" si="5"/>
        <v>7.4492719846694031E-16</v>
      </c>
      <c r="AD24" s="2">
        <f t="shared" si="6"/>
        <v>9.5367431640625E-7</v>
      </c>
      <c r="AF24" s="2">
        <v>20</v>
      </c>
      <c r="AG24" s="2">
        <f t="shared" si="13"/>
        <v>3130.3625106811523</v>
      </c>
      <c r="AH24" s="2">
        <v>-1.4601004600081069E-3</v>
      </c>
      <c r="AI24" s="2">
        <f t="shared" si="14"/>
        <v>3130.3806304931641</v>
      </c>
      <c r="AJ24" s="2">
        <v>7.0449414374706976E-3</v>
      </c>
      <c r="AK24" s="2">
        <f t="shared" si="9"/>
        <v>3130.3715705871582</v>
      </c>
      <c r="AL24" s="2">
        <v>2.7924172345592524E-3</v>
      </c>
      <c r="AM24" s="2">
        <f t="shared" si="10"/>
        <v>-4.07720968871453E-6</v>
      </c>
      <c r="AN24" s="2">
        <f t="shared" si="11"/>
        <v>1.9672415886453809E-5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20.034240713532672</v>
      </c>
      <c r="L25" s="6" t="s">
        <v>7</v>
      </c>
      <c r="N25" s="6" t="s">
        <v>32</v>
      </c>
      <c r="O25" s="6">
        <f xml:space="preserve"> O19 * $C$9 * O24 - $C$8 * SIN(O17/180*PI())</f>
        <v>0.85676188958927746</v>
      </c>
      <c r="P25" s="6" t="s">
        <v>10</v>
      </c>
      <c r="U25" s="2">
        <v>21</v>
      </c>
      <c r="V25" s="2">
        <f t="shared" si="7"/>
        <v>5.3728103637695312E-2</v>
      </c>
      <c r="W25" s="2">
        <f t="shared" si="0"/>
        <v>4.7584528598682008E-7</v>
      </c>
      <c r="X25" s="2">
        <f t="shared" si="8"/>
        <v>5.3728580474853516E-2</v>
      </c>
      <c r="Y25" s="2">
        <f t="shared" si="1"/>
        <v>-1.5553147311719862E-9</v>
      </c>
      <c r="Z25" s="2">
        <f t="shared" si="3"/>
        <v>5.3728342056274414E-2</v>
      </c>
      <c r="AA25" s="2">
        <f t="shared" si="2"/>
        <v>2.3714498623844671E-7</v>
      </c>
      <c r="AB25" s="2">
        <f t="shared" si="4"/>
        <v>1.1284432379697418E-13</v>
      </c>
      <c r="AC25" s="2">
        <f t="shared" si="5"/>
        <v>-3.6883509052023409E-16</v>
      </c>
      <c r="AD25" s="2">
        <f t="shared" si="6"/>
        <v>4.76837158203125E-7</v>
      </c>
      <c r="AF25" s="2">
        <v>21</v>
      </c>
      <c r="AG25" s="2">
        <f t="shared" si="13"/>
        <v>3130.3625106811523</v>
      </c>
      <c r="AH25" s="2">
        <v>-1.4601004600081069E-3</v>
      </c>
      <c r="AI25" s="2">
        <f t="shared" si="14"/>
        <v>3130.3715705871582</v>
      </c>
      <c r="AJ25" s="2">
        <v>2.7924172345592524E-3</v>
      </c>
      <c r="AK25" s="2">
        <f t="shared" si="9"/>
        <v>3130.3670406341553</v>
      </c>
      <c r="AL25" s="2">
        <v>6.6615757305044099E-4</v>
      </c>
      <c r="AM25" s="2">
        <f t="shared" si="10"/>
        <v>-9.7265697884883292E-7</v>
      </c>
      <c r="AN25" s="2">
        <f t="shared" si="11"/>
        <v>1.8601898879182155E-6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58.117025582877751</v>
      </c>
      <c r="L26" s="6" t="s">
        <v>7</v>
      </c>
      <c r="N26" s="6" t="s">
        <v>33</v>
      </c>
      <c r="O26" s="6">
        <f xml:space="preserve"> 1/$C$21 - O23 * SQRT( (2*$C$47*PI()*$C$9^2) / O18^3 )</f>
        <v>1.0239413974377978</v>
      </c>
      <c r="U26" s="2">
        <v>22</v>
      </c>
      <c r="V26" s="2">
        <f t="shared" si="7"/>
        <v>5.3728342056274414E-2</v>
      </c>
      <c r="W26" s="2">
        <f t="shared" si="0"/>
        <v>2.3714498623844671E-7</v>
      </c>
      <c r="X26" s="2">
        <f t="shared" si="8"/>
        <v>5.3728580474853516E-2</v>
      </c>
      <c r="Y26" s="2">
        <f t="shared" si="1"/>
        <v>-1.5553147311719862E-9</v>
      </c>
      <c r="Z26" s="2">
        <f t="shared" si="3"/>
        <v>5.3728461265563965E-2</v>
      </c>
      <c r="AA26" s="2">
        <f t="shared" si="2"/>
        <v>1.1779483589935413E-7</v>
      </c>
      <c r="AB26" s="2">
        <f t="shared" si="4"/>
        <v>2.7934454738312425E-14</v>
      </c>
      <c r="AC26" s="2">
        <f t="shared" si="5"/>
        <v>-1.832080435302522E-16</v>
      </c>
      <c r="AD26" s="2">
        <f t="shared" si="6"/>
        <v>2.384185791015625E-7</v>
      </c>
      <c r="AF26" s="2">
        <v>22</v>
      </c>
      <c r="AG26" s="2">
        <f t="shared" si="13"/>
        <v>3130.3625106811523</v>
      </c>
      <c r="AH26" s="2">
        <v>-1.4601004600081069E-3</v>
      </c>
      <c r="AI26" s="2">
        <f t="shared" si="14"/>
        <v>3130.3670406341553</v>
      </c>
      <c r="AJ26" s="2">
        <v>6.6615757305044099E-4</v>
      </c>
      <c r="AK26" s="2">
        <f t="shared" si="9"/>
        <v>3130.3647756576538</v>
      </c>
      <c r="AL26" s="2">
        <v>-3.969716494793829E-4</v>
      </c>
      <c r="AM26" s="2">
        <f t="shared" si="10"/>
        <v>5.796184880150239E-7</v>
      </c>
      <c r="AN26" s="2">
        <f t="shared" si="11"/>
        <v>-2.6444567058701605E-7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-7.2886137586465338E-3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5.3728461265563965E-2</v>
      </c>
      <c r="W27" s="2">
        <f t="shared" si="0"/>
        <v>1.1779483589935413E-7</v>
      </c>
      <c r="X27" s="2">
        <f t="shared" si="8"/>
        <v>5.3728580474853516E-2</v>
      </c>
      <c r="Y27" s="2">
        <f t="shared" si="1"/>
        <v>-1.5553147311719862E-9</v>
      </c>
      <c r="Z27" s="2">
        <f t="shared" si="3"/>
        <v>5.372852087020874E-2</v>
      </c>
      <c r="AA27" s="2">
        <f t="shared" si="2"/>
        <v>5.811976062225499E-8</v>
      </c>
      <c r="AB27" s="2">
        <f t="shared" si="4"/>
        <v>6.8462076650082705E-15</v>
      </c>
      <c r="AC27" s="2">
        <f t="shared" si="5"/>
        <v>-9.039451986798271E-17</v>
      </c>
      <c r="AD27" s="2">
        <f t="shared" si="6"/>
        <v>1.1920928955078125E-7</v>
      </c>
      <c r="AF27" s="2">
        <v>23</v>
      </c>
      <c r="AG27" s="2">
        <f t="shared" si="13"/>
        <v>3130.3647756576538</v>
      </c>
      <c r="AH27" s="2">
        <v>-3.969716494793829E-4</v>
      </c>
      <c r="AI27" s="2">
        <f t="shared" si="14"/>
        <v>3130.3670406341553</v>
      </c>
      <c r="AJ27" s="2">
        <v>6.6615757305044099E-4</v>
      </c>
      <c r="AK27" s="2">
        <f t="shared" si="9"/>
        <v>3130.3659081459045</v>
      </c>
      <c r="AL27" s="2">
        <v>1.345929122180678E-4</v>
      </c>
      <c r="AM27" s="2">
        <f t="shared" si="10"/>
        <v>-5.3429570371440158E-8</v>
      </c>
      <c r="AN27" s="2">
        <f t="shared" si="11"/>
        <v>8.9660087752979092E-8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7670.5247617238592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1.1507508984912409</v>
      </c>
      <c r="U28" s="2">
        <v>24</v>
      </c>
      <c r="V28" s="2">
        <f t="shared" si="7"/>
        <v>5.372852087020874E-2</v>
      </c>
      <c r="W28" s="2">
        <f t="shared" si="0"/>
        <v>5.811976062225499E-8</v>
      </c>
      <c r="X28" s="2">
        <f t="shared" si="8"/>
        <v>5.3728580474853516E-2</v>
      </c>
      <c r="Y28" s="2">
        <f t="shared" si="1"/>
        <v>-1.5553147311719862E-9</v>
      </c>
      <c r="Z28" s="2">
        <f t="shared" si="3"/>
        <v>5.3728550672531128E-2</v>
      </c>
      <c r="AA28" s="2">
        <f t="shared" si="2"/>
        <v>2.8282222952480396E-8</v>
      </c>
      <c r="AB28" s="2">
        <f t="shared" si="4"/>
        <v>1.6437560278634064E-15</v>
      </c>
      <c r="AC28" s="2">
        <f t="shared" si="5"/>
        <v>-4.3987757988283223E-17</v>
      </c>
      <c r="AD28" s="2">
        <f t="shared" si="6"/>
        <v>5.9604644775390625E-8</v>
      </c>
      <c r="AF28" s="2">
        <v>24</v>
      </c>
      <c r="AG28" s="2">
        <f t="shared" si="13"/>
        <v>3130.3647756576538</v>
      </c>
      <c r="AH28" s="2">
        <v>-3.969716494793829E-4</v>
      </c>
      <c r="AI28" s="2">
        <f t="shared" si="14"/>
        <v>3130.3659081459045</v>
      </c>
      <c r="AJ28" s="2">
        <v>1.345929122180678E-4</v>
      </c>
      <c r="AK28" s="2">
        <f t="shared" si="9"/>
        <v>3130.3653419017792</v>
      </c>
      <c r="AL28" s="2">
        <v>-1.3118937886247295E-4</v>
      </c>
      <c r="AM28" s="2">
        <f t="shared" si="10"/>
        <v>5.2078464121211573E-8</v>
      </c>
      <c r="AN28" s="2">
        <f t="shared" si="11"/>
        <v>-1.765716055317966E-8</v>
      </c>
      <c r="AO28" s="2">
        <f t="shared" si="12"/>
        <v>1.1324882507324219E-3</v>
      </c>
    </row>
    <row r="29" spans="2:41" x14ac:dyDescent="0.2">
      <c r="B29" s="33" t="s">
        <v>108</v>
      </c>
      <c r="C29" s="33"/>
      <c r="D29" s="33"/>
      <c r="F29" t="s">
        <v>97</v>
      </c>
      <c r="G29" s="6">
        <f>G31/$C$18</f>
        <v>76.270902000759321</v>
      </c>
      <c r="H29" t="s">
        <v>18</v>
      </c>
      <c r="U29" s="2">
        <v>25</v>
      </c>
      <c r="V29" s="2">
        <f t="shared" si="7"/>
        <v>5.3728550672531128E-2</v>
      </c>
      <c r="W29" s="2">
        <f t="shared" si="0"/>
        <v>2.8282222952480396E-8</v>
      </c>
      <c r="X29" s="2">
        <f t="shared" si="8"/>
        <v>5.3728580474853516E-2</v>
      </c>
      <c r="Y29" s="2">
        <f t="shared" si="1"/>
        <v>-1.5553147311719862E-9</v>
      </c>
      <c r="Z29" s="2">
        <f t="shared" si="3"/>
        <v>5.3728565573692322E-2</v>
      </c>
      <c r="AA29" s="2">
        <f t="shared" si="2"/>
        <v>1.3363454107184758E-8</v>
      </c>
      <c r="AB29" s="2">
        <f t="shared" si="4"/>
        <v>3.7794818847463917E-16</v>
      </c>
      <c r="AC29" s="2">
        <f t="shared" si="5"/>
        <v>-2.0784377032245237E-17</v>
      </c>
      <c r="AD29" s="2">
        <f t="shared" si="6"/>
        <v>2.9802322387695312E-8</v>
      </c>
      <c r="AF29" s="2">
        <v>25</v>
      </c>
      <c r="AG29" s="2">
        <f t="shared" si="13"/>
        <v>3130.3653419017792</v>
      </c>
      <c r="AH29" s="2">
        <v>-1.3118937886247295E-4</v>
      </c>
      <c r="AI29" s="2">
        <f t="shared" si="14"/>
        <v>3130.3659081459045</v>
      </c>
      <c r="AJ29" s="2">
        <v>1.345929122180678E-4</v>
      </c>
      <c r="AK29" s="2">
        <f t="shared" si="9"/>
        <v>3130.3656250238419</v>
      </c>
      <c r="AL29" s="2">
        <v>-6.6879147198051214E-6</v>
      </c>
      <c r="AM29" s="2">
        <f t="shared" si="10"/>
        <v>8.773833779764237E-10</v>
      </c>
      <c r="AN29" s="2">
        <f t="shared" si="11"/>
        <v>-9.0014591880465418E-10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10.260630297312845</v>
      </c>
      <c r="H30" s="6" t="s">
        <v>147</v>
      </c>
      <c r="J30" s="30" t="s">
        <v>111</v>
      </c>
      <c r="K30" s="30"/>
      <c r="L30" s="30"/>
      <c r="U30" s="2">
        <v>26</v>
      </c>
      <c r="V30" s="2">
        <f t="shared" si="7"/>
        <v>5.3728565573692322E-2</v>
      </c>
      <c r="W30" s="2">
        <f t="shared" si="0"/>
        <v>1.3363454107184758E-8</v>
      </c>
      <c r="X30" s="2">
        <f t="shared" si="8"/>
        <v>5.3728580474853516E-2</v>
      </c>
      <c r="Y30" s="2">
        <f t="shared" si="1"/>
        <v>-1.5553147311719862E-9</v>
      </c>
      <c r="Z30" s="2">
        <f t="shared" si="3"/>
        <v>5.3728573024272919E-2</v>
      </c>
      <c r="AA30" s="2">
        <f t="shared" si="2"/>
        <v>5.9040696914758328E-9</v>
      </c>
      <c r="AB30" s="2">
        <f t="shared" si="4"/>
        <v>7.8898764367657762E-17</v>
      </c>
      <c r="AC30" s="2">
        <f t="shared" si="5"/>
        <v>-9.1826865650184066E-18</v>
      </c>
      <c r="AD30" s="2">
        <f t="shared" si="6"/>
        <v>1.4901161193847656E-8</v>
      </c>
      <c r="AF30" s="2">
        <v>26</v>
      </c>
      <c r="AG30" s="2">
        <f t="shared" si="13"/>
        <v>3130.3656250238419</v>
      </c>
      <c r="AH30" s="2">
        <v>-6.6879147198051214E-6</v>
      </c>
      <c r="AI30" s="2">
        <f t="shared" si="14"/>
        <v>3130.3659081459045</v>
      </c>
      <c r="AJ30" s="2">
        <v>1.345929122180678E-4</v>
      </c>
      <c r="AK30" s="2">
        <f t="shared" si="9"/>
        <v>3130.3657665848732</v>
      </c>
      <c r="AL30" s="2">
        <v>7.2342173552897293E-5</v>
      </c>
      <c r="AM30" s="2">
        <f t="shared" si="10"/>
        <v>-4.8381828736711857E-10</v>
      </c>
      <c r="AN30" s="2">
        <f t="shared" si="11"/>
        <v>9.736743814669331E-9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305.08360800303728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5.3728573024272919E-2</v>
      </c>
      <c r="W31" s="2">
        <f t="shared" si="0"/>
        <v>5.9040696914758328E-9</v>
      </c>
      <c r="X31" s="2">
        <f t="shared" si="8"/>
        <v>5.3728580474853516E-2</v>
      </c>
      <c r="Y31" s="2">
        <f t="shared" si="1"/>
        <v>-1.5553147311719862E-9</v>
      </c>
      <c r="Z31" s="2">
        <f t="shared" si="3"/>
        <v>5.3728576749563217E-2</v>
      </c>
      <c r="AA31" s="2">
        <f t="shared" si="2"/>
        <v>2.1743774766824764E-9</v>
      </c>
      <c r="AB31" s="2">
        <f t="shared" si="4"/>
        <v>1.2837676157908708E-17</v>
      </c>
      <c r="AC31" s="2">
        <f t="shared" si="5"/>
        <v>-3.3818413206128273E-18</v>
      </c>
      <c r="AD31" s="2">
        <f t="shared" si="6"/>
        <v>7.4505805969238281E-9</v>
      </c>
      <c r="AF31" s="2">
        <v>27</v>
      </c>
      <c r="AG31" s="2">
        <f t="shared" si="13"/>
        <v>3130.3656250238419</v>
      </c>
      <c r="AH31" s="2">
        <v>-6.6879147198051214E-6</v>
      </c>
      <c r="AI31" s="2">
        <f t="shared" si="14"/>
        <v>3130.3657665848732</v>
      </c>
      <c r="AJ31" s="2">
        <v>7.2342173552897293E-5</v>
      </c>
      <c r="AK31" s="2">
        <f t="shared" si="9"/>
        <v>3130.3656958043575</v>
      </c>
      <c r="AL31" s="2">
        <v>3.2827129416546086E-5</v>
      </c>
      <c r="AM31" s="2">
        <f t="shared" si="10"/>
        <v>-2.1954504203386627E-10</v>
      </c>
      <c r="AN31" s="2">
        <f t="shared" si="11"/>
        <v>2.374785893495197E-9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1346.82</v>
      </c>
      <c r="L32" s="6" t="s">
        <v>7</v>
      </c>
      <c r="U32" s="2">
        <v>28</v>
      </c>
      <c r="V32" s="2">
        <f t="shared" si="7"/>
        <v>5.3728576749563217E-2</v>
      </c>
      <c r="W32" s="2">
        <f t="shared" si="0"/>
        <v>2.1743774766824764E-9</v>
      </c>
      <c r="X32" s="2">
        <f t="shared" si="8"/>
        <v>5.3728580474853516E-2</v>
      </c>
      <c r="Y32" s="2">
        <f t="shared" si="1"/>
        <v>-1.5553147311719862E-9</v>
      </c>
      <c r="Z32" s="2">
        <f t="shared" si="3"/>
        <v>5.3728578612208366E-2</v>
      </c>
      <c r="AA32" s="2">
        <f t="shared" si="2"/>
        <v>3.0953137275524512E-10</v>
      </c>
      <c r="AB32" s="2">
        <f t="shared" si="4"/>
        <v>6.7303804524561289E-19</v>
      </c>
      <c r="AC32" s="2">
        <f t="shared" si="5"/>
        <v>-4.814187038061199E-19</v>
      </c>
      <c r="AD32" s="2">
        <f t="shared" si="6"/>
        <v>3.7252902984619141E-9</v>
      </c>
      <c r="AF32" s="2">
        <v>28</v>
      </c>
      <c r="AG32" s="2">
        <f t="shared" si="13"/>
        <v>3130.3656250238419</v>
      </c>
      <c r="AH32" s="2">
        <v>-6.6879147198051214E-6</v>
      </c>
      <c r="AI32" s="2">
        <f t="shared" si="14"/>
        <v>3130.3656958043575</v>
      </c>
      <c r="AJ32" s="2">
        <v>3.2827129416546086E-5</v>
      </c>
      <c r="AK32" s="2">
        <f t="shared" si="9"/>
        <v>3130.3656604140997</v>
      </c>
      <c r="AL32" s="2">
        <v>2.1459286926983623E-5</v>
      </c>
      <c r="AM32" s="2">
        <f t="shared" si="10"/>
        <v>-1.4351788091549538E-10</v>
      </c>
      <c r="AN32" s="2">
        <f t="shared" si="11"/>
        <v>7.0444678913888694E-10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4"/>
      <c r="H33" s="34"/>
      <c r="J33" s="19" t="s">
        <v>78</v>
      </c>
      <c r="K33" s="6">
        <f>ROUND(SUM(K14:K17),2)</f>
        <v>830.89</v>
      </c>
      <c r="L33" s="6" t="s">
        <v>7</v>
      </c>
      <c r="U33" s="2">
        <v>29</v>
      </c>
      <c r="V33" s="2">
        <f t="shared" si="7"/>
        <v>5.3728578612208366E-2</v>
      </c>
      <c r="W33" s="2">
        <f t="shared" si="0"/>
        <v>3.0953137275524512E-10</v>
      </c>
      <c r="X33" s="2">
        <f t="shared" si="8"/>
        <v>5.3728580474853516E-2</v>
      </c>
      <c r="Y33" s="2">
        <f t="shared" si="1"/>
        <v>-1.5553147311719862E-9</v>
      </c>
      <c r="Z33" s="2">
        <f t="shared" si="3"/>
        <v>5.3728579543530941E-2</v>
      </c>
      <c r="AA33" s="2">
        <f t="shared" si="2"/>
        <v>-6.2289168267781747E-10</v>
      </c>
      <c r="AB33" s="2">
        <f t="shared" si="4"/>
        <v>-1.9280451761708938E-19</v>
      </c>
      <c r="AC33" s="2">
        <f t="shared" si="5"/>
        <v>9.6879260999331578E-19</v>
      </c>
      <c r="AD33" s="2">
        <f t="shared" si="6"/>
        <v>1.862645149230957E-9</v>
      </c>
      <c r="AF33" s="2">
        <v>29</v>
      </c>
      <c r="AG33" s="2">
        <f t="shared" si="13"/>
        <v>3130.3656250238419</v>
      </c>
      <c r="AH33" s="2">
        <v>-6.6879147198051214E-6</v>
      </c>
      <c r="AI33" s="2">
        <f t="shared" si="14"/>
        <v>3130.3656604140997</v>
      </c>
      <c r="AJ33" s="2">
        <v>2.1459286926983623E-5</v>
      </c>
      <c r="AK33" s="2">
        <f t="shared" si="9"/>
        <v>3130.3656427189708</v>
      </c>
      <c r="AL33" s="2">
        <v>1.5775363863212988E-5</v>
      </c>
      <c r="AM33" s="2">
        <f t="shared" si="10"/>
        <v>-1.0550428819106393E-10</v>
      </c>
      <c r="AN33" s="2">
        <f t="shared" si="11"/>
        <v>3.3852805951825633E-10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198.35</v>
      </c>
      <c r="L34" s="6" t="s">
        <v>7</v>
      </c>
      <c r="U34" s="2">
        <v>30</v>
      </c>
      <c r="V34" s="2">
        <f t="shared" si="7"/>
        <v>5.3728578612208366E-2</v>
      </c>
      <c r="W34" s="2">
        <f t="shared" si="0"/>
        <v>3.0953137275524512E-10</v>
      </c>
      <c r="X34" s="2">
        <f t="shared" si="8"/>
        <v>5.3728579543530941E-2</v>
      </c>
      <c r="Y34" s="2">
        <f t="shared" si="1"/>
        <v>-6.2289168267781747E-10</v>
      </c>
      <c r="Z34" s="2">
        <f t="shared" si="3"/>
        <v>5.3728579077869654E-2</v>
      </c>
      <c r="AA34" s="2">
        <f t="shared" si="2"/>
        <v>-1.5668015496128618E-10</v>
      </c>
      <c r="AB34" s="2">
        <f t="shared" si="4"/>
        <v>-4.8497423448671439E-20</v>
      </c>
      <c r="AC34" s="2">
        <f t="shared" si="5"/>
        <v>9.7594765366056738E-20</v>
      </c>
      <c r="AD34" s="2">
        <f>X34-V34</f>
        <v>9.3132257461547852E-10</v>
      </c>
      <c r="AF34" s="2">
        <v>30</v>
      </c>
      <c r="AG34" s="2">
        <f t="shared" si="13"/>
        <v>3130.3656250238419</v>
      </c>
      <c r="AH34" s="2">
        <v>-6.6879147198051214E-6</v>
      </c>
      <c r="AI34" s="2">
        <f t="shared" si="14"/>
        <v>3130.3656427189708</v>
      </c>
      <c r="AJ34" s="2">
        <v>1.5775363863212988E-5</v>
      </c>
      <c r="AK34" s="2">
        <f t="shared" si="9"/>
        <v>3130.3656338714063</v>
      </c>
      <c r="AL34" s="2">
        <v>1.2933400284964591E-5</v>
      </c>
      <c r="AM34" s="2">
        <f t="shared" si="10"/>
        <v>-8.6497478142946442E-11</v>
      </c>
      <c r="AN34" s="2">
        <f t="shared" si="11"/>
        <v>2.0402909548389897E-10</v>
      </c>
      <c r="AO34" s="2">
        <f t="shared" si="12"/>
        <v>1.7695128917694092E-5</v>
      </c>
    </row>
    <row r="35" spans="2:41" x14ac:dyDescent="0.2">
      <c r="B35" s="30" t="s">
        <v>2</v>
      </c>
      <c r="C35" s="30"/>
      <c r="D35" s="30"/>
      <c r="F35" s="26" t="s">
        <v>132</v>
      </c>
      <c r="G35" s="25">
        <f xml:space="preserve"> G22</f>
        <v>267.47888188550905</v>
      </c>
      <c r="H35" s="25" t="s">
        <v>101</v>
      </c>
      <c r="J35" s="15" t="s">
        <v>70</v>
      </c>
      <c r="K35" s="6">
        <f>ROUND(SUM(K23:K26),2)</f>
        <v>154.30000000000001</v>
      </c>
      <c r="L35" s="6" t="s">
        <v>7</v>
      </c>
      <c r="AF35" s="2">
        <v>31</v>
      </c>
      <c r="AG35" s="2">
        <f t="shared" si="13"/>
        <v>3130.3656250238419</v>
      </c>
      <c r="AH35" s="2">
        <v>-6.6879147198051214E-6</v>
      </c>
      <c r="AI35" s="2">
        <f t="shared" si="14"/>
        <v>3130.3656338714063</v>
      </c>
      <c r="AJ35" s="2">
        <v>1.2933400284964591E-5</v>
      </c>
      <c r="AK35" s="2">
        <f t="shared" si="9"/>
        <v>3130.3656294476241</v>
      </c>
      <c r="AL35" s="2">
        <v>1.1512419405335095E-5</v>
      </c>
      <c r="AM35" s="2">
        <f t="shared" si="10"/>
        <v>-7.6994079201510703E-11</v>
      </c>
      <c r="AN35" s="2">
        <f t="shared" si="11"/>
        <v>1.4889472841759281E-10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3130.36</v>
      </c>
      <c r="L36" s="6" t="s">
        <v>7</v>
      </c>
      <c r="AF36" s="2">
        <v>32</v>
      </c>
      <c r="AG36" s="2">
        <f t="shared" si="13"/>
        <v>3130.3656250238419</v>
      </c>
      <c r="AH36" s="2">
        <v>-6.6879147198051214E-6</v>
      </c>
      <c r="AI36" s="2">
        <f t="shared" si="14"/>
        <v>3130.3656294476241</v>
      </c>
      <c r="AJ36" s="2">
        <v>1.1512419405335095E-5</v>
      </c>
      <c r="AK36" s="2">
        <f t="shared" si="9"/>
        <v>3130.365627235733</v>
      </c>
      <c r="AL36" s="2">
        <v>-5.9774256442324258E-6</v>
      </c>
      <c r="AM36" s="2">
        <f t="shared" si="10"/>
        <v>3.9976512952602652E-11</v>
      </c>
      <c r="AN36" s="2">
        <f t="shared" si="11"/>
        <v>-6.881463098060901E-11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3130.365627235733</v>
      </c>
      <c r="AH37" s="2">
        <v>-5.9774256442324258E-6</v>
      </c>
      <c r="AI37" s="2">
        <f t="shared" si="14"/>
        <v>3130.3656294476241</v>
      </c>
      <c r="AJ37" s="2">
        <v>1.1512419405335095E-5</v>
      </c>
      <c r="AK37" s="2">
        <f t="shared" si="9"/>
        <v>3130.3656283416785</v>
      </c>
      <c r="AL37" s="2">
        <v>1.1157173503306694E-5</v>
      </c>
      <c r="AM37" s="2">
        <f t="shared" si="10"/>
        <v>-6.6691175015815969E-11</v>
      </c>
      <c r="AN37" s="2">
        <f t="shared" si="11"/>
        <v>1.2844606074815853E-10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0" t="s">
        <v>56</v>
      </c>
      <c r="K38" s="30"/>
      <c r="L38" s="30"/>
      <c r="AF38" s="2">
        <v>34</v>
      </c>
      <c r="AG38" s="2">
        <f t="shared" si="13"/>
        <v>3130.365627235733</v>
      </c>
      <c r="AH38" s="2">
        <v>-5.9774256442324258E-6</v>
      </c>
      <c r="AI38" s="2">
        <f t="shared" si="14"/>
        <v>3130.3656283416785</v>
      </c>
      <c r="AJ38" s="2">
        <v>1.1157173503306694E-5</v>
      </c>
      <c r="AK38" s="2">
        <f t="shared" si="9"/>
        <v>3130.3656277887058</v>
      </c>
      <c r="AL38" s="2">
        <v>-5.799801328976173E-6</v>
      </c>
      <c r="AM38" s="2">
        <f t="shared" si="10"/>
        <v>3.466788119527548E-11</v>
      </c>
      <c r="AN38" s="2">
        <f t="shared" si="11"/>
        <v>-6.4709389712095909E-11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19.170000000000002</v>
      </c>
      <c r="L39" s="6" t="s">
        <v>58</v>
      </c>
      <c r="AF39" s="2">
        <v>35</v>
      </c>
      <c r="AG39" s="2">
        <f t="shared" si="13"/>
        <v>3130.3656277887058</v>
      </c>
      <c r="AH39" s="2">
        <v>-5.799801328976173E-6</v>
      </c>
      <c r="AI39" s="2">
        <f t="shared" si="14"/>
        <v>3130.3656283416785</v>
      </c>
      <c r="AJ39" s="2">
        <v>1.1157173503306694E-5</v>
      </c>
      <c r="AK39" s="2">
        <f t="shared" si="9"/>
        <v>3130.3656280651921</v>
      </c>
      <c r="AL39" s="2">
        <v>1.1068364074162673E-5</v>
      </c>
      <c r="AM39" s="2">
        <f t="shared" si="10"/>
        <v>-6.41943126669208E-11</v>
      </c>
      <c r="AN39" s="2">
        <f t="shared" si="11"/>
        <v>1.2349165837319951E-10</v>
      </c>
      <c r="AO39" s="2">
        <f t="shared" si="12"/>
        <v>5.5297277867794037E-7</v>
      </c>
    </row>
    <row r="40" spans="2:41" x14ac:dyDescent="0.2">
      <c r="B40" s="30" t="s">
        <v>144</v>
      </c>
      <c r="C40" s="31"/>
      <c r="D40" s="31"/>
      <c r="J40" s="11" t="s">
        <v>52</v>
      </c>
      <c r="K40" s="6">
        <f>ROUND(K13/$C$5 * 100, 2)</f>
        <v>43.02</v>
      </c>
      <c r="L40" s="6" t="s">
        <v>58</v>
      </c>
      <c r="AF40" s="2">
        <v>36</v>
      </c>
      <c r="AG40" s="2">
        <f t="shared" si="13"/>
        <v>3130.3656277887058</v>
      </c>
      <c r="AH40" s="2">
        <v>-5.799801328976173E-6</v>
      </c>
      <c r="AI40" s="2">
        <f t="shared" si="14"/>
        <v>3130.3656280651921</v>
      </c>
      <c r="AJ40" s="2">
        <v>1.1068364074162673E-5</v>
      </c>
      <c r="AK40" s="2">
        <f t="shared" si="9"/>
        <v>3130.3656279269489</v>
      </c>
      <c r="AL40" s="2">
        <v>-5.7553957049094606E-6</v>
      </c>
      <c r="AM40" s="2">
        <f t="shared" si="10"/>
        <v>3.3380151658117647E-11</v>
      </c>
      <c r="AN40" s="2">
        <f t="shared" si="11"/>
        <v>-6.3702815052810028E-11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26.54</v>
      </c>
      <c r="L41" s="6" t="s">
        <v>58</v>
      </c>
      <c r="AF41" s="2">
        <v>37</v>
      </c>
      <c r="AG41" s="2">
        <f t="shared" si="13"/>
        <v>3130.3656279269489</v>
      </c>
      <c r="AH41" s="2">
        <v>-5.7553957049094606E-6</v>
      </c>
      <c r="AI41" s="2">
        <f t="shared" si="14"/>
        <v>3130.3656280651921</v>
      </c>
      <c r="AJ41" s="2">
        <v>1.1068364074162673E-5</v>
      </c>
      <c r="AK41" s="2">
        <f t="shared" si="9"/>
        <v>3130.3656279960705</v>
      </c>
      <c r="AL41" s="2">
        <v>-5.7331931202497799E-6</v>
      </c>
      <c r="AM41" s="2">
        <f t="shared" si="10"/>
        <v>3.2996795059702052E-11</v>
      </c>
      <c r="AN41" s="2">
        <f t="shared" si="11"/>
        <v>-6.3457068762409263E-11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6.34</v>
      </c>
      <c r="L42" s="6" t="s">
        <v>58</v>
      </c>
      <c r="AF42" s="2">
        <v>38</v>
      </c>
      <c r="AG42" s="2">
        <f t="shared" si="13"/>
        <v>3130.3656279960705</v>
      </c>
      <c r="AH42" s="2">
        <v>-5.7331931202497799E-6</v>
      </c>
      <c r="AI42" s="2">
        <f t="shared" si="14"/>
        <v>3130.3656280651921</v>
      </c>
      <c r="AJ42" s="2">
        <v>1.1068364074162673E-5</v>
      </c>
      <c r="AK42" s="2">
        <f t="shared" si="9"/>
        <v>3130.3656280306313</v>
      </c>
      <c r="AL42" s="2">
        <v>-5.7220927374146413E-6</v>
      </c>
      <c r="AM42" s="2">
        <f t="shared" si="10"/>
        <v>3.2805862715576852E-11</v>
      </c>
      <c r="AN42" s="2">
        <f t="shared" si="11"/>
        <v>-6.3334205683827363E-11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4.93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3130.3656280306313</v>
      </c>
      <c r="AH43" s="2">
        <v>-5.7220927374146413E-6</v>
      </c>
      <c r="AI43" s="2">
        <f t="shared" si="14"/>
        <v>3130.3656280651921</v>
      </c>
      <c r="AJ43" s="2">
        <v>1.1068364074162673E-5</v>
      </c>
      <c r="AK43" s="2">
        <f t="shared" si="9"/>
        <v>3130.3656280479117</v>
      </c>
      <c r="AL43" s="2">
        <v>-5.7165420912497211E-6</v>
      </c>
      <c r="AM43" s="2">
        <f t="shared" si="10"/>
        <v>3.2710583983465135E-11</v>
      </c>
      <c r="AN43" s="2">
        <f t="shared" si="11"/>
        <v>-6.3272769111227171E-11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3130.3656280479117</v>
      </c>
      <c r="AH44" s="2">
        <v>-5.7165420912497211E-6</v>
      </c>
      <c r="AI44" s="2">
        <f t="shared" si="14"/>
        <v>3130.3656280651921</v>
      </c>
      <c r="AJ44" s="2">
        <v>1.1068364074162673E-5</v>
      </c>
      <c r="AK44" s="5">
        <f>(AG44+AI44)/2</f>
        <v>3130.3656280565519</v>
      </c>
      <c r="AL44" s="2">
        <v>1.1065588296332862E-5</v>
      </c>
      <c r="AM44" s="2">
        <f t="shared" si="10"/>
        <v>-6.3256901260427099E-11</v>
      </c>
      <c r="AN44" s="2">
        <f t="shared" si="11"/>
        <v>1.2247795995860559E-10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0" t="s">
        <v>145</v>
      </c>
      <c r="C46" s="31"/>
      <c r="D46" s="31"/>
      <c r="J46" s="30" t="s">
        <v>56</v>
      </c>
      <c r="K46" s="30"/>
      <c r="L46" s="30"/>
      <c r="N46" s="6" t="s">
        <v>153</v>
      </c>
      <c r="O46" s="6">
        <f>G12*1000/O45</f>
        <v>2876.1758759264958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19.170000000000002</v>
      </c>
      <c r="L47" s="6" t="s">
        <v>58</v>
      </c>
      <c r="N47" s="6" t="s">
        <v>154</v>
      </c>
      <c r="O47" s="6">
        <f>0.377*O46^0.6945</f>
        <v>95.167502634169637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43.02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37.81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30" t="s">
        <v>71</v>
      </c>
      <c r="C52" s="30"/>
      <c r="D52" s="30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N12:P12"/>
    <mergeCell ref="F14:H14"/>
    <mergeCell ref="N16:P16"/>
    <mergeCell ref="B17:D17"/>
    <mergeCell ref="B24:D24"/>
    <mergeCell ref="F24:H24"/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B29:D29"/>
    <mergeCell ref="J30:L30"/>
    <mergeCell ref="F33:H33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3698-4BD1-224F-813F-4E4531A991C5}">
  <dimension ref="B1:AO81"/>
  <sheetViews>
    <sheetView tabSelected="1" topLeftCell="B2" zoomScale="88" workbookViewId="0">
      <selection activeCell="G38" sqref="G3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6" t="s">
        <v>0</v>
      </c>
      <c r="C1" s="36"/>
      <c r="D1" s="36"/>
    </row>
    <row r="2" spans="2:41" x14ac:dyDescent="0.2">
      <c r="U2" s="16" t="s">
        <v>93</v>
      </c>
      <c r="AF2" s="29" t="s">
        <v>160</v>
      </c>
    </row>
    <row r="3" spans="2:41" x14ac:dyDescent="0.2">
      <c r="B3" s="30" t="s">
        <v>118</v>
      </c>
      <c r="C3" s="31"/>
      <c r="D3" s="31"/>
      <c r="F3" s="32" t="s">
        <v>80</v>
      </c>
      <c r="G3" s="34"/>
      <c r="H3" s="34"/>
      <c r="J3" s="30" t="s">
        <v>98</v>
      </c>
      <c r="K3" s="30"/>
      <c r="L3" s="30"/>
      <c r="N3" s="30" t="s">
        <v>92</v>
      </c>
      <c r="O3" s="30"/>
      <c r="P3" s="30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3" t="s">
        <v>161</v>
      </c>
      <c r="F4" s="6" t="s">
        <v>84</v>
      </c>
      <c r="G4" s="17">
        <f>500*0.3048/60</f>
        <v>2.54</v>
      </c>
      <c r="H4" s="6" t="s">
        <v>10</v>
      </c>
      <c r="J4" s="6" t="s">
        <v>99</v>
      </c>
      <c r="K4" s="6">
        <f>(1+$C$25/100)*MAX(G10,G29)</f>
        <v>511.50711417584205</v>
      </c>
      <c r="L4" s="6" t="s">
        <v>101</v>
      </c>
      <c r="N4" s="6" t="s">
        <v>162</v>
      </c>
      <c r="O4" s="6">
        <f xml:space="preserve"> $C$5 * $C$74</f>
        <v>21598.642476238292</v>
      </c>
      <c r="P4" s="6" t="s">
        <v>20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1.1826055629763939</v>
      </c>
      <c r="X4" s="3">
        <v>1</v>
      </c>
      <c r="Y4" s="2">
        <f t="shared" ref="Y4:Y34" si="1" xml:space="preserve"> $O$22 * TAN($O$19/180*PI()) + $O$23 / (2 * SQRT($O$22^2 + X4^2)) - X4</f>
        <v>-2.9518428776553418E-2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0.48927663936644128</v>
      </c>
      <c r="AB4" s="2">
        <f>W4*AA4</f>
        <v>0.57862127554914833</v>
      </c>
      <c r="AC4" s="2">
        <f>Y4*AA4</f>
        <v>-1.4442677631169709E-2</v>
      </c>
      <c r="AD4" s="2">
        <f>X4-V4</f>
        <v>1</v>
      </c>
      <c r="AF4" s="2">
        <v>0</v>
      </c>
      <c r="AH4" s="2">
        <f>K30</f>
        <v>-6.3083110258048691E-3</v>
      </c>
      <c r="AJ4" s="2">
        <f>K30</f>
        <v>-6.3083110258048691E-3</v>
      </c>
      <c r="AL4" s="2">
        <f>K30</f>
        <v>-6.3083110258048691E-3</v>
      </c>
    </row>
    <row r="5" spans="2:41" x14ac:dyDescent="0.2">
      <c r="B5" s="10" t="s">
        <v>37</v>
      </c>
      <c r="C5" s="10">
        <v>2203.8186019981399</v>
      </c>
      <c r="D5" s="10" t="s">
        <v>7</v>
      </c>
      <c r="F5" s="6" t="s">
        <v>87</v>
      </c>
      <c r="G5" s="17">
        <f>1000*0.3048</f>
        <v>304.8</v>
      </c>
      <c r="H5" s="6" t="s">
        <v>8</v>
      </c>
      <c r="J5" s="6" t="s">
        <v>100</v>
      </c>
      <c r="K5" s="6">
        <f>K4/$C$21</f>
        <v>63.938389271980256</v>
      </c>
      <c r="L5" s="6" t="s">
        <v>101</v>
      </c>
      <c r="N5" s="6" t="s">
        <v>22</v>
      </c>
      <c r="O5" s="6">
        <f xml:space="preserve"> 0.5 * $C$71 * $C$7^2</f>
        <v>2267.4637855940923</v>
      </c>
      <c r="P5" s="6" t="s">
        <v>23</v>
      </c>
      <c r="U5" s="2">
        <v>1</v>
      </c>
      <c r="V5" s="2">
        <f>IF(AB4&gt;0, Z4, V4)</f>
        <v>0.5</v>
      </c>
      <c r="W5" s="2">
        <f t="shared" si="0"/>
        <v>0.48927663936644128</v>
      </c>
      <c r="X5" s="2">
        <f>IF(AC4&gt;0, Z4, X4)</f>
        <v>1</v>
      </c>
      <c r="Y5" s="2">
        <f t="shared" si="1"/>
        <v>-2.9518428776553418E-2</v>
      </c>
      <c r="Z5" s="2">
        <f t="shared" ref="Z5:Z34" si="3" xml:space="preserve"> (V5 + X5)/2</f>
        <v>0.75</v>
      </c>
      <c r="AA5" s="2">
        <f t="shared" si="2"/>
        <v>0.22680840362796395</v>
      </c>
      <c r="AB5" s="2">
        <f t="shared" ref="AB5:AB34" si="4">W5*AA5</f>
        <v>0.11097205350715757</v>
      </c>
      <c r="AC5" s="2">
        <f t="shared" ref="AC5:AC34" si="5">Y5*AA5</f>
        <v>-6.6950277084158339E-3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-905.49565288510905</v>
      </c>
      <c r="AI5" s="3">
        <v>10000</v>
      </c>
      <c r="AJ5" s="2">
        <f t="dataTable" ref="AJ5:AJ44" dt2D="0" dtr="0" r1="C5" ca="1"/>
        <v>3012.5902982662137</v>
      </c>
      <c r="AK5" s="2">
        <f>(AG5+AI5)/2</f>
        <v>5250</v>
      </c>
      <c r="AL5" s="2">
        <f t="dataTable" ref="AL5:AL44" dt2D="0" dtr="0" r1="C5" ca="1"/>
        <v>981.17022870042911</v>
      </c>
      <c r="AM5" s="2">
        <f>AH5*AL5</f>
        <v>-888445.37682852685</v>
      </c>
      <c r="AN5" s="2">
        <f>AJ5*AL5</f>
        <v>2955863.911930555</v>
      </c>
      <c r="AO5" s="2">
        <f>AI5-AG5</f>
        <v>9500</v>
      </c>
    </row>
    <row r="6" spans="2:41" x14ac:dyDescent="0.2">
      <c r="B6" s="6" t="s">
        <v>163</v>
      </c>
      <c r="C6" s="17">
        <v>408.02715008490799</v>
      </c>
      <c r="D6" s="6" t="s">
        <v>125</v>
      </c>
      <c r="F6" s="6" t="s">
        <v>88</v>
      </c>
      <c r="G6" s="6">
        <f xml:space="preserve"> $G$5/$G$4</f>
        <v>120</v>
      </c>
      <c r="H6" s="6" t="s">
        <v>13</v>
      </c>
      <c r="J6" s="6" t="s">
        <v>164</v>
      </c>
      <c r="K6" s="6">
        <f>(1+$C$32/100)*MAX(G20)</f>
        <v>171.09798217246964</v>
      </c>
      <c r="L6" s="6" t="s">
        <v>101</v>
      </c>
      <c r="N6" s="6" t="s">
        <v>114</v>
      </c>
      <c r="O6" s="6">
        <f xml:space="preserve"> ($C$21+$C$28) * 0.4 * ($C$5/($C$21+$C$28) *2.20462/1000)^(2/3) * 0.3048^2</f>
        <v>0.2217398816886112</v>
      </c>
      <c r="P6" s="6" t="s">
        <v>115</v>
      </c>
      <c r="U6" s="2">
        <v>2</v>
      </c>
      <c r="V6" s="2">
        <f t="shared" ref="V6:V34" si="7">IF(AB5&gt;0, Z5, V5)</f>
        <v>0.75</v>
      </c>
      <c r="W6" s="2">
        <f t="shared" si="0"/>
        <v>0.22680840362796395</v>
      </c>
      <c r="X6" s="2">
        <f t="shared" ref="X6:X34" si="8">IF(AC5&gt;0, Z5, X5)</f>
        <v>1</v>
      </c>
      <c r="Y6" s="2">
        <f t="shared" si="1"/>
        <v>-2.9518428776553418E-2</v>
      </c>
      <c r="Z6" s="2">
        <f t="shared" si="3"/>
        <v>0.875</v>
      </c>
      <c r="AA6" s="2">
        <f t="shared" si="2"/>
        <v>9.8199231930238939E-2</v>
      </c>
      <c r="AB6" s="2">
        <f t="shared" si="4"/>
        <v>2.2272411031589678E-2</v>
      </c>
      <c r="AC6" s="2">
        <f t="shared" si="5"/>
        <v>-2.8986870336450083E-3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-905.49565288510905</v>
      </c>
      <c r="AI6" s="2">
        <f>IF(AN5&gt;0,AK5,AI5)</f>
        <v>5250</v>
      </c>
      <c r="AJ6" s="2">
        <v>981.17022870042911</v>
      </c>
      <c r="AK6" s="2">
        <f t="shared" ref="AK6:AK44" si="9">(AG6+AI6)/2</f>
        <v>2875</v>
      </c>
      <c r="AL6" s="2">
        <v>288.34224098633968</v>
      </c>
      <c r="AM6" s="2">
        <f t="shared" ref="AM6:AM44" si="10">AH6*AL6</f>
        <v>-261092.6457562811</v>
      </c>
      <c r="AN6" s="2">
        <f t="shared" ref="AN6:AN44" si="11">AJ6*AL6</f>
        <v>282912.82253256114</v>
      </c>
      <c r="AO6" s="2">
        <f t="shared" ref="AO6:AO44" si="12">AI6-AG6</f>
        <v>4750</v>
      </c>
    </row>
    <row r="7" spans="2:41" x14ac:dyDescent="0.2">
      <c r="B7" s="6" t="s">
        <v>9</v>
      </c>
      <c r="C7" s="17">
        <f xml:space="preserve"> 241.4016 * 1000/3600</f>
        <v>67.055999999999997</v>
      </c>
      <c r="D7" s="6" t="s">
        <v>10</v>
      </c>
      <c r="F7" s="6" t="s">
        <v>19</v>
      </c>
      <c r="G7" s="6">
        <f xml:space="preserve"> $C$5 * $C$68 / $C$21</f>
        <v>2700.0885771417652</v>
      </c>
      <c r="H7" s="6" t="s">
        <v>20</v>
      </c>
      <c r="J7" s="6" t="s">
        <v>165</v>
      </c>
      <c r="K7" s="6">
        <f>K6/$C$28</f>
        <v>171.09798217246964</v>
      </c>
      <c r="L7" s="6" t="s">
        <v>101</v>
      </c>
      <c r="N7" s="6" t="s">
        <v>166</v>
      </c>
      <c r="O7" s="17">
        <v>9.1534090314177498E-3</v>
      </c>
      <c r="U7" s="2">
        <v>3</v>
      </c>
      <c r="V7" s="2">
        <f t="shared" si="7"/>
        <v>0.875</v>
      </c>
      <c r="W7" s="2">
        <f t="shared" si="0"/>
        <v>9.8199231930238939E-2</v>
      </c>
      <c r="X7" s="2">
        <f t="shared" si="8"/>
        <v>1</v>
      </c>
      <c r="Y7" s="2">
        <f t="shared" si="1"/>
        <v>-2.9518428776553418E-2</v>
      </c>
      <c r="Z7" s="2">
        <f t="shared" si="3"/>
        <v>0.9375</v>
      </c>
      <c r="AA7" s="2">
        <f t="shared" si="2"/>
        <v>3.4250878557192665E-2</v>
      </c>
      <c r="AB7" s="2">
        <f t="shared" si="4"/>
        <v>3.3634099672522101E-3</v>
      </c>
      <c r="AC7" s="2">
        <f t="shared" si="5"/>
        <v>-1.0110321192248724E-3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-905.49565288510905</v>
      </c>
      <c r="AI7" s="2">
        <f t="shared" ref="AI7:AI44" si="14">IF(AN6&gt;0,AK6,AI6)</f>
        <v>2875</v>
      </c>
      <c r="AJ7" s="2">
        <v>288.34224098633968</v>
      </c>
      <c r="AK7" s="2">
        <f t="shared" si="9"/>
        <v>1687.5</v>
      </c>
      <c r="AL7" s="2">
        <v>-249.39590737763683</v>
      </c>
      <c r="AM7" s="2">
        <f t="shared" si="10"/>
        <v>225826.90997778744</v>
      </c>
      <c r="AN7" s="2">
        <f t="shared" si="11"/>
        <v>-71911.374826089406</v>
      </c>
      <c r="AO7" s="2">
        <f t="shared" si="12"/>
        <v>2375</v>
      </c>
    </row>
    <row r="8" spans="2:41" x14ac:dyDescent="0.2">
      <c r="B8" s="6" t="s">
        <v>95</v>
      </c>
      <c r="C8" s="17">
        <v>1.93737516333138</v>
      </c>
      <c r="D8" s="6" t="s">
        <v>8</v>
      </c>
      <c r="F8" t="s">
        <v>97</v>
      </c>
      <c r="G8" s="6">
        <f>G10/$C$21</f>
        <v>42.625592847986837</v>
      </c>
      <c r="H8" s="6" t="s">
        <v>18</v>
      </c>
      <c r="N8" s="6" t="s">
        <v>167</v>
      </c>
      <c r="O8" s="17">
        <v>0.272912140344656</v>
      </c>
      <c r="U8" s="2">
        <v>4</v>
      </c>
      <c r="V8" s="2">
        <f t="shared" si="7"/>
        <v>0.9375</v>
      </c>
      <c r="W8" s="2">
        <f t="shared" si="0"/>
        <v>3.4250878557192665E-2</v>
      </c>
      <c r="X8" s="2">
        <f t="shared" si="8"/>
        <v>1</v>
      </c>
      <c r="Y8" s="2">
        <f t="shared" si="1"/>
        <v>-2.9518428776553418E-2</v>
      </c>
      <c r="Z8" s="2">
        <f t="shared" si="3"/>
        <v>0.96875</v>
      </c>
      <c r="AA8" s="2">
        <f t="shared" si="2"/>
        <v>2.3459773468834655E-3</v>
      </c>
      <c r="AB8" s="2">
        <f t="shared" si="4"/>
        <v>8.0351785206030625E-5</v>
      </c>
      <c r="AC8" s="2">
        <f t="shared" si="5"/>
        <v>-6.9249565225387328E-5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-249.39590737763683</v>
      </c>
      <c r="AI8" s="2">
        <f t="shared" si="14"/>
        <v>2875</v>
      </c>
      <c r="AJ8" s="2">
        <v>288.34224098633968</v>
      </c>
      <c r="AK8" s="2">
        <f t="shared" si="9"/>
        <v>2281.25</v>
      </c>
      <c r="AL8" s="2">
        <v>35.334238535280065</v>
      </c>
      <c r="AM8" s="2">
        <f t="shared" si="10"/>
        <v>-8812.2144810040336</v>
      </c>
      <c r="AN8" s="2">
        <f t="shared" si="11"/>
        <v>10188.353522808535</v>
      </c>
      <c r="AO8" s="2">
        <f t="shared" si="12"/>
        <v>1187.5</v>
      </c>
    </row>
    <row r="9" spans="2:41" x14ac:dyDescent="0.2">
      <c r="B9" s="6" t="s">
        <v>131</v>
      </c>
      <c r="C9" s="17">
        <f>(0.548288+0.530863+0.513438+0.496013+0.478588+0.461163+0.443738+0.426313)/8</f>
        <v>0.48730050000000003</v>
      </c>
      <c r="D9" s="6" t="s">
        <v>8</v>
      </c>
      <c r="F9" t="s">
        <v>146</v>
      </c>
      <c r="G9" s="6">
        <f xml:space="preserve"> (G7/$C$68*1000) / (G8*1000)</f>
        <v>6.4627212630727788</v>
      </c>
      <c r="H9" s="6" t="s">
        <v>147</v>
      </c>
      <c r="J9" s="30" t="s">
        <v>21</v>
      </c>
      <c r="K9" s="30"/>
      <c r="L9" s="30"/>
      <c r="N9" s="6" t="s">
        <v>168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2.3459773468834655E-3</v>
      </c>
      <c r="X9" s="2">
        <f t="shared" si="8"/>
        <v>1</v>
      </c>
      <c r="Y9" s="2">
        <f t="shared" si="1"/>
        <v>-2.9518428776553418E-2</v>
      </c>
      <c r="Z9" s="2">
        <f t="shared" si="3"/>
        <v>0.984375</v>
      </c>
      <c r="AA9" s="2">
        <f t="shared" si="2"/>
        <v>-1.3591050029787666E-2</v>
      </c>
      <c r="AB9" s="2">
        <f t="shared" si="4"/>
        <v>-3.1884295490241713E-5</v>
      </c>
      <c r="AC9" s="2">
        <f t="shared" si="5"/>
        <v>4.0118644230286143E-4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-249.39590737763683</v>
      </c>
      <c r="AI9" s="2">
        <f t="shared" si="14"/>
        <v>2281.25</v>
      </c>
      <c r="AJ9" s="2">
        <v>35.334238535280065</v>
      </c>
      <c r="AK9" s="2">
        <f t="shared" si="9"/>
        <v>1984.375</v>
      </c>
      <c r="AL9" s="2">
        <v>-103.09139222870886</v>
      </c>
      <c r="AM9" s="2">
        <f t="shared" si="10"/>
        <v>25710.571307702703</v>
      </c>
      <c r="AN9" s="2">
        <f t="shared" si="11"/>
        <v>-3642.6558439433161</v>
      </c>
      <c r="AO9" s="2">
        <f t="shared" si="12"/>
        <v>593.75</v>
      </c>
    </row>
    <row r="10" spans="2:41" x14ac:dyDescent="0.2">
      <c r="B10" s="6" t="s">
        <v>169</v>
      </c>
      <c r="C10" s="17">
        <v>1.6434187843419901</v>
      </c>
      <c r="D10" s="6" t="s">
        <v>8</v>
      </c>
      <c r="F10" s="25" t="s">
        <v>82</v>
      </c>
      <c r="G10" s="25">
        <f xml:space="preserve"> 1/1000 * (($C$5*$C$68)/$C$24 * ( ($G$4/2) + SQRT( ($G$4/2)^2 + ($C$5*$C$68) / (2*$C$65*PI()*$C$8^2 * $C$21) ) ) )</f>
        <v>341.0047427838947</v>
      </c>
      <c r="H10" s="25" t="s">
        <v>101</v>
      </c>
      <c r="J10" s="6" t="s">
        <v>96</v>
      </c>
      <c r="K10" s="6">
        <f xml:space="preserve"> $C$18 * (G10*G6 + G20*G13 + G29*G25 + G33*G32)/3600</f>
        <v>113.42998873321245</v>
      </c>
      <c r="L10" s="6" t="s">
        <v>102</v>
      </c>
      <c r="N10" s="6" t="s">
        <v>38</v>
      </c>
      <c r="O10" s="6">
        <f xml:space="preserve"> O5 * $C$12 * O9</f>
        <v>1241.4690996845673</v>
      </c>
      <c r="P10" s="6" t="s">
        <v>20</v>
      </c>
      <c r="U10" s="2">
        <v>6</v>
      </c>
      <c r="V10" s="2">
        <f t="shared" si="7"/>
        <v>0.96875</v>
      </c>
      <c r="W10" s="2">
        <f t="shared" si="0"/>
        <v>2.3459773468834655E-3</v>
      </c>
      <c r="X10" s="2">
        <f t="shared" si="8"/>
        <v>0.984375</v>
      </c>
      <c r="Y10" s="2">
        <f t="shared" si="1"/>
        <v>-1.3591050029787666E-2</v>
      </c>
      <c r="Z10" s="2">
        <f t="shared" si="3"/>
        <v>0.9765625</v>
      </c>
      <c r="AA10" s="2">
        <f t="shared" si="2"/>
        <v>-5.623770950310969E-3</v>
      </c>
      <c r="AB10" s="2">
        <f t="shared" si="4"/>
        <v>-1.3193239253490833E-5</v>
      </c>
      <c r="AC10" s="2">
        <f t="shared" si="5"/>
        <v>7.6432952341742903E-5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-103.09139222870886</v>
      </c>
      <c r="AI10" s="2">
        <f t="shared" si="14"/>
        <v>2281.25</v>
      </c>
      <c r="AJ10" s="2">
        <v>35.334238535280065</v>
      </c>
      <c r="AK10" s="2">
        <f t="shared" si="9"/>
        <v>2132.8125</v>
      </c>
      <c r="AL10" s="2">
        <v>-32.88862571742834</v>
      </c>
      <c r="AM10" s="2">
        <f t="shared" si="10"/>
        <v>3390.534213698606</v>
      </c>
      <c r="AN10" s="2">
        <f t="shared" si="11"/>
        <v>-1162.0945461971594</v>
      </c>
      <c r="AO10" s="2">
        <f t="shared" si="12"/>
        <v>296.875</v>
      </c>
    </row>
    <row r="11" spans="2:41" x14ac:dyDescent="0.2">
      <c r="B11" s="6" t="s">
        <v>170</v>
      </c>
      <c r="C11" s="17">
        <f>(0.500656+0.484769+0.468881+0.452994+0.437106+0.421219+0.405331+0.389444)/8</f>
        <v>0.44505</v>
      </c>
      <c r="D11" s="6" t="s">
        <v>8</v>
      </c>
      <c r="J11" s="6" t="s">
        <v>171</v>
      </c>
      <c r="K11" s="6">
        <f xml:space="preserve"> (G6 + G13 + G25 + G32)/60</f>
        <v>50.188181022826697</v>
      </c>
      <c r="L11" s="6" t="s">
        <v>103</v>
      </c>
      <c r="N11" s="6" t="s">
        <v>172</v>
      </c>
      <c r="O11" s="6">
        <f xml:space="preserve"> 1.78 * (1 - 0.045 * $C$13^0.68) - 0.64</f>
        <v>0.8473286410074955</v>
      </c>
      <c r="U11" s="2">
        <v>7</v>
      </c>
      <c r="V11" s="2">
        <f t="shared" si="7"/>
        <v>0.96875</v>
      </c>
      <c r="W11" s="2">
        <f t="shared" si="0"/>
        <v>2.3459773468834655E-3</v>
      </c>
      <c r="X11" s="2">
        <f t="shared" si="8"/>
        <v>0.9765625</v>
      </c>
      <c r="Y11" s="2">
        <f t="shared" si="1"/>
        <v>-5.623770950310969E-3</v>
      </c>
      <c r="Z11" s="2">
        <f t="shared" si="3"/>
        <v>0.97265625</v>
      </c>
      <c r="AA11" s="2">
        <f t="shared" si="2"/>
        <v>-1.6392091186326896E-3</v>
      </c>
      <c r="AB11" s="2">
        <f t="shared" si="4"/>
        <v>-3.8455474591171008E-6</v>
      </c>
      <c r="AC11" s="2">
        <f t="shared" si="5"/>
        <v>9.2185366228513664E-6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-32.88862571742834</v>
      </c>
      <c r="AI11" s="2">
        <f t="shared" si="14"/>
        <v>2281.25</v>
      </c>
      <c r="AJ11" s="2">
        <v>35.334238535280065</v>
      </c>
      <c r="AK11" s="2">
        <f t="shared" si="9"/>
        <v>2207.03125</v>
      </c>
      <c r="AL11" s="2">
        <v>1.4707159482245515</v>
      </c>
      <c r="AM11" s="2">
        <f t="shared" si="10"/>
        <v>-48.369826357809991</v>
      </c>
      <c r="AN11" s="2">
        <f t="shared" si="11"/>
        <v>51.966628132206907</v>
      </c>
      <c r="AO11" s="2">
        <f t="shared" si="12"/>
        <v>148.4375</v>
      </c>
    </row>
    <row r="12" spans="2:41" x14ac:dyDescent="0.2">
      <c r="B12" s="6" t="s">
        <v>173</v>
      </c>
      <c r="C12" s="17">
        <v>29.999999999999901</v>
      </c>
      <c r="D12" s="6" t="s">
        <v>174</v>
      </c>
      <c r="F12" s="32" t="s">
        <v>86</v>
      </c>
      <c r="G12" s="34"/>
      <c r="H12" s="34"/>
      <c r="N12" s="6" t="s">
        <v>175</v>
      </c>
      <c r="O12" s="6">
        <f xml:space="preserve"> O4 / (O5 * $C$12)</f>
        <v>0.31751543454940429</v>
      </c>
      <c r="U12" s="2">
        <v>8</v>
      </c>
      <c r="V12" s="2">
        <f t="shared" si="7"/>
        <v>0.96875</v>
      </c>
      <c r="W12" s="2">
        <f t="shared" si="0"/>
        <v>2.3459773468834655E-3</v>
      </c>
      <c r="X12" s="2">
        <f t="shared" si="8"/>
        <v>0.97265625</v>
      </c>
      <c r="Y12" s="2">
        <f t="shared" si="1"/>
        <v>-1.6392091186326896E-3</v>
      </c>
      <c r="Z12" s="2">
        <f t="shared" si="3"/>
        <v>0.970703125</v>
      </c>
      <c r="AA12" s="2">
        <f t="shared" si="2"/>
        <v>3.5330557047363875E-4</v>
      </c>
      <c r="AB12" s="2">
        <f t="shared" si="4"/>
        <v>8.2884686485889625E-7</v>
      </c>
      <c r="AC12" s="2">
        <f t="shared" si="5"/>
        <v>-5.7914171278411301E-7</v>
      </c>
      <c r="AD12" s="2">
        <f t="shared" si="6"/>
        <v>3.90625E-3</v>
      </c>
      <c r="AF12" s="2">
        <v>8</v>
      </c>
      <c r="AG12" s="2">
        <f t="shared" si="13"/>
        <v>2132.8125</v>
      </c>
      <c r="AH12" s="2">
        <v>-32.88862571742834</v>
      </c>
      <c r="AI12" s="2">
        <f t="shared" si="14"/>
        <v>2207.03125</v>
      </c>
      <c r="AJ12" s="2">
        <v>1.4707159482245515</v>
      </c>
      <c r="AK12" s="2">
        <f t="shared" si="9"/>
        <v>2169.921875</v>
      </c>
      <c r="AL12" s="2">
        <v>-15.647023110732789</v>
      </c>
      <c r="AM12" s="2">
        <f t="shared" si="10"/>
        <v>514.60908668084198</v>
      </c>
      <c r="AN12" s="2">
        <f t="shared" si="11"/>
        <v>-23.012326431192847</v>
      </c>
      <c r="AO12" s="2">
        <f t="shared" si="12"/>
        <v>74.21875</v>
      </c>
    </row>
    <row r="13" spans="2:41" x14ac:dyDescent="0.2">
      <c r="B13" s="6" t="s">
        <v>176</v>
      </c>
      <c r="C13" s="17">
        <v>6.7231091013048596</v>
      </c>
      <c r="F13" s="9" t="s">
        <v>89</v>
      </c>
      <c r="G13" s="6">
        <f xml:space="preserve"> $C$17/$C$7</f>
        <v>1491.2908613696015</v>
      </c>
      <c r="H13" s="6" t="s">
        <v>13</v>
      </c>
      <c r="J13" s="28" t="s">
        <v>51</v>
      </c>
      <c r="K13" s="28"/>
      <c r="L13" s="28"/>
      <c r="N13" s="6" t="s">
        <v>177</v>
      </c>
      <c r="O13" s="6">
        <f xml:space="preserve"> O9 + O12^2 / ( PI() * O11 * $C$13 )</f>
        <v>2.3883714022802843E-2</v>
      </c>
      <c r="U13" s="2">
        <v>9</v>
      </c>
      <c r="V13" s="2">
        <f t="shared" si="7"/>
        <v>0.970703125</v>
      </c>
      <c r="W13" s="2">
        <f t="shared" si="0"/>
        <v>3.5330557047363875E-4</v>
      </c>
      <c r="X13" s="2">
        <f t="shared" si="8"/>
        <v>0.97265625</v>
      </c>
      <c r="Y13" s="2">
        <f t="shared" si="1"/>
        <v>-1.6392091186326896E-3</v>
      </c>
      <c r="Z13" s="2">
        <f t="shared" si="3"/>
        <v>0.9716796875</v>
      </c>
      <c r="AA13" s="2">
        <f t="shared" si="2"/>
        <v>-6.4297135165336528E-4</v>
      </c>
      <c r="AB13" s="2">
        <f t="shared" si="4"/>
        <v>-2.2716536019409881E-7</v>
      </c>
      <c r="AC13" s="2">
        <f t="shared" si="5"/>
        <v>1.053964502649782E-6</v>
      </c>
      <c r="AD13" s="2">
        <f t="shared" si="6"/>
        <v>1.953125E-3</v>
      </c>
      <c r="AF13" s="2">
        <v>9</v>
      </c>
      <c r="AG13" s="2">
        <f t="shared" si="13"/>
        <v>2169.921875</v>
      </c>
      <c r="AH13" s="2">
        <v>-15.647023110732789</v>
      </c>
      <c r="AI13" s="2">
        <f t="shared" si="14"/>
        <v>2207.03125</v>
      </c>
      <c r="AJ13" s="2">
        <v>1.4707159482245515</v>
      </c>
      <c r="AK13" s="2">
        <f t="shared" si="9"/>
        <v>2188.4765625</v>
      </c>
      <c r="AL13" s="2">
        <v>-7.0726646938978774</v>
      </c>
      <c r="AM13" s="2">
        <f t="shared" si="10"/>
        <v>110.66614791988394</v>
      </c>
      <c r="AN13" s="2">
        <f t="shared" si="11"/>
        <v>-10.401880761760324</v>
      </c>
      <c r="AO13" s="2">
        <f t="shared" si="12"/>
        <v>37.109375</v>
      </c>
    </row>
    <row r="14" spans="2:41" x14ac:dyDescent="0.2">
      <c r="F14" s="6" t="s">
        <v>178</v>
      </c>
      <c r="G14" s="6">
        <f>O21*$C$10</f>
        <v>70.22082484989572</v>
      </c>
      <c r="H14" s="6" t="s">
        <v>10</v>
      </c>
      <c r="J14" s="10" t="s">
        <v>79</v>
      </c>
      <c r="K14" s="18">
        <f>C5</f>
        <v>2203.8186019981399</v>
      </c>
      <c r="L14" s="6" t="s">
        <v>7</v>
      </c>
      <c r="N14" s="6" t="s">
        <v>39</v>
      </c>
      <c r="O14" s="6">
        <f xml:space="preserve"> O5 * O13 * $C$12</f>
        <v>1624.663698365732</v>
      </c>
      <c r="P14" s="6" t="s">
        <v>20</v>
      </c>
      <c r="U14" s="2">
        <v>10</v>
      </c>
      <c r="V14" s="2">
        <f t="shared" si="7"/>
        <v>0.970703125</v>
      </c>
      <c r="W14" s="2">
        <f t="shared" si="0"/>
        <v>3.5330557047363875E-4</v>
      </c>
      <c r="X14" s="2">
        <f t="shared" si="8"/>
        <v>0.9716796875</v>
      </c>
      <c r="Y14" s="2">
        <f t="shared" si="1"/>
        <v>-6.4297135165336528E-4</v>
      </c>
      <c r="Z14" s="2">
        <f t="shared" si="3"/>
        <v>0.97119140625</v>
      </c>
      <c r="AA14" s="2">
        <f t="shared" si="2"/>
        <v>-1.4483779225771265E-4</v>
      </c>
      <c r="AB14" s="2">
        <f t="shared" si="4"/>
        <v>-5.1171998819753546E-8</v>
      </c>
      <c r="AC14" s="2">
        <f t="shared" si="5"/>
        <v>9.3126551058430831E-8</v>
      </c>
      <c r="AD14" s="2">
        <f t="shared" si="6"/>
        <v>9.765625E-4</v>
      </c>
      <c r="AF14" s="2">
        <v>10</v>
      </c>
      <c r="AG14" s="2">
        <f t="shared" si="13"/>
        <v>2188.4765625</v>
      </c>
      <c r="AH14" s="2">
        <v>-7.0726646938978774</v>
      </c>
      <c r="AI14" s="2">
        <f t="shared" si="14"/>
        <v>2207.03125</v>
      </c>
      <c r="AJ14" s="2">
        <v>1.4707159482245515</v>
      </c>
      <c r="AK14" s="2">
        <f t="shared" si="9"/>
        <v>2197.75390625</v>
      </c>
      <c r="AL14" s="2">
        <v>-2.7971015676966999</v>
      </c>
      <c r="AM14" s="2">
        <f t="shared" si="10"/>
        <v>19.782961503094853</v>
      </c>
      <c r="AN14" s="2">
        <f t="shared" si="11"/>
        <v>-4.1137418844154316</v>
      </c>
      <c r="AO14" s="2">
        <f t="shared" si="12"/>
        <v>18.5546875</v>
      </c>
    </row>
    <row r="15" spans="2:41" x14ac:dyDescent="0.2">
      <c r="B15" s="30" t="s">
        <v>11</v>
      </c>
      <c r="C15" s="30"/>
      <c r="D15" s="30"/>
      <c r="F15" s="6" t="s">
        <v>179</v>
      </c>
      <c r="G15" s="6">
        <f>G14/$C$73</f>
        <v>0.21104969662049849</v>
      </c>
      <c r="H15" s="6" t="s">
        <v>122</v>
      </c>
      <c r="J15" s="11" t="s">
        <v>52</v>
      </c>
      <c r="K15" s="6">
        <f xml:space="preserve"> 1000 * K10 / ($C$60 * $C$61 * $C$62)</f>
        <v>667.23522784242618</v>
      </c>
      <c r="L15" s="6" t="s">
        <v>7</v>
      </c>
      <c r="N15" s="6" t="s">
        <v>180</v>
      </c>
      <c r="O15" s="6">
        <f>O4/O14</f>
        <v>13.294223597144823</v>
      </c>
      <c r="U15" s="2">
        <v>11</v>
      </c>
      <c r="V15" s="2">
        <f t="shared" si="7"/>
        <v>0.970703125</v>
      </c>
      <c r="W15" s="2">
        <f t="shared" si="0"/>
        <v>3.5330557047363875E-4</v>
      </c>
      <c r="X15" s="2">
        <f t="shared" si="8"/>
        <v>0.97119140625</v>
      </c>
      <c r="Y15" s="2">
        <f t="shared" si="1"/>
        <v>-1.4483779225771265E-4</v>
      </c>
      <c r="Z15" s="2">
        <f t="shared" si="3"/>
        <v>0.970947265625</v>
      </c>
      <c r="AA15" s="2">
        <f t="shared" si="2"/>
        <v>1.0423266278014598E-4</v>
      </c>
      <c r="AB15" s="2">
        <f t="shared" si="4"/>
        <v>3.682598038552589E-8</v>
      </c>
      <c r="AC15" s="2">
        <f t="shared" si="5"/>
        <v>-1.5096828758218999E-8</v>
      </c>
      <c r="AD15" s="2">
        <f t="shared" si="6"/>
        <v>4.8828125E-4</v>
      </c>
      <c r="AF15" s="2">
        <v>11</v>
      </c>
      <c r="AG15" s="2">
        <f t="shared" si="13"/>
        <v>2197.75390625</v>
      </c>
      <c r="AH15" s="2">
        <v>-2.7971015676966999</v>
      </c>
      <c r="AI15" s="2">
        <f t="shared" si="14"/>
        <v>2207.03125</v>
      </c>
      <c r="AJ15" s="2">
        <v>1.4707159482245515</v>
      </c>
      <c r="AK15" s="2">
        <f t="shared" si="9"/>
        <v>2202.392578125</v>
      </c>
      <c r="AL15" s="2">
        <v>-0.66222437001010803</v>
      </c>
      <c r="AM15" s="2">
        <f t="shared" si="10"/>
        <v>1.8523088235222327</v>
      </c>
      <c r="AN15" s="2">
        <f t="shared" si="11"/>
        <v>-0.97394394227682235</v>
      </c>
      <c r="AO15" s="2">
        <f t="shared" si="12"/>
        <v>9.27734375</v>
      </c>
    </row>
    <row r="16" spans="2:41" x14ac:dyDescent="0.2">
      <c r="B16" s="6" t="s">
        <v>68</v>
      </c>
      <c r="C16" s="6">
        <f>C35*100</f>
        <v>600</v>
      </c>
      <c r="D16" s="6" t="s">
        <v>7</v>
      </c>
      <c r="F16" s="9" t="s">
        <v>19</v>
      </c>
      <c r="G16" s="6">
        <f>O20</f>
        <v>1624.663698365732</v>
      </c>
      <c r="H16" s="6" t="s">
        <v>20</v>
      </c>
      <c r="J16" s="12" t="s">
        <v>126</v>
      </c>
      <c r="K16" s="6">
        <f xml:space="preserve"> $C$78 * ( $C$21 * (0.0095 * MAX(G7,G26) - 1.9275) +  $C$28 * (0.0095 * MAX(O20) - 1.9275) )</f>
        <v>162.6348295977989</v>
      </c>
      <c r="L16" s="6" t="s">
        <v>7</v>
      </c>
      <c r="N16" s="6" t="s">
        <v>113</v>
      </c>
      <c r="O16" s="6">
        <f>(O13*$C$12)/(0.3048^2)/($C$5*2.20462/1000)^(2/3)</f>
        <v>2.6885624793285841</v>
      </c>
      <c r="U16" s="2">
        <v>12</v>
      </c>
      <c r="V16" s="2">
        <f t="shared" si="7"/>
        <v>0.970947265625</v>
      </c>
      <c r="W16" s="2">
        <f t="shared" si="0"/>
        <v>1.0423266278014598E-4</v>
      </c>
      <c r="X16" s="2">
        <f t="shared" si="8"/>
        <v>0.97119140625</v>
      </c>
      <c r="Y16" s="2">
        <f t="shared" si="1"/>
        <v>-1.4483779225771265E-4</v>
      </c>
      <c r="Z16" s="2">
        <f t="shared" si="3"/>
        <v>0.9710693359375</v>
      </c>
      <c r="AA16" s="2">
        <f t="shared" si="2"/>
        <v>-2.0302871206800965E-5</v>
      </c>
      <c r="AB16" s="2">
        <f t="shared" si="4"/>
        <v>-2.1162223279672204E-9</v>
      </c>
      <c r="AC16" s="2">
        <f t="shared" si="5"/>
        <v>2.9406230420857339E-9</v>
      </c>
      <c r="AD16" s="2">
        <f t="shared" si="6"/>
        <v>2.44140625E-4</v>
      </c>
      <c r="AF16" s="2">
        <v>12</v>
      </c>
      <c r="AG16" s="2">
        <f t="shared" si="13"/>
        <v>2202.392578125</v>
      </c>
      <c r="AH16" s="2">
        <v>-0.66222437001010803</v>
      </c>
      <c r="AI16" s="2">
        <f t="shared" si="14"/>
        <v>2207.03125</v>
      </c>
      <c r="AJ16" s="2">
        <v>1.4707159482245515</v>
      </c>
      <c r="AK16" s="2">
        <f t="shared" si="9"/>
        <v>2204.7119140625</v>
      </c>
      <c r="AL16" s="2">
        <v>0.40448768601095253</v>
      </c>
      <c r="AM16" s="2">
        <f t="shared" si="10"/>
        <v>-0.26786160304544943</v>
      </c>
      <c r="AN16" s="2">
        <f t="shared" si="11"/>
        <v>0.5948864906767527</v>
      </c>
      <c r="AO16" s="2">
        <f t="shared" si="12"/>
        <v>4.638671875</v>
      </c>
    </row>
    <row r="17" spans="2:41" x14ac:dyDescent="0.2">
      <c r="B17" s="6" t="s">
        <v>12</v>
      </c>
      <c r="C17" s="17">
        <f>100*1000</f>
        <v>100000</v>
      </c>
      <c r="D17" s="6" t="s">
        <v>8</v>
      </c>
      <c r="F17" s="9" t="s">
        <v>97</v>
      </c>
      <c r="G17" s="6">
        <f xml:space="preserve"> 1/1000 * (O25 + O20 * (O30 * O27 + $C$7 * SIN(O19/180*PI())))</f>
        <v>114.0653214483131</v>
      </c>
      <c r="H17" s="6" t="s">
        <v>101</v>
      </c>
      <c r="J17" s="12" t="s">
        <v>127</v>
      </c>
      <c r="K17" s="6">
        <v>0</v>
      </c>
      <c r="L17" s="6" t="s">
        <v>7</v>
      </c>
      <c r="U17" s="2">
        <v>13</v>
      </c>
      <c r="V17" s="2">
        <f t="shared" si="7"/>
        <v>0.970947265625</v>
      </c>
      <c r="W17" s="2">
        <f t="shared" si="0"/>
        <v>1.0423266278014598E-4</v>
      </c>
      <c r="X17" s="2">
        <f t="shared" si="8"/>
        <v>0.9710693359375</v>
      </c>
      <c r="Y17" s="2">
        <f t="shared" si="1"/>
        <v>-2.0302871206800965E-5</v>
      </c>
      <c r="Z17" s="2">
        <f t="shared" si="3"/>
        <v>0.97100830078125</v>
      </c>
      <c r="AA17" s="2">
        <f t="shared" si="2"/>
        <v>4.1964819155415611E-5</v>
      </c>
      <c r="AB17" s="2">
        <f t="shared" si="4"/>
        <v>4.3741048436562455E-9</v>
      </c>
      <c r="AC17" s="2">
        <f t="shared" si="5"/>
        <v>-8.5200631852909718E-10</v>
      </c>
      <c r="AD17" s="2">
        <f t="shared" si="6"/>
        <v>1.220703125E-4</v>
      </c>
      <c r="AF17" s="2">
        <v>13</v>
      </c>
      <c r="AG17" s="2">
        <f t="shared" si="13"/>
        <v>2202.392578125</v>
      </c>
      <c r="AH17" s="2">
        <v>-0.66222437001010803</v>
      </c>
      <c r="AI17" s="2">
        <f t="shared" si="14"/>
        <v>2204.7119140625</v>
      </c>
      <c r="AJ17" s="2">
        <v>0.40448768601095253</v>
      </c>
      <c r="AK17" s="2">
        <f t="shared" si="9"/>
        <v>2203.55224609375</v>
      </c>
      <c r="AL17" s="2">
        <v>-0.12880801845471979</v>
      </c>
      <c r="AM17" s="2">
        <f t="shared" si="10"/>
        <v>8.5299808873427183E-2</v>
      </c>
      <c r="AN17" s="2">
        <f t="shared" si="11"/>
        <v>-5.2101257324405674E-2</v>
      </c>
      <c r="AO17" s="2">
        <f t="shared" si="12"/>
        <v>2.3193359375</v>
      </c>
    </row>
    <row r="18" spans="2:41" x14ac:dyDescent="0.2">
      <c r="B18" s="6" t="s">
        <v>136</v>
      </c>
      <c r="C18" s="17">
        <v>1</v>
      </c>
      <c r="F18" t="s">
        <v>146</v>
      </c>
      <c r="G18" s="6">
        <f xml:space="preserve"> (G16/$C$74*1000) / (G17*1000)</f>
        <v>1.4533132627381593</v>
      </c>
      <c r="H18" s="6" t="s">
        <v>147</v>
      </c>
      <c r="J18" s="13" t="s">
        <v>53</v>
      </c>
      <c r="K18" s="6">
        <f xml:space="preserve"> $C$78 * (0.2138 * K4 + 0.2138 * K6)</f>
        <v>116.75277567941524</v>
      </c>
      <c r="L18" s="6" t="s">
        <v>7</v>
      </c>
      <c r="N18" s="32" t="s">
        <v>181</v>
      </c>
      <c r="O18" s="35"/>
      <c r="P18" s="35"/>
      <c r="U18" s="2">
        <v>14</v>
      </c>
      <c r="V18" s="2">
        <f t="shared" si="7"/>
        <v>0.97100830078125</v>
      </c>
      <c r="W18" s="2">
        <f t="shared" si="0"/>
        <v>4.1964819155415611E-5</v>
      </c>
      <c r="X18" s="2">
        <f t="shared" si="8"/>
        <v>0.9710693359375</v>
      </c>
      <c r="Y18" s="2">
        <f t="shared" si="1"/>
        <v>-2.0302871206800965E-5</v>
      </c>
      <c r="Z18" s="2">
        <f t="shared" si="3"/>
        <v>0.971038818359375</v>
      </c>
      <c r="AA18" s="2">
        <f t="shared" si="2"/>
        <v>1.08309548182417E-5</v>
      </c>
      <c r="AB18" s="2">
        <f t="shared" si="4"/>
        <v>4.5451906022799031E-10</v>
      </c>
      <c r="AC18" s="2">
        <f t="shared" si="5"/>
        <v>-2.1989948072144159E-10</v>
      </c>
      <c r="AD18" s="2">
        <f t="shared" si="6"/>
        <v>6.103515625E-5</v>
      </c>
      <c r="AF18" s="2">
        <v>14</v>
      </c>
      <c r="AG18" s="2">
        <f t="shared" si="13"/>
        <v>2203.55224609375</v>
      </c>
      <c r="AH18" s="2">
        <v>-0.12880801845471979</v>
      </c>
      <c r="AI18" s="2">
        <f t="shared" si="14"/>
        <v>2204.7119140625</v>
      </c>
      <c r="AJ18" s="2">
        <v>0.40448768601095253</v>
      </c>
      <c r="AK18" s="2">
        <f t="shared" si="9"/>
        <v>2204.132080078125</v>
      </c>
      <c r="AL18" s="2">
        <v>0.13785506418844307</v>
      </c>
      <c r="AM18" s="2">
        <f t="shared" si="10"/>
        <v>-1.7756837652061555E-2</v>
      </c>
      <c r="AN18" s="2">
        <f t="shared" si="11"/>
        <v>5.5760675918474667E-2</v>
      </c>
      <c r="AO18" s="2">
        <f t="shared" si="12"/>
        <v>1.15966796875</v>
      </c>
    </row>
    <row r="19" spans="2:41" x14ac:dyDescent="0.2">
      <c r="F19" s="9" t="s">
        <v>148</v>
      </c>
      <c r="G19" s="6">
        <f>O23 / ($C$29*$C$11/PI())</f>
        <v>4.5298102081450582E-2</v>
      </c>
      <c r="J19" s="13" t="s">
        <v>77</v>
      </c>
      <c r="K19" s="6">
        <f xml:space="preserve"> $C$78 * (0.1149 * K4 + 0.1149 * K6)</f>
        <v>62.745060456336809</v>
      </c>
      <c r="L19" s="6" t="s">
        <v>7</v>
      </c>
      <c r="N19" s="6" t="s">
        <v>25</v>
      </c>
      <c r="O19" s="6">
        <f xml:space="preserve"> 90 - $C$81</f>
        <v>85</v>
      </c>
      <c r="P19" s="6" t="s">
        <v>40</v>
      </c>
      <c r="U19" s="2">
        <v>15</v>
      </c>
      <c r="V19" s="2">
        <f t="shared" si="7"/>
        <v>0.971038818359375</v>
      </c>
      <c r="W19" s="2">
        <f t="shared" si="0"/>
        <v>1.08309548182417E-5</v>
      </c>
      <c r="X19" s="2">
        <f t="shared" si="8"/>
        <v>0.9710693359375</v>
      </c>
      <c r="Y19" s="2">
        <f t="shared" si="1"/>
        <v>-2.0302871206800965E-5</v>
      </c>
      <c r="Z19" s="2">
        <f t="shared" si="3"/>
        <v>0.9710540771484375</v>
      </c>
      <c r="AA19" s="2">
        <f t="shared" si="2"/>
        <v>-4.7359629831156269E-6</v>
      </c>
      <c r="AB19" s="2">
        <f t="shared" si="4"/>
        <v>-5.1295001090990536E-11</v>
      </c>
      <c r="AC19" s="2">
        <f t="shared" si="5"/>
        <v>9.6153646486373473E-11</v>
      </c>
      <c r="AD19" s="2">
        <f t="shared" si="6"/>
        <v>3.0517578125E-5</v>
      </c>
      <c r="AF19" s="2">
        <v>15</v>
      </c>
      <c r="AG19" s="2">
        <f t="shared" si="13"/>
        <v>2203.55224609375</v>
      </c>
      <c r="AH19" s="2">
        <v>-0.12880801845471979</v>
      </c>
      <c r="AI19" s="2">
        <f t="shared" si="14"/>
        <v>2204.132080078125</v>
      </c>
      <c r="AJ19" s="2">
        <v>0.13785506418844307</v>
      </c>
      <c r="AK19" s="2">
        <f t="shared" si="9"/>
        <v>2203.8421630859375</v>
      </c>
      <c r="AL19" s="2">
        <v>4.527255761786364E-3</v>
      </c>
      <c r="AM19" s="2">
        <f t="shared" si="10"/>
        <v>-5.8314684371341444E-4</v>
      </c>
      <c r="AN19" s="2">
        <f t="shared" si="11"/>
        <v>6.2410513363855792E-4</v>
      </c>
      <c r="AO19" s="2">
        <f t="shared" si="12"/>
        <v>0.579833984375</v>
      </c>
    </row>
    <row r="20" spans="2:41" x14ac:dyDescent="0.2">
      <c r="B20" s="30" t="s">
        <v>110</v>
      </c>
      <c r="C20" s="30"/>
      <c r="D20" s="30"/>
      <c r="F20" s="26" t="s">
        <v>132</v>
      </c>
      <c r="G20" s="25">
        <f xml:space="preserve"> $C$28 * G17</f>
        <v>114.0653214483131</v>
      </c>
      <c r="H20" s="25" t="s">
        <v>101</v>
      </c>
      <c r="J20" s="14" t="s">
        <v>60</v>
      </c>
      <c r="K20" s="6">
        <f xml:space="preserve"> $C$79 * (14.86 * ($C$5*2.20462)^0.144 * ($C$36/(PI()*$C$37))^0.778 * ($C$36*3.28084)^0.383 * $C$35^0.455 * 0.453592)</f>
        <v>214.96257323240866</v>
      </c>
      <c r="L20" s="6" t="s">
        <v>7</v>
      </c>
      <c r="N20" s="6" t="s">
        <v>19</v>
      </c>
      <c r="O20" s="6">
        <f xml:space="preserve"> O14 / $C$28</f>
        <v>1624.663698365732</v>
      </c>
      <c r="P20" s="6" t="s">
        <v>20</v>
      </c>
      <c r="U20" s="2">
        <v>16</v>
      </c>
      <c r="V20" s="2">
        <f t="shared" si="7"/>
        <v>0.971038818359375</v>
      </c>
      <c r="W20" s="2">
        <f t="shared" si="0"/>
        <v>1.08309548182417E-5</v>
      </c>
      <c r="X20" s="2">
        <f t="shared" si="8"/>
        <v>0.9710540771484375</v>
      </c>
      <c r="Y20" s="2">
        <f t="shared" si="1"/>
        <v>-4.7359629831156269E-6</v>
      </c>
      <c r="Z20" s="2">
        <f t="shared" si="3"/>
        <v>0.97104644775390625</v>
      </c>
      <c r="AA20" s="2">
        <f t="shared" si="2"/>
        <v>3.0474947203540381E-6</v>
      </c>
      <c r="AB20" s="2">
        <f t="shared" si="4"/>
        <v>3.3007277624984715E-11</v>
      </c>
      <c r="AC20" s="2">
        <f t="shared" si="5"/>
        <v>-1.4432822186837034E-11</v>
      </c>
      <c r="AD20" s="2">
        <f t="shared" si="6"/>
        <v>1.52587890625E-5</v>
      </c>
      <c r="AF20" s="2">
        <v>16</v>
      </c>
      <c r="AG20" s="2">
        <f t="shared" si="13"/>
        <v>2203.55224609375</v>
      </c>
      <c r="AH20" s="2">
        <v>-0.12880801845471979</v>
      </c>
      <c r="AI20" s="2">
        <f t="shared" si="14"/>
        <v>2203.8421630859375</v>
      </c>
      <c r="AJ20" s="2">
        <v>4.527255761786364E-3</v>
      </c>
      <c r="AK20" s="2">
        <f t="shared" si="9"/>
        <v>2203.6972045898438</v>
      </c>
      <c r="AL20" s="2">
        <v>-6.2139448123843977E-2</v>
      </c>
      <c r="AM20" s="2">
        <f t="shared" si="10"/>
        <v>8.0040591807021971E-3</v>
      </c>
      <c r="AN20" s="2">
        <f t="shared" si="11"/>
        <v>-2.8132117455289748E-4</v>
      </c>
      <c r="AO20" s="2">
        <f t="shared" si="12"/>
        <v>0.2899169921875</v>
      </c>
    </row>
    <row r="21" spans="2:41" x14ac:dyDescent="0.2">
      <c r="B21" s="6" t="s">
        <v>94</v>
      </c>
      <c r="C21" s="17">
        <v>8</v>
      </c>
      <c r="J21" s="14" t="s">
        <v>61</v>
      </c>
      <c r="K21" s="6">
        <f xml:space="preserve"> $C$79 * C41 * $C$5</f>
        <v>57.29928365195164</v>
      </c>
      <c r="L21" s="6" t="s">
        <v>7</v>
      </c>
      <c r="N21" s="6" t="s">
        <v>26</v>
      </c>
      <c r="O21" s="6">
        <f>$C$6*2*PI()/60</f>
        <v>42.728503239064231</v>
      </c>
      <c r="P21" s="6" t="s">
        <v>27</v>
      </c>
      <c r="U21" s="2">
        <v>17</v>
      </c>
      <c r="V21" s="2">
        <f t="shared" si="7"/>
        <v>0.97104644775390625</v>
      </c>
      <c r="W21" s="2">
        <f t="shared" si="0"/>
        <v>3.0474947203540381E-6</v>
      </c>
      <c r="X21" s="2">
        <f t="shared" si="8"/>
        <v>0.9710540771484375</v>
      </c>
      <c r="Y21" s="2">
        <f t="shared" si="1"/>
        <v>-4.7359629831156269E-6</v>
      </c>
      <c r="Z21" s="2">
        <f t="shared" si="3"/>
        <v>0.97105026245117188</v>
      </c>
      <c r="AA21" s="2">
        <f t="shared" si="2"/>
        <v>-8.4423443069692183E-7</v>
      </c>
      <c r="AB21" s="2">
        <f t="shared" si="4"/>
        <v>-2.5727999702899662E-12</v>
      </c>
      <c r="AC21" s="2">
        <f t="shared" si="5"/>
        <v>3.9982630128523168E-12</v>
      </c>
      <c r="AD21" s="2">
        <f t="shared" si="6"/>
        <v>7.62939453125E-6</v>
      </c>
      <c r="AF21" s="2">
        <v>17</v>
      </c>
      <c r="AG21" s="2">
        <f t="shared" si="13"/>
        <v>2203.6972045898438</v>
      </c>
      <c r="AH21" s="2">
        <v>-6.2139448123843977E-2</v>
      </c>
      <c r="AI21" s="2">
        <f t="shared" si="14"/>
        <v>2203.8421630859375</v>
      </c>
      <c r="AJ21" s="2">
        <v>4.527255761786364E-3</v>
      </c>
      <c r="AK21" s="2">
        <f t="shared" si="9"/>
        <v>2203.7696838378906</v>
      </c>
      <c r="AL21" s="2">
        <v>-2.8805564157210028E-2</v>
      </c>
      <c r="AM21" s="2">
        <f t="shared" si="10"/>
        <v>1.7899618596250121E-3</v>
      </c>
      <c r="AN21" s="2">
        <f t="shared" si="11"/>
        <v>-1.3041015630223588E-4</v>
      </c>
      <c r="AO21" s="2">
        <f t="shared" si="12"/>
        <v>0.14495849609375</v>
      </c>
    </row>
    <row r="22" spans="2:41" x14ac:dyDescent="0.2">
      <c r="B22" s="6" t="s">
        <v>109</v>
      </c>
      <c r="C22" s="17">
        <v>2</v>
      </c>
      <c r="F22" s="30" t="s">
        <v>81</v>
      </c>
      <c r="G22" s="30"/>
      <c r="H22" s="30"/>
      <c r="J22" s="14" t="s">
        <v>182</v>
      </c>
      <c r="K22" s="6">
        <f xml:space="preserve"> $C$79 * (0.04674 * ($C$5*2.20462)^0.397 * ($C$12*3.28084^2)^0.36 * $C$46^0.397 * $C$13^1.712 * 0.453592)</f>
        <v>159.39640656523474</v>
      </c>
      <c r="L22" s="6" t="s">
        <v>7</v>
      </c>
      <c r="N22" s="6" t="s">
        <v>28</v>
      </c>
      <c r="O22" s="6">
        <f xml:space="preserve"> $C$7 * COS(O19/180*PI()) / (O21 * $C$10)</f>
        <v>8.3227667834717231E-2</v>
      </c>
      <c r="U22" s="2">
        <v>18</v>
      </c>
      <c r="V22" s="2">
        <f t="shared" si="7"/>
        <v>0.97104644775390625</v>
      </c>
      <c r="W22" s="2">
        <f t="shared" si="0"/>
        <v>3.0474947203540381E-6</v>
      </c>
      <c r="X22" s="2">
        <f t="shared" si="8"/>
        <v>0.97105026245117188</v>
      </c>
      <c r="Y22" s="2">
        <f t="shared" si="1"/>
        <v>-8.4423443069692183E-7</v>
      </c>
      <c r="Z22" s="2">
        <f t="shared" si="3"/>
        <v>0.97104835510253906</v>
      </c>
      <c r="AA22" s="2">
        <f t="shared" si="2"/>
        <v>1.1016300700550374E-6</v>
      </c>
      <c r="AB22" s="2">
        <f t="shared" si="4"/>
        <v>3.3572118222759757E-12</v>
      </c>
      <c r="AC22" s="2">
        <f t="shared" si="5"/>
        <v>-9.3003403503152456E-13</v>
      </c>
      <c r="AD22" s="2">
        <f t="shared" si="6"/>
        <v>3.814697265625E-6</v>
      </c>
      <c r="AF22" s="2">
        <v>18</v>
      </c>
      <c r="AG22" s="2">
        <f t="shared" si="13"/>
        <v>2203.7696838378906</v>
      </c>
      <c r="AH22" s="2">
        <v>-2.8805564157210028E-2</v>
      </c>
      <c r="AI22" s="2">
        <f t="shared" si="14"/>
        <v>2203.8421630859375</v>
      </c>
      <c r="AJ22" s="2">
        <v>4.527255761786364E-3</v>
      </c>
      <c r="AK22" s="2">
        <f t="shared" si="9"/>
        <v>2203.8059234619141</v>
      </c>
      <c r="AL22" s="2">
        <v>-1.2139394591258679E-2</v>
      </c>
      <c r="AM22" s="2">
        <f t="shared" si="10"/>
        <v>3.4968210972819027E-4</v>
      </c>
      <c r="AN22" s="2">
        <f t="shared" si="11"/>
        <v>-5.4958144107874076E-5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85</v>
      </c>
      <c r="G23" s="17">
        <f>300*0.3048/60</f>
        <v>1.524</v>
      </c>
      <c r="H23" s="6" t="s">
        <v>10</v>
      </c>
      <c r="J23" s="14" t="s">
        <v>62</v>
      </c>
      <c r="K23" s="6">
        <f xml:space="preserve"> $C$79 * (3.184 * ($C$5*2.20462)^0.887 * ($C$50*3.28084*3.28084)^0.101 * ($C$49)^0.138 ) / ( 174.04 * ($C$51*3.28084)^0.223 ) * 0.453592</f>
        <v>24.860527175629027</v>
      </c>
      <c r="L23" s="6" t="s">
        <v>7</v>
      </c>
      <c r="N23" s="6" t="s">
        <v>29</v>
      </c>
      <c r="O23" s="6">
        <f xml:space="preserve"> O20 / ( $C$71 * PI() * $C$10^2 * O21^2 * $C$10^2)</f>
        <v>3.850261167687704E-2</v>
      </c>
      <c r="U23" s="2">
        <v>19</v>
      </c>
      <c r="V23" s="2">
        <f t="shared" si="7"/>
        <v>0.97104835510253906</v>
      </c>
      <c r="W23" s="2">
        <f t="shared" si="0"/>
        <v>1.1016300700550374E-6</v>
      </c>
      <c r="X23" s="2">
        <f t="shared" si="8"/>
        <v>0.97105026245117188</v>
      </c>
      <c r="Y23" s="2">
        <f t="shared" si="1"/>
        <v>-8.4423443069692183E-7</v>
      </c>
      <c r="Z23" s="2">
        <f t="shared" si="3"/>
        <v>0.97104930877685547</v>
      </c>
      <c r="AA23" s="2">
        <f t="shared" si="2"/>
        <v>1.2869780097179984E-7</v>
      </c>
      <c r="AB23" s="2">
        <f t="shared" si="4"/>
        <v>1.4177736750049312E-13</v>
      </c>
      <c r="AC23" s="2">
        <f t="shared" si="5"/>
        <v>-1.0865111473537319E-13</v>
      </c>
      <c r="AD23" s="2">
        <f t="shared" si="6"/>
        <v>1.9073486328125E-6</v>
      </c>
      <c r="AF23" s="2">
        <v>19</v>
      </c>
      <c r="AG23" s="2">
        <f t="shared" si="13"/>
        <v>2203.8059234619141</v>
      </c>
      <c r="AH23" s="2">
        <v>-1.2139394591258679E-2</v>
      </c>
      <c r="AI23" s="2">
        <f t="shared" si="14"/>
        <v>2203.8421630859375</v>
      </c>
      <c r="AJ23" s="2">
        <v>4.527255761786364E-3</v>
      </c>
      <c r="AK23" s="2">
        <f t="shared" si="9"/>
        <v>2203.8240432739258</v>
      </c>
      <c r="AL23" s="2">
        <v>-3.8057561112054827E-3</v>
      </c>
      <c r="AM23" s="2">
        <f t="shared" si="10"/>
        <v>4.61995751520175E-5</v>
      </c>
      <c r="AN23" s="2">
        <f t="shared" si="11"/>
        <v>-1.7229631282408689E-5</v>
      </c>
      <c r="AO23" s="2">
        <f t="shared" si="12"/>
        <v>3.62396240234375E-2</v>
      </c>
    </row>
    <row r="24" spans="2:41" x14ac:dyDescent="0.2">
      <c r="B24" s="6" t="s">
        <v>183</v>
      </c>
      <c r="C24" s="17">
        <v>0.75</v>
      </c>
      <c r="F24" s="6" t="s">
        <v>91</v>
      </c>
      <c r="G24" s="17">
        <f>1000*0.3048</f>
        <v>304.8</v>
      </c>
      <c r="H24" s="6" t="s">
        <v>8</v>
      </c>
      <c r="J24" s="14" t="s">
        <v>63</v>
      </c>
      <c r="K24" s="6">
        <f xml:space="preserve"> $C$79 * ( 1.68 * ($C$5*2.20462)^0.567 * ($C$55*3.28084*3.28084)^1.249 * ($C$54)^0.482 ) / (639.95 * ($C$56*3.28084)^0.747 * (COS($C$57/180*PI()))^0.882 ) * 0.453592</f>
        <v>8.6723350896223081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0.97104930877685547</v>
      </c>
      <c r="W24" s="2">
        <f t="shared" si="0"/>
        <v>1.2869780097179984E-7</v>
      </c>
      <c r="X24" s="2">
        <f t="shared" si="8"/>
        <v>0.97105026245117188</v>
      </c>
      <c r="Y24" s="2">
        <f t="shared" si="1"/>
        <v>-8.4423443069692183E-7</v>
      </c>
      <c r="Z24" s="2">
        <f t="shared" si="3"/>
        <v>0.97104978561401367</v>
      </c>
      <c r="AA24" s="2">
        <f t="shared" si="2"/>
        <v>-3.577683195254977E-7</v>
      </c>
      <c r="AB24" s="2">
        <f t="shared" si="4"/>
        <v>-4.604399598030779E-14</v>
      </c>
      <c r="AC24" s="2">
        <f t="shared" si="5"/>
        <v>3.0204033355600298E-13</v>
      </c>
      <c r="AD24" s="2">
        <f t="shared" si="6"/>
        <v>9.5367431640625E-7</v>
      </c>
      <c r="AF24" s="2">
        <v>20</v>
      </c>
      <c r="AG24" s="2">
        <f t="shared" si="13"/>
        <v>2203.8240432739258</v>
      </c>
      <c r="AH24" s="2">
        <v>-3.8057561112054827E-3</v>
      </c>
      <c r="AI24" s="2">
        <f t="shared" si="14"/>
        <v>2203.8421630859375</v>
      </c>
      <c r="AJ24" s="2">
        <v>4.527255761786364E-3</v>
      </c>
      <c r="AK24" s="2">
        <f t="shared" si="9"/>
        <v>2203.8331031799316</v>
      </c>
      <c r="AL24" s="2">
        <v>3.610521941936895E-4</v>
      </c>
      <c r="AM24" s="2">
        <f t="shared" si="10"/>
        <v>-1.3740765945167825E-6</v>
      </c>
      <c r="AN24" s="2">
        <f t="shared" si="11"/>
        <v>1.6345756264689899E-6</v>
      </c>
      <c r="AO24" s="2">
        <f t="shared" si="12"/>
        <v>1.811981201171875E-2</v>
      </c>
    </row>
    <row r="25" spans="2:41" x14ac:dyDescent="0.2">
      <c r="B25" s="6" t="s">
        <v>155</v>
      </c>
      <c r="C25" s="17">
        <v>50</v>
      </c>
      <c r="D25" s="6" t="s">
        <v>58</v>
      </c>
      <c r="F25" s="6" t="s">
        <v>90</v>
      </c>
      <c r="G25" s="6">
        <f xml:space="preserve"> $G$24/$G$23</f>
        <v>200</v>
      </c>
      <c r="H25" s="6" t="s">
        <v>13</v>
      </c>
      <c r="J25" s="14" t="s">
        <v>112</v>
      </c>
      <c r="K25" s="6">
        <f>$C$79*(0.14*$G$10*1000/745.7)*0.453592</f>
        <v>23.231630157367874</v>
      </c>
      <c r="L25" s="6" t="s">
        <v>7</v>
      </c>
      <c r="N25" s="6" t="s">
        <v>30</v>
      </c>
      <c r="O25" s="6">
        <f xml:space="preserve"> ($C$30 * $O$24 / 8) * (1 + 4.65 * O22^2) * ( PI() * $C$71 * O21^3 * $C$10^5)</f>
        <v>2892.1273102869059</v>
      </c>
      <c r="P25" s="6" t="s">
        <v>18</v>
      </c>
      <c r="U25" s="2">
        <v>21</v>
      </c>
      <c r="V25" s="2">
        <f t="shared" si="7"/>
        <v>0.97104930877685547</v>
      </c>
      <c r="W25" s="2">
        <f t="shared" si="0"/>
        <v>1.2869780097179984E-7</v>
      </c>
      <c r="X25" s="2">
        <f t="shared" si="8"/>
        <v>0.97104978561401367</v>
      </c>
      <c r="Y25" s="2">
        <f t="shared" si="1"/>
        <v>-3.577683195254977E-7</v>
      </c>
      <c r="Z25" s="2">
        <f t="shared" si="3"/>
        <v>0.97104954719543457</v>
      </c>
      <c r="AA25" s="2">
        <f t="shared" si="2"/>
        <v>-1.1453526049809426E-7</v>
      </c>
      <c r="AB25" s="2">
        <f t="shared" si="4"/>
        <v>-1.4740436159836983E-14</v>
      </c>
      <c r="AC25" s="2">
        <f t="shared" si="5"/>
        <v>4.0977087674818301E-14</v>
      </c>
      <c r="AD25" s="2">
        <f t="shared" si="6"/>
        <v>4.76837158203125E-7</v>
      </c>
      <c r="AF25" s="2">
        <v>21</v>
      </c>
      <c r="AG25" s="2">
        <f t="shared" si="13"/>
        <v>2203.8240432739258</v>
      </c>
      <c r="AH25" s="2">
        <v>-3.8057561112054827E-3</v>
      </c>
      <c r="AI25" s="2">
        <f t="shared" si="14"/>
        <v>2203.8331031799316</v>
      </c>
      <c r="AJ25" s="2">
        <v>3.610521941936895E-4</v>
      </c>
      <c r="AK25" s="2">
        <f t="shared" si="9"/>
        <v>2203.8285732269287</v>
      </c>
      <c r="AL25" s="2">
        <v>-1.7223510478743265E-3</v>
      </c>
      <c r="AM25" s="2">
        <f t="shared" si="10"/>
        <v>6.5548480260888849E-6</v>
      </c>
      <c r="AN25" s="2">
        <f t="shared" si="11"/>
        <v>-6.2185862500682589E-7</v>
      </c>
      <c r="AO25" s="2">
        <f t="shared" si="12"/>
        <v>9.059906005859375E-3</v>
      </c>
    </row>
    <row r="26" spans="2:41" x14ac:dyDescent="0.2">
      <c r="F26" s="6" t="s">
        <v>19</v>
      </c>
      <c r="G26" s="6">
        <f xml:space="preserve"> $C$5 * $C$68 / $C$21</f>
        <v>2700.0885771417652</v>
      </c>
      <c r="H26" s="6" t="s">
        <v>20</v>
      </c>
      <c r="J26" s="15" t="s">
        <v>64</v>
      </c>
      <c r="K26" s="6">
        <f xml:space="preserve"> $C$80 * (0.0268 * $C$5)</f>
        <v>47.249870826840123</v>
      </c>
      <c r="L26" s="6" t="s">
        <v>7</v>
      </c>
      <c r="N26" s="6" t="s">
        <v>31</v>
      </c>
      <c r="O26" s="18">
        <f>Z34</f>
        <v>0.97104943497106433</v>
      </c>
      <c r="U26" s="2">
        <v>22</v>
      </c>
      <c r="V26" s="2">
        <f t="shared" si="7"/>
        <v>0.97104930877685547</v>
      </c>
      <c r="W26" s="2">
        <f t="shared" si="0"/>
        <v>1.2869780097179984E-7</v>
      </c>
      <c r="X26" s="2">
        <f t="shared" si="8"/>
        <v>0.97104954719543457</v>
      </c>
      <c r="Y26" s="2">
        <f t="shared" si="1"/>
        <v>-1.1453526049809426E-7</v>
      </c>
      <c r="Z26" s="2">
        <f t="shared" si="3"/>
        <v>0.97104942798614502</v>
      </c>
      <c r="AA26" s="2">
        <f t="shared" si="2"/>
        <v>7.0812700148081831E-9</v>
      </c>
      <c r="AB26" s="2">
        <f t="shared" si="4"/>
        <v>9.113438789933577E-16</v>
      </c>
      <c r="AC26" s="2">
        <f t="shared" si="5"/>
        <v>-8.1105510580339902E-16</v>
      </c>
      <c r="AD26" s="2">
        <f t="shared" si="6"/>
        <v>2.384185791015625E-7</v>
      </c>
      <c r="AF26" s="2">
        <v>22</v>
      </c>
      <c r="AG26" s="2">
        <f t="shared" si="13"/>
        <v>2203.8285732269287</v>
      </c>
      <c r="AH26" s="2">
        <v>-1.7223510478743265E-3</v>
      </c>
      <c r="AI26" s="2">
        <f t="shared" si="14"/>
        <v>2203.8331031799316</v>
      </c>
      <c r="AJ26" s="2">
        <v>3.610521941936895E-4</v>
      </c>
      <c r="AK26" s="2">
        <f t="shared" si="9"/>
        <v>2203.8308382034302</v>
      </c>
      <c r="AL26" s="2">
        <v>-6.8064919923926936E-4</v>
      </c>
      <c r="AM26" s="2">
        <f t="shared" si="10"/>
        <v>1.1723168615445768E-6</v>
      </c>
      <c r="AN26" s="2">
        <f t="shared" si="11"/>
        <v>-2.4574988686151594E-7</v>
      </c>
      <c r="AO26" s="2">
        <f t="shared" si="12"/>
        <v>4.5299530029296875E-3</v>
      </c>
    </row>
    <row r="27" spans="2:41" x14ac:dyDescent="0.2">
      <c r="B27" s="30" t="s">
        <v>184</v>
      </c>
      <c r="C27" s="30"/>
      <c r="D27" s="30"/>
      <c r="F27" t="s">
        <v>97</v>
      </c>
      <c r="G27" s="6">
        <f>G29/$C$21</f>
        <v>37.777770682791527</v>
      </c>
      <c r="H27" t="s">
        <v>101</v>
      </c>
      <c r="J27" s="15" t="s">
        <v>65</v>
      </c>
      <c r="K27" s="6">
        <f xml:space="preserve"> $C$80 * (11.5 * ($C$5*2.20462/1000)^0.4 * 0.453592)</f>
        <v>7.8533878943506625</v>
      </c>
      <c r="L27" s="6" t="s">
        <v>7</v>
      </c>
      <c r="N27" s="6" t="s">
        <v>32</v>
      </c>
      <c r="O27" s="6">
        <f xml:space="preserve"> O21 * $C$10 * O26 - $C$7 * SIN(O19/180*PI())</f>
        <v>1.3870606184532193</v>
      </c>
      <c r="P27" s="6" t="s">
        <v>10</v>
      </c>
      <c r="U27" s="2">
        <v>23</v>
      </c>
      <c r="V27" s="2">
        <f t="shared" si="7"/>
        <v>0.97104942798614502</v>
      </c>
      <c r="W27" s="2">
        <f t="shared" si="0"/>
        <v>7.0812700148081831E-9</v>
      </c>
      <c r="X27" s="2">
        <f t="shared" si="8"/>
        <v>0.97104954719543457</v>
      </c>
      <c r="Y27" s="2">
        <f t="shared" si="1"/>
        <v>-1.1453526049809426E-7</v>
      </c>
      <c r="Z27" s="2">
        <f t="shared" si="3"/>
        <v>0.97104948759078979</v>
      </c>
      <c r="AA27" s="2">
        <f t="shared" si="2"/>
        <v>-5.372699529715419E-8</v>
      </c>
      <c r="AB27" s="2">
        <f t="shared" si="4"/>
        <v>-3.8045536078347823E-16</v>
      </c>
      <c r="AC27" s="2">
        <f t="shared" si="5"/>
        <v>6.1536354021394401E-15</v>
      </c>
      <c r="AD27" s="2">
        <f t="shared" si="6"/>
        <v>1.1920928955078125E-7</v>
      </c>
      <c r="AF27" s="2">
        <v>23</v>
      </c>
      <c r="AG27" s="2">
        <f t="shared" si="13"/>
        <v>2203.8308382034302</v>
      </c>
      <c r="AH27" s="2">
        <v>-6.8064919923926936E-4</v>
      </c>
      <c r="AI27" s="2">
        <f t="shared" si="14"/>
        <v>2203.8331031799316</v>
      </c>
      <c r="AJ27" s="2">
        <v>3.610521941936895E-4</v>
      </c>
      <c r="AK27" s="2">
        <f t="shared" si="9"/>
        <v>2203.8319706916809</v>
      </c>
      <c r="AL27" s="2">
        <v>-1.5979844556568423E-4</v>
      </c>
      <c r="AM27" s="2">
        <f t="shared" si="10"/>
        <v>1.0876668401396294E-7</v>
      </c>
      <c r="AN27" s="2">
        <f t="shared" si="11"/>
        <v>-5.7695579400231145E-8</v>
      </c>
      <c r="AO27" s="2">
        <f t="shared" si="12"/>
        <v>2.2649765014648438E-3</v>
      </c>
    </row>
    <row r="28" spans="2:41" x14ac:dyDescent="0.2">
      <c r="B28" s="6" t="s">
        <v>185</v>
      </c>
      <c r="C28" s="17">
        <v>1</v>
      </c>
      <c r="F28" t="s">
        <v>146</v>
      </c>
      <c r="G28" s="6">
        <f xml:space="preserve"> (G26/$C$68*1000) / (G27*1000)</f>
        <v>7.2920482143551295</v>
      </c>
      <c r="H28" s="6" t="s">
        <v>147</v>
      </c>
      <c r="J28" s="15" t="s">
        <v>66</v>
      </c>
      <c r="K28" s="6">
        <f xml:space="preserve"> $C$80 * (8 * ($C$5/1000))</f>
        <v>14.104439052788095</v>
      </c>
      <c r="L28" s="6" t="s">
        <v>7</v>
      </c>
      <c r="N28" s="6" t="s">
        <v>33</v>
      </c>
      <c r="O28" s="6">
        <f xml:space="preserve"> 1/$C$31 - O25 * SQRT( (2*$C$71*PI()*$C$10^2) / O20^3 )</f>
        <v>1.1506251891126813</v>
      </c>
      <c r="U28" s="2">
        <v>24</v>
      </c>
      <c r="V28" s="2">
        <f t="shared" si="7"/>
        <v>0.97104942798614502</v>
      </c>
      <c r="W28" s="2">
        <f t="shared" si="0"/>
        <v>7.0812700148081831E-9</v>
      </c>
      <c r="X28" s="2">
        <f t="shared" si="8"/>
        <v>0.97104948759078979</v>
      </c>
      <c r="Y28" s="2">
        <f t="shared" si="1"/>
        <v>-5.372699529715419E-8</v>
      </c>
      <c r="Z28" s="2">
        <f t="shared" si="3"/>
        <v>0.97104945778846741</v>
      </c>
      <c r="AA28" s="2">
        <f t="shared" si="2"/>
        <v>-2.3322862641173003E-8</v>
      </c>
      <c r="AB28" s="2">
        <f t="shared" si="4"/>
        <v>-1.6515548788042837E-16</v>
      </c>
      <c r="AC28" s="2">
        <f t="shared" si="5"/>
        <v>1.253067331438475E-15</v>
      </c>
      <c r="AD28" s="2">
        <f t="shared" si="6"/>
        <v>5.9604644775390625E-8</v>
      </c>
      <c r="AF28" s="2">
        <v>24</v>
      </c>
      <c r="AG28" s="2">
        <f t="shared" si="13"/>
        <v>2203.8319706916809</v>
      </c>
      <c r="AH28" s="2">
        <v>-1.5979844556568423E-4</v>
      </c>
      <c r="AI28" s="2">
        <f t="shared" si="14"/>
        <v>2203.8331031799316</v>
      </c>
      <c r="AJ28" s="2">
        <v>3.610521941936895E-4</v>
      </c>
      <c r="AK28" s="2">
        <f t="shared" si="9"/>
        <v>2203.8325369358063</v>
      </c>
      <c r="AL28" s="2">
        <v>1.0032816544480738E-4</v>
      </c>
      <c r="AM28" s="2">
        <f t="shared" si="10"/>
        <v>-1.6032284884537014E-8</v>
      </c>
      <c r="AN28" s="2">
        <f t="shared" si="11"/>
        <v>3.6223704273275201E-8</v>
      </c>
      <c r="AO28" s="2">
        <f t="shared" si="12"/>
        <v>1.1324882507324219E-3</v>
      </c>
    </row>
    <row r="29" spans="2:41" x14ac:dyDescent="0.2">
      <c r="B29" s="6" t="s">
        <v>186</v>
      </c>
      <c r="C29" s="17">
        <v>6</v>
      </c>
      <c r="F29" s="25" t="s">
        <v>83</v>
      </c>
      <c r="G29" s="25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302.22216546233221</v>
      </c>
      <c r="H29" s="25" t="s">
        <v>101</v>
      </c>
      <c r="J29" s="15" t="s">
        <v>67</v>
      </c>
      <c r="K29" s="6">
        <f xml:space="preserve"> $C$80 * (13 * ($C$5*2.20462/1000)^1.3 * 0.453592)</f>
        <v>36.826563086996003</v>
      </c>
      <c r="L29" s="6" t="s">
        <v>7</v>
      </c>
      <c r="N29" s="6" t="s">
        <v>34</v>
      </c>
      <c r="O29" s="17">
        <v>1.1499999999999999</v>
      </c>
      <c r="U29" s="2">
        <v>25</v>
      </c>
      <c r="V29" s="2">
        <f t="shared" si="7"/>
        <v>0.97104942798614502</v>
      </c>
      <c r="W29" s="2">
        <f t="shared" si="0"/>
        <v>7.0812700148081831E-9</v>
      </c>
      <c r="X29" s="2">
        <f t="shared" si="8"/>
        <v>0.97104945778846741</v>
      </c>
      <c r="Y29" s="2">
        <f t="shared" si="1"/>
        <v>-2.3322862641173003E-8</v>
      </c>
      <c r="Z29" s="2">
        <f t="shared" si="3"/>
        <v>0.97104944288730621</v>
      </c>
      <c r="AA29" s="2">
        <f t="shared" si="2"/>
        <v>-8.1207963686935614E-9</v>
      </c>
      <c r="AB29" s="2">
        <f t="shared" si="4"/>
        <v>-5.7505551821992895E-17</v>
      </c>
      <c r="AC29" s="2">
        <f t="shared" si="5"/>
        <v>1.8940021824397644E-16</v>
      </c>
      <c r="AD29" s="2">
        <f t="shared" si="6"/>
        <v>2.9802322387695312E-8</v>
      </c>
      <c r="AF29" s="2">
        <v>25</v>
      </c>
      <c r="AG29" s="2">
        <f t="shared" si="13"/>
        <v>2203.8319706916809</v>
      </c>
      <c r="AH29" s="2">
        <v>-1.5979844556568423E-4</v>
      </c>
      <c r="AI29" s="2">
        <f t="shared" si="14"/>
        <v>2203.8325369358063</v>
      </c>
      <c r="AJ29" s="2">
        <v>1.0032816544480738E-4</v>
      </c>
      <c r="AK29" s="2">
        <f t="shared" si="9"/>
        <v>2203.8322538137436</v>
      </c>
      <c r="AL29" s="2">
        <v>-3.0033859502509586E-5</v>
      </c>
      <c r="AM29" s="2">
        <f t="shared" si="10"/>
        <v>4.7993640628391864E-9</v>
      </c>
      <c r="AN29" s="2">
        <f t="shared" si="11"/>
        <v>-3.0132420251138821E-9</v>
      </c>
      <c r="AO29" s="2">
        <f t="shared" si="12"/>
        <v>5.6624412536621094E-4</v>
      </c>
    </row>
    <row r="30" spans="2:41" x14ac:dyDescent="0.2">
      <c r="B30" s="6" t="s">
        <v>187</v>
      </c>
      <c r="C30" s="6">
        <f>$C$29*$C$11/PI()</f>
        <v>0.84998288907657626</v>
      </c>
      <c r="J30" s="10" t="s">
        <v>54</v>
      </c>
      <c r="K30" s="10">
        <f>$C$5 - $C$16 - SUM(K15:K29)</f>
        <v>-6.3083110258048691E-3</v>
      </c>
      <c r="L30" s="10" t="s">
        <v>7</v>
      </c>
      <c r="N30" s="6" t="s">
        <v>35</v>
      </c>
      <c r="O30" s="6">
        <f xml:space="preserve"> 1/$C$77 * LN( EXP($C$77 * O28) + EXP($C$77 * O29) )</f>
        <v>1.1734189662838721</v>
      </c>
      <c r="U30" s="2">
        <v>26</v>
      </c>
      <c r="V30" s="2">
        <f>IF(AB29&gt;0, Z29, V29)</f>
        <v>0.97104942798614502</v>
      </c>
      <c r="W30" s="2">
        <f t="shared" si="0"/>
        <v>7.0812700148081831E-9</v>
      </c>
      <c r="X30" s="2">
        <f t="shared" si="8"/>
        <v>0.97104944288730621</v>
      </c>
      <c r="Y30" s="2">
        <f t="shared" si="1"/>
        <v>-8.1207963686935614E-9</v>
      </c>
      <c r="Z30" s="2">
        <f t="shared" si="3"/>
        <v>0.97104943543672562</v>
      </c>
      <c r="AA30" s="2">
        <f t="shared" si="2"/>
        <v>-5.1976323245384037E-10</v>
      </c>
      <c r="AB30" s="2">
        <f t="shared" si="4"/>
        <v>-3.6805837927751553E-18</v>
      </c>
      <c r="AC30" s="2">
        <f t="shared" si="5"/>
        <v>4.2208913706915743E-18</v>
      </c>
      <c r="AD30" s="2">
        <f t="shared" si="6"/>
        <v>1.4901161193847656E-8</v>
      </c>
      <c r="AF30" s="2">
        <v>26</v>
      </c>
      <c r="AG30" s="2">
        <f t="shared" si="13"/>
        <v>2203.8322538137436</v>
      </c>
      <c r="AH30" s="2">
        <v>-3.0033859502509586E-5</v>
      </c>
      <c r="AI30" s="2">
        <f t="shared" si="14"/>
        <v>2203.8325369358063</v>
      </c>
      <c r="AJ30" s="2">
        <v>1.0032816544480738E-4</v>
      </c>
      <c r="AK30" s="2">
        <f t="shared" si="9"/>
        <v>2203.8323953747749</v>
      </c>
      <c r="AL30" s="2">
        <v>3.5445876619633054E-5</v>
      </c>
      <c r="AM30" s="2">
        <f t="shared" si="10"/>
        <v>-1.0645764783373485E-9</v>
      </c>
      <c r="AN30" s="2">
        <f t="shared" si="11"/>
        <v>3.5562197738307751E-9</v>
      </c>
      <c r="AO30" s="2">
        <f t="shared" si="12"/>
        <v>2.8312206268310547E-4</v>
      </c>
    </row>
    <row r="31" spans="2:41" x14ac:dyDescent="0.2">
      <c r="B31" s="6" t="s">
        <v>188</v>
      </c>
      <c r="C31" s="17">
        <v>0.75</v>
      </c>
      <c r="F31" s="32" t="s">
        <v>156</v>
      </c>
      <c r="G31" s="34"/>
      <c r="H31" s="34"/>
      <c r="J31" s="6" t="s">
        <v>55</v>
      </c>
      <c r="K31" s="4" t="str">
        <f>IF(ABS(K30)&lt;1, "TRUE", "FALSE")</f>
        <v>TRUE</v>
      </c>
      <c r="U31" s="2">
        <v>27</v>
      </c>
      <c r="V31" s="2">
        <f t="shared" si="7"/>
        <v>0.97104942798614502</v>
      </c>
      <c r="W31" s="2">
        <f t="shared" si="0"/>
        <v>7.0812700148081831E-9</v>
      </c>
      <c r="X31" s="2">
        <f t="shared" si="8"/>
        <v>0.97104943543672562</v>
      </c>
      <c r="Y31" s="2">
        <f t="shared" si="1"/>
        <v>-5.1976323245384037E-10</v>
      </c>
      <c r="Z31" s="2">
        <f t="shared" si="3"/>
        <v>0.97104943171143532</v>
      </c>
      <c r="AA31" s="2">
        <f t="shared" si="2"/>
        <v>3.2807533356660201E-9</v>
      </c>
      <c r="AB31" s="2">
        <f t="shared" si="4"/>
        <v>2.3231900221833714E-17</v>
      </c>
      <c r="AC31" s="2">
        <f t="shared" si="5"/>
        <v>-1.7052149586294898E-18</v>
      </c>
      <c r="AD31" s="2">
        <f t="shared" si="6"/>
        <v>7.4505805969238281E-9</v>
      </c>
      <c r="AF31" s="2">
        <v>27</v>
      </c>
      <c r="AG31" s="2">
        <f t="shared" si="13"/>
        <v>2203.8322538137436</v>
      </c>
      <c r="AH31" s="2">
        <v>-3.0033859502509586E-5</v>
      </c>
      <c r="AI31" s="2">
        <f t="shared" si="14"/>
        <v>2203.8323953747749</v>
      </c>
      <c r="AJ31" s="2">
        <v>3.5445876619633054E-5</v>
      </c>
      <c r="AK31" s="2">
        <f t="shared" si="9"/>
        <v>2203.8323245942593</v>
      </c>
      <c r="AL31" s="2">
        <v>2.7060086722485721E-6</v>
      </c>
      <c r="AM31" s="2">
        <f t="shared" si="10"/>
        <v>-8.1271884274886124E-11</v>
      </c>
      <c r="AN31" s="2">
        <f t="shared" si="11"/>
        <v>9.5916849528179947E-11</v>
      </c>
      <c r="AO31" s="2">
        <f t="shared" si="12"/>
        <v>1.4156103134155273E-4</v>
      </c>
    </row>
    <row r="32" spans="2:41" x14ac:dyDescent="0.2">
      <c r="B32" s="6" t="s">
        <v>155</v>
      </c>
      <c r="C32" s="17">
        <v>50</v>
      </c>
      <c r="D32" s="6" t="s">
        <v>58</v>
      </c>
      <c r="F32" s="9" t="s">
        <v>157</v>
      </c>
      <c r="G32" s="17">
        <f>20*60</f>
        <v>1200</v>
      </c>
      <c r="H32" s="6" t="s">
        <v>13</v>
      </c>
      <c r="U32" s="2">
        <v>28</v>
      </c>
      <c r="V32" s="2">
        <f t="shared" si="7"/>
        <v>0.97104943171143532</v>
      </c>
      <c r="W32" s="2">
        <f t="shared" si="0"/>
        <v>3.2807533356660201E-9</v>
      </c>
      <c r="X32" s="2">
        <f t="shared" si="8"/>
        <v>0.97104943543672562</v>
      </c>
      <c r="Y32" s="2">
        <f t="shared" si="1"/>
        <v>-5.1976323245384037E-10</v>
      </c>
      <c r="Z32" s="2">
        <f t="shared" si="3"/>
        <v>0.97104943357408047</v>
      </c>
      <c r="AA32" s="2">
        <f t="shared" si="2"/>
        <v>1.3804950516060899E-9</v>
      </c>
      <c r="AB32" s="2">
        <f t="shared" si="4"/>
        <v>4.5290637454271139E-18</v>
      </c>
      <c r="AC32" s="2">
        <f t="shared" si="5"/>
        <v>-7.1753057040931245E-19</v>
      </c>
      <c r="AD32" s="2">
        <f t="shared" si="6"/>
        <v>3.7252902984619141E-9</v>
      </c>
      <c r="AF32" s="2">
        <v>28</v>
      </c>
      <c r="AG32" s="2">
        <f t="shared" si="13"/>
        <v>2203.8322538137436</v>
      </c>
      <c r="AH32" s="2">
        <v>-3.0033859502509586E-5</v>
      </c>
      <c r="AI32" s="2">
        <f t="shared" si="14"/>
        <v>2203.8323245942593</v>
      </c>
      <c r="AJ32" s="2">
        <v>2.7060086722485721E-6</v>
      </c>
      <c r="AK32" s="2">
        <f t="shared" si="9"/>
        <v>2203.8322892040014</v>
      </c>
      <c r="AL32" s="2">
        <v>-1.3663925301443669E-5</v>
      </c>
      <c r="AM32" s="2">
        <f t="shared" si="10"/>
        <v>4.1038041275634509E-10</v>
      </c>
      <c r="AN32" s="2">
        <f t="shared" si="11"/>
        <v>-3.6974700362663253E-11</v>
      </c>
      <c r="AO32" s="2">
        <f t="shared" si="12"/>
        <v>7.0780515670776367E-5</v>
      </c>
    </row>
    <row r="33" spans="2:41" x14ac:dyDescent="0.2">
      <c r="F33" s="26" t="s">
        <v>132</v>
      </c>
      <c r="G33" s="25">
        <f xml:space="preserve"> G20</f>
        <v>114.0653214483131</v>
      </c>
      <c r="H33" s="25" t="s">
        <v>101</v>
      </c>
      <c r="J33" s="27" t="s">
        <v>56</v>
      </c>
      <c r="K33" s="27"/>
      <c r="L33" s="27"/>
      <c r="U33" s="2">
        <v>29</v>
      </c>
      <c r="V33" s="2">
        <f t="shared" si="7"/>
        <v>0.97104943357408047</v>
      </c>
      <c r="W33" s="2">
        <f t="shared" si="0"/>
        <v>1.3804950516060899E-9</v>
      </c>
      <c r="X33" s="2">
        <f t="shared" si="8"/>
        <v>0.97104943543672562</v>
      </c>
      <c r="Y33" s="2">
        <f t="shared" si="1"/>
        <v>-5.1976323245384037E-10</v>
      </c>
      <c r="Z33" s="2">
        <f t="shared" si="3"/>
        <v>0.97104943450540304</v>
      </c>
      <c r="AA33" s="2">
        <f t="shared" si="2"/>
        <v>4.3036596508727598E-10</v>
      </c>
      <c r="AB33" s="2">
        <f t="shared" si="4"/>
        <v>5.9411808518266373E-19</v>
      </c>
      <c r="AC33" s="2">
        <f t="shared" si="5"/>
        <v>-2.2368840515187918E-19</v>
      </c>
      <c r="AD33" s="2">
        <f t="shared" si="6"/>
        <v>1.862645149230957E-9</v>
      </c>
      <c r="AF33" s="2">
        <v>29</v>
      </c>
      <c r="AG33" s="2">
        <f t="shared" si="13"/>
        <v>2203.8322892040014</v>
      </c>
      <c r="AH33" s="2">
        <v>-1.3663925301443669E-5</v>
      </c>
      <c r="AI33" s="2">
        <f t="shared" si="14"/>
        <v>2203.8323245942593</v>
      </c>
      <c r="AJ33" s="2">
        <v>2.7060086722485721E-6</v>
      </c>
      <c r="AK33" s="2">
        <f t="shared" si="9"/>
        <v>2203.8323068991303</v>
      </c>
      <c r="AL33" s="2">
        <v>-5.4789577461633598E-6</v>
      </c>
      <c r="AM33" s="2">
        <f t="shared" si="10"/>
        <v>7.4864069373342312E-11</v>
      </c>
      <c r="AN33" s="2">
        <f t="shared" si="11"/>
        <v>-1.4826107176001543E-11</v>
      </c>
      <c r="AO33" s="2">
        <f t="shared" si="12"/>
        <v>3.5390257835388184E-5</v>
      </c>
    </row>
    <row r="34" spans="2:41" x14ac:dyDescent="0.2">
      <c r="B34" s="30" t="s">
        <v>104</v>
      </c>
      <c r="C34" s="30"/>
      <c r="D34" s="30"/>
      <c r="J34" s="6" t="s">
        <v>57</v>
      </c>
      <c r="K34" s="6">
        <f>ROUND($C$16/$C$5 * 100, 2)</f>
        <v>27.23</v>
      </c>
      <c r="L34" s="6" t="s">
        <v>58</v>
      </c>
      <c r="U34" s="2">
        <v>30</v>
      </c>
      <c r="V34" s="2">
        <f t="shared" si="7"/>
        <v>0.97104943450540304</v>
      </c>
      <c r="W34" s="2">
        <f t="shared" si="0"/>
        <v>4.3036596508727598E-10</v>
      </c>
      <c r="X34" s="2">
        <f t="shared" si="8"/>
        <v>0.97104943543672562</v>
      </c>
      <c r="Y34" s="2">
        <f t="shared" si="1"/>
        <v>-5.1976323245384037E-10</v>
      </c>
      <c r="Z34" s="2">
        <f t="shared" si="3"/>
        <v>0.97104943497106433</v>
      </c>
      <c r="AA34" s="2">
        <f t="shared" si="2"/>
        <v>-4.4698578172130965E-11</v>
      </c>
      <c r="AB34" s="2">
        <f t="shared" si="4"/>
        <v>-1.9236746733078191E-20</v>
      </c>
      <c r="AC34" s="2">
        <f t="shared" si="5"/>
        <v>2.3232677476837462E-20</v>
      </c>
      <c r="AD34" s="2">
        <f t="shared" si="6"/>
        <v>9.3132257461547852E-10</v>
      </c>
      <c r="AF34" s="2">
        <v>30</v>
      </c>
      <c r="AG34" s="2">
        <f t="shared" si="13"/>
        <v>2203.8323068991303</v>
      </c>
      <c r="AH34" s="2">
        <v>-5.4789577461633598E-6</v>
      </c>
      <c r="AI34" s="2">
        <f t="shared" si="14"/>
        <v>2203.8323245942593</v>
      </c>
      <c r="AJ34" s="2">
        <v>2.7060086722485721E-6</v>
      </c>
      <c r="AK34" s="2">
        <f t="shared" si="9"/>
        <v>2203.8323157466948</v>
      </c>
      <c r="AL34" s="2">
        <v>-1.386474878017907E-6</v>
      </c>
      <c r="AM34" s="2">
        <f t="shared" si="10"/>
        <v>7.5964372727771112E-12</v>
      </c>
      <c r="AN34" s="2">
        <f t="shared" si="11"/>
        <v>-3.7518130437712376E-12</v>
      </c>
      <c r="AO34" s="2">
        <f t="shared" si="12"/>
        <v>1.7695128917694092E-5</v>
      </c>
    </row>
    <row r="35" spans="2:41" x14ac:dyDescent="0.2">
      <c r="B35" s="6" t="s">
        <v>105</v>
      </c>
      <c r="C35" s="17">
        <v>6</v>
      </c>
      <c r="J35" s="11" t="s">
        <v>52</v>
      </c>
      <c r="K35" s="6">
        <f>ROUND(K15/$C$5 * 100, 2)</f>
        <v>30.28</v>
      </c>
      <c r="L35" s="6" t="s">
        <v>58</v>
      </c>
      <c r="AF35" s="2">
        <v>31</v>
      </c>
      <c r="AG35" s="2">
        <f t="shared" si="13"/>
        <v>2203.8323157466948</v>
      </c>
      <c r="AH35" s="2">
        <v>-1.386474878017907E-6</v>
      </c>
      <c r="AI35" s="2">
        <f t="shared" si="14"/>
        <v>2203.8323245942593</v>
      </c>
      <c r="AJ35" s="2">
        <v>2.7060086722485721E-6</v>
      </c>
      <c r="AK35" s="2">
        <f t="shared" si="9"/>
        <v>2203.832320170477</v>
      </c>
      <c r="AL35" s="2">
        <v>6.5976678342849482E-7</v>
      </c>
      <c r="AM35" s="2">
        <f t="shared" si="10"/>
        <v>-9.1475007057428924E-13</v>
      </c>
      <c r="AN35" s="2">
        <f t="shared" si="11"/>
        <v>1.7853346376190525E-12</v>
      </c>
      <c r="AO35" s="2">
        <f t="shared" si="12"/>
        <v>8.8475644588470459E-6</v>
      </c>
    </row>
    <row r="36" spans="2:41" x14ac:dyDescent="0.2">
      <c r="B36" s="6" t="s">
        <v>106</v>
      </c>
      <c r="C36" s="17">
        <v>9.1440000000000001</v>
      </c>
      <c r="D36" s="6" t="s">
        <v>8</v>
      </c>
      <c r="J36" s="19" t="s">
        <v>78</v>
      </c>
      <c r="K36" s="6">
        <f>ROUND(SUM(K16:K19)/$C$5 * 100, 2)</f>
        <v>15.52</v>
      </c>
      <c r="L36" s="6" t="s">
        <v>58</v>
      </c>
      <c r="AF36" s="2">
        <v>32</v>
      </c>
      <c r="AG36" s="2">
        <f t="shared" si="13"/>
        <v>2203.8323157466948</v>
      </c>
      <c r="AH36" s="2">
        <v>-1.386474878017907E-6</v>
      </c>
      <c r="AI36" s="2">
        <f t="shared" si="14"/>
        <v>2203.832320170477</v>
      </c>
      <c r="AJ36" s="2">
        <v>6.5976678342849482E-7</v>
      </c>
      <c r="AK36" s="2">
        <f t="shared" si="9"/>
        <v>2203.8323179585859</v>
      </c>
      <c r="AL36" s="2">
        <v>-3.6335336517367978E-7</v>
      </c>
      <c r="AM36" s="2">
        <f t="shared" si="10"/>
        <v>5.037803126565737E-13</v>
      </c>
      <c r="AN36" s="2">
        <f t="shared" si="11"/>
        <v>-2.3972848098855798E-13</v>
      </c>
      <c r="AO36" s="2">
        <f t="shared" si="12"/>
        <v>4.4237822294235229E-6</v>
      </c>
    </row>
    <row r="37" spans="2:41" x14ac:dyDescent="0.2">
      <c r="B37" s="6" t="s">
        <v>107</v>
      </c>
      <c r="C37" s="17">
        <v>1.8675309360000001</v>
      </c>
      <c r="D37" s="6" t="s">
        <v>8</v>
      </c>
      <c r="J37" s="20" t="s">
        <v>69</v>
      </c>
      <c r="K37" s="6">
        <f>ROUND(SUM(K20:K25)/$C$5 * 100, 2)</f>
        <v>22.16</v>
      </c>
      <c r="L37" s="6" t="s">
        <v>58</v>
      </c>
      <c r="AF37" s="2">
        <v>33</v>
      </c>
      <c r="AG37" s="2">
        <f t="shared" si="13"/>
        <v>2203.8323179585859</v>
      </c>
      <c r="AH37" s="2">
        <v>-3.6335336517367978E-7</v>
      </c>
      <c r="AI37" s="2">
        <f t="shared" si="14"/>
        <v>2203.832320170477</v>
      </c>
      <c r="AJ37" s="2">
        <v>6.5976678342849482E-7</v>
      </c>
      <c r="AK37" s="2">
        <f t="shared" si="9"/>
        <v>2203.8323190645315</v>
      </c>
      <c r="AL37" s="2">
        <v>1.4820670912740752E-7</v>
      </c>
      <c r="AM37" s="2">
        <f t="shared" si="10"/>
        <v>-5.3851406502760245E-14</v>
      </c>
      <c r="AN37" s="2">
        <f t="shared" si="11"/>
        <v>9.7781863763512204E-14</v>
      </c>
      <c r="AO37" s="2">
        <f t="shared" si="12"/>
        <v>2.2118911147117615E-6</v>
      </c>
    </row>
    <row r="38" spans="2:41" x14ac:dyDescent="0.2">
      <c r="J38" s="15" t="s">
        <v>70</v>
      </c>
      <c r="K38" s="6">
        <f>ROUND(SUM(K26:K29)/$C$5*100, 2)</f>
        <v>4.8099999999999996</v>
      </c>
      <c r="L38" s="6" t="s">
        <v>58</v>
      </c>
      <c r="AF38" s="2">
        <v>34</v>
      </c>
      <c r="AG38" s="2">
        <f t="shared" si="13"/>
        <v>2203.8323179585859</v>
      </c>
      <c r="AH38" s="2">
        <v>-3.6335336517367978E-7</v>
      </c>
      <c r="AI38" s="2">
        <f t="shared" si="14"/>
        <v>2203.8323190645315</v>
      </c>
      <c r="AJ38" s="2">
        <v>1.4820670912740752E-7</v>
      </c>
      <c r="AK38" s="2">
        <f t="shared" si="9"/>
        <v>2203.8323185115587</v>
      </c>
      <c r="AL38" s="2">
        <v>-1.0757366908364929E-7</v>
      </c>
      <c r="AM38" s="2">
        <f t="shared" si="10"/>
        <v>3.9087254665623808E-14</v>
      </c>
      <c r="AN38" s="2">
        <f t="shared" si="11"/>
        <v>-1.5943139483648402E-14</v>
      </c>
      <c r="AO38" s="2">
        <f t="shared" si="12"/>
        <v>1.1059455573558807E-6</v>
      </c>
    </row>
    <row r="39" spans="2:41" x14ac:dyDescent="0.2">
      <c r="B39" s="30" t="s">
        <v>108</v>
      </c>
      <c r="C39" s="30"/>
      <c r="D39" s="30"/>
      <c r="J39" s="10" t="s">
        <v>59</v>
      </c>
      <c r="K39" s="10">
        <f>SUM(K34:K38)</f>
        <v>100</v>
      </c>
      <c r="L39" s="10" t="s">
        <v>58</v>
      </c>
      <c r="AF39" s="2">
        <v>35</v>
      </c>
      <c r="AG39" s="2">
        <f t="shared" si="13"/>
        <v>2203.8323185115587</v>
      </c>
      <c r="AH39" s="2">
        <v>-1.0757366908364929E-7</v>
      </c>
      <c r="AI39" s="2">
        <f t="shared" si="14"/>
        <v>2203.8323190645315</v>
      </c>
      <c r="AJ39" s="2">
        <v>1.4820670912740752E-7</v>
      </c>
      <c r="AK39" s="2">
        <f t="shared" si="9"/>
        <v>2203.8323187880451</v>
      </c>
      <c r="AL39" s="2">
        <v>2.0316520021879114E-8</v>
      </c>
      <c r="AM39" s="2">
        <f t="shared" si="10"/>
        <v>-2.1855226017649591E-15</v>
      </c>
      <c r="AN39" s="2">
        <f t="shared" si="11"/>
        <v>3.011044573363789E-15</v>
      </c>
      <c r="AO39" s="2">
        <f t="shared" si="12"/>
        <v>5.5297277867794037E-7</v>
      </c>
    </row>
    <row r="40" spans="2:41" x14ac:dyDescent="0.2">
      <c r="B40" s="6" t="s">
        <v>116</v>
      </c>
      <c r="C40" s="22" t="s">
        <v>189</v>
      </c>
      <c r="AF40" s="2">
        <v>36</v>
      </c>
      <c r="AG40" s="2">
        <f t="shared" si="13"/>
        <v>2203.8323185115587</v>
      </c>
      <c r="AH40" s="2">
        <v>-1.0757366908364929E-7</v>
      </c>
      <c r="AI40" s="2">
        <f t="shared" si="14"/>
        <v>2203.8323187880451</v>
      </c>
      <c r="AJ40" s="2">
        <v>2.0316520021879114E-8</v>
      </c>
      <c r="AK40" s="2">
        <f t="shared" si="9"/>
        <v>2203.8323186498019</v>
      </c>
      <c r="AL40" s="2">
        <v>-4.3627551349345595E-8</v>
      </c>
      <c r="AM40" s="2">
        <f t="shared" si="10"/>
        <v>4.6931757717844202E-15</v>
      </c>
      <c r="AN40" s="2">
        <f t="shared" si="11"/>
        <v>-8.8636002049453894E-16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111</v>
      </c>
      <c r="K41" s="30"/>
      <c r="L41" s="30"/>
      <c r="AF41" s="2">
        <v>37</v>
      </c>
      <c r="AG41" s="2">
        <f t="shared" si="13"/>
        <v>2203.8323186498019</v>
      </c>
      <c r="AH41" s="2">
        <v>-4.3627551349345595E-8</v>
      </c>
      <c r="AI41" s="2">
        <f t="shared" si="14"/>
        <v>2203.8323187880451</v>
      </c>
      <c r="AJ41" s="2">
        <v>2.0316520021879114E-8</v>
      </c>
      <c r="AK41" s="2">
        <f t="shared" si="9"/>
        <v>2203.8323187189235</v>
      </c>
      <c r="AL41" s="2">
        <v>-1.1656084097921848E-8</v>
      </c>
      <c r="AM41" s="2">
        <f t="shared" si="10"/>
        <v>5.0852640751437606E-16</v>
      </c>
      <c r="AN41" s="2">
        <f t="shared" si="11"/>
        <v>-2.3681106595213598E-16</v>
      </c>
      <c r="AO41" s="2">
        <f t="shared" si="12"/>
        <v>1.3824319466948509E-7</v>
      </c>
    </row>
    <row r="42" spans="2:41" x14ac:dyDescent="0.2">
      <c r="B42" s="6" t="s">
        <v>190</v>
      </c>
      <c r="C42" s="17">
        <v>0.30480000000000002</v>
      </c>
      <c r="D42" s="6" t="s">
        <v>8</v>
      </c>
      <c r="J42" s="6" t="s">
        <v>57</v>
      </c>
      <c r="K42" s="6">
        <f>ROUND(C16,2)</f>
        <v>600</v>
      </c>
      <c r="L42" s="6" t="s">
        <v>7</v>
      </c>
      <c r="AF42" s="2">
        <v>38</v>
      </c>
      <c r="AG42" s="2">
        <f t="shared" si="13"/>
        <v>2203.8323187189235</v>
      </c>
      <c r="AH42" s="2">
        <v>-1.1656084097921848E-8</v>
      </c>
      <c r="AI42" s="2">
        <f t="shared" si="14"/>
        <v>2203.8323187880451</v>
      </c>
      <c r="AJ42" s="2">
        <v>2.0316520021879114E-8</v>
      </c>
      <c r="AK42" s="2">
        <f t="shared" si="9"/>
        <v>2203.8323187534843</v>
      </c>
      <c r="AL42" s="2">
        <v>4.3301042751409113E-9</v>
      </c>
      <c r="AM42" s="2">
        <f t="shared" si="10"/>
        <v>-5.0472059583813388E-17</v>
      </c>
      <c r="AN42" s="2">
        <f t="shared" si="11"/>
        <v>8.7972650202724674E-17</v>
      </c>
      <c r="AO42" s="2">
        <f t="shared" si="12"/>
        <v>6.9121597334742546E-8</v>
      </c>
    </row>
    <row r="43" spans="2:41" x14ac:dyDescent="0.2">
      <c r="B43" s="6" t="s">
        <v>191</v>
      </c>
      <c r="C43" s="17">
        <v>5.7</v>
      </c>
      <c r="J43" s="11" t="s">
        <v>52</v>
      </c>
      <c r="K43" s="6">
        <f>ROUND(K15, 2)</f>
        <v>667.24</v>
      </c>
      <c r="L43" s="6" t="s">
        <v>7</v>
      </c>
      <c r="AF43" s="2">
        <v>39</v>
      </c>
      <c r="AG43" s="2">
        <f t="shared" si="13"/>
        <v>2203.8323187189235</v>
      </c>
      <c r="AH43" s="2">
        <v>-1.1656084097921848E-8</v>
      </c>
      <c r="AI43" s="2">
        <f t="shared" si="14"/>
        <v>2203.8323187534843</v>
      </c>
      <c r="AJ43" s="2">
        <v>2.0316520021879114E-8</v>
      </c>
      <c r="AK43" s="2">
        <f t="shared" si="9"/>
        <v>2203.8323187362039</v>
      </c>
      <c r="AL43" s="2">
        <v>1.2323653209023178E-8</v>
      </c>
      <c r="AM43" s="2">
        <f t="shared" si="10"/>
        <v>-1.4364553819799862E-16</v>
      </c>
      <c r="AN43" s="2">
        <f t="shared" si="11"/>
        <v>2.5037374716381418E-16</v>
      </c>
      <c r="AO43" s="2">
        <f t="shared" si="12"/>
        <v>3.4560798667371273E-8</v>
      </c>
    </row>
    <row r="44" spans="2:41" x14ac:dyDescent="0.2">
      <c r="J44" s="19" t="s">
        <v>78</v>
      </c>
      <c r="K44" s="6">
        <f>ROUND(SUM(K16:K19), 2)</f>
        <v>342.13</v>
      </c>
      <c r="L44" s="6" t="s">
        <v>7</v>
      </c>
      <c r="AF44" s="2">
        <v>40</v>
      </c>
      <c r="AG44" s="2">
        <f t="shared" si="13"/>
        <v>2203.8323187189235</v>
      </c>
      <c r="AH44" s="2">
        <v>-1.1656084097921848E-8</v>
      </c>
      <c r="AI44" s="2">
        <f t="shared" si="14"/>
        <v>2203.8323187362039</v>
      </c>
      <c r="AJ44" s="2">
        <v>2.0316520021879114E-8</v>
      </c>
      <c r="AK44" s="5">
        <f t="shared" si="9"/>
        <v>2203.8323187275637</v>
      </c>
      <c r="AL44" s="2">
        <v>1.6320427675964311E-8</v>
      </c>
      <c r="AM44" s="2">
        <f t="shared" si="10"/>
        <v>-1.9023227750509123E-16</v>
      </c>
      <c r="AN44" s="2">
        <f t="shared" si="11"/>
        <v>3.3157429564435894E-16</v>
      </c>
      <c r="AO44" s="2">
        <f t="shared" si="12"/>
        <v>1.7280399333685637E-8</v>
      </c>
    </row>
    <row r="45" spans="2:41" x14ac:dyDescent="0.2">
      <c r="B45" s="30" t="s">
        <v>192</v>
      </c>
      <c r="C45" s="30"/>
      <c r="D45" s="30"/>
      <c r="J45" s="20" t="s">
        <v>69</v>
      </c>
      <c r="K45" s="6">
        <f>ROUND(SUM(K20:K25), 2)</f>
        <v>488.42</v>
      </c>
      <c r="L45" s="6" t="s">
        <v>7</v>
      </c>
    </row>
    <row r="46" spans="2:41" x14ac:dyDescent="0.2">
      <c r="B46" s="6" t="s">
        <v>191</v>
      </c>
      <c r="C46" s="17">
        <v>3</v>
      </c>
      <c r="J46" s="15" t="s">
        <v>70</v>
      </c>
      <c r="K46" s="6">
        <f>ROUND(SUM(K26:K29), 2)</f>
        <v>106.03</v>
      </c>
      <c r="L46" s="6" t="s">
        <v>7</v>
      </c>
    </row>
    <row r="47" spans="2:41" x14ac:dyDescent="0.2">
      <c r="J47" s="10" t="s">
        <v>59</v>
      </c>
      <c r="K47" s="10">
        <f>SUM(K42:K46)</f>
        <v>2203.8200000000002</v>
      </c>
      <c r="L47" s="6" t="s">
        <v>7</v>
      </c>
    </row>
    <row r="48" spans="2:41" x14ac:dyDescent="0.2">
      <c r="B48" s="30" t="s">
        <v>193</v>
      </c>
      <c r="C48" s="30"/>
      <c r="D48" s="30"/>
    </row>
    <row r="49" spans="2:4" x14ac:dyDescent="0.2">
      <c r="B49" s="6" t="s">
        <v>194</v>
      </c>
      <c r="C49" s="17">
        <v>4.3036300000000001</v>
      </c>
    </row>
    <row r="50" spans="2:4" x14ac:dyDescent="0.2">
      <c r="B50" s="6" t="s">
        <v>195</v>
      </c>
      <c r="C50" s="17">
        <f>39.5112*0.3048^2</f>
        <v>3.6707105940480003</v>
      </c>
      <c r="D50" s="6" t="s">
        <v>174</v>
      </c>
    </row>
    <row r="51" spans="2:4" x14ac:dyDescent="0.2">
      <c r="B51" s="6" t="s">
        <v>196</v>
      </c>
      <c r="C51" s="17">
        <f>0.15*3.7875*0.3048</f>
        <v>0.1731645</v>
      </c>
      <c r="D51" s="6" t="s">
        <v>8</v>
      </c>
    </row>
    <row r="53" spans="2:4" x14ac:dyDescent="0.2">
      <c r="B53" s="30" t="s">
        <v>197</v>
      </c>
      <c r="C53" s="30"/>
      <c r="D53" s="30"/>
    </row>
    <row r="54" spans="2:4" x14ac:dyDescent="0.2">
      <c r="B54" s="6" t="s">
        <v>198</v>
      </c>
      <c r="C54" s="17">
        <v>1.1798999999999999</v>
      </c>
    </row>
    <row r="55" spans="2:4" x14ac:dyDescent="0.2">
      <c r="B55" s="6" t="s">
        <v>199</v>
      </c>
      <c r="C55" s="17">
        <f>27.34325*0.3048^2</f>
        <v>2.5402710484800002</v>
      </c>
      <c r="D55" s="6" t="s">
        <v>174</v>
      </c>
    </row>
    <row r="56" spans="2:4" x14ac:dyDescent="0.2">
      <c r="B56" s="6" t="s">
        <v>200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201</v>
      </c>
      <c r="C57" s="17">
        <v>35</v>
      </c>
      <c r="D57" s="6" t="s">
        <v>40</v>
      </c>
    </row>
    <row r="59" spans="2:4" x14ac:dyDescent="0.2">
      <c r="B59" s="32" t="s">
        <v>2</v>
      </c>
      <c r="C59" s="34"/>
      <c r="D59" s="34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30" t="s">
        <v>144</v>
      </c>
      <c r="C64" s="31"/>
      <c r="D64" s="31"/>
    </row>
    <row r="65" spans="2:4" x14ac:dyDescent="0.2">
      <c r="B65" s="6" t="s">
        <v>14</v>
      </c>
      <c r="C65" s="17">
        <v>1.0397562309141399</v>
      </c>
      <c r="D65" s="6" t="s">
        <v>15</v>
      </c>
    </row>
    <row r="66" spans="2:4" x14ac:dyDescent="0.2">
      <c r="B66" s="6" t="s">
        <v>130</v>
      </c>
      <c r="C66" s="23">
        <v>1.7363179204150701E-5</v>
      </c>
      <c r="D66" s="6" t="s">
        <v>129</v>
      </c>
    </row>
    <row r="67" spans="2:4" x14ac:dyDescent="0.2">
      <c r="B67" s="6" t="s">
        <v>123</v>
      </c>
      <c r="C67" s="17">
        <v>333.91694458017901</v>
      </c>
      <c r="D67" s="6" t="s">
        <v>10</v>
      </c>
    </row>
    <row r="68" spans="2:4" x14ac:dyDescent="0.2">
      <c r="B68" s="6" t="s">
        <v>16</v>
      </c>
      <c r="C68" s="1">
        <v>9.80149119240094</v>
      </c>
      <c r="D68" s="6" t="s">
        <v>17</v>
      </c>
    </row>
    <row r="70" spans="2:4" x14ac:dyDescent="0.2">
      <c r="B70" s="30" t="s">
        <v>145</v>
      </c>
      <c r="C70" s="31"/>
      <c r="D70" s="31"/>
    </row>
    <row r="71" spans="2:4" x14ac:dyDescent="0.2">
      <c r="B71" s="6" t="s">
        <v>14</v>
      </c>
      <c r="C71" s="17">
        <v>1.00854450666398</v>
      </c>
      <c r="D71" s="6" t="s">
        <v>15</v>
      </c>
    </row>
    <row r="72" spans="2:4" x14ac:dyDescent="0.2">
      <c r="B72" s="6" t="s">
        <v>130</v>
      </c>
      <c r="C72" s="23">
        <v>1.7265641515845801E-5</v>
      </c>
      <c r="D72" s="6" t="s">
        <v>129</v>
      </c>
    </row>
    <row r="73" spans="2:4" x14ac:dyDescent="0.2">
      <c r="B73" s="6" t="s">
        <v>123</v>
      </c>
      <c r="C73" s="17">
        <v>332.721752148093</v>
      </c>
      <c r="D73" s="6" t="s">
        <v>10</v>
      </c>
    </row>
    <row r="74" spans="2:4" x14ac:dyDescent="0.2">
      <c r="B74" s="6" t="s">
        <v>16</v>
      </c>
      <c r="C74" s="1">
        <v>9.8005536647414697</v>
      </c>
      <c r="D74" s="6" t="s">
        <v>17</v>
      </c>
    </row>
    <row r="76" spans="2:4" x14ac:dyDescent="0.2">
      <c r="B76" s="30" t="s">
        <v>71</v>
      </c>
      <c r="C76" s="30"/>
      <c r="D76" s="30"/>
    </row>
    <row r="77" spans="2:4" x14ac:dyDescent="0.2">
      <c r="B77" s="6" t="s">
        <v>137</v>
      </c>
      <c r="C77" s="17">
        <v>30</v>
      </c>
    </row>
    <row r="78" spans="2:4" x14ac:dyDescent="0.2">
      <c r="B78" s="6" t="s">
        <v>139</v>
      </c>
      <c r="C78" s="17">
        <v>0.8</v>
      </c>
    </row>
    <row r="79" spans="2:4" x14ac:dyDescent="0.2">
      <c r="B79" s="6" t="s">
        <v>140</v>
      </c>
      <c r="C79" s="17">
        <v>0.8</v>
      </c>
    </row>
    <row r="80" spans="2:4" x14ac:dyDescent="0.2">
      <c r="B80" s="6" t="s">
        <v>141</v>
      </c>
      <c r="C80" s="17">
        <v>0.8</v>
      </c>
    </row>
    <row r="81" spans="2:4" x14ac:dyDescent="0.2">
      <c r="B81" s="6" t="s">
        <v>202</v>
      </c>
      <c r="C81" s="17">
        <v>5</v>
      </c>
      <c r="D81" s="6" t="s">
        <v>40</v>
      </c>
    </row>
  </sheetData>
  <mergeCells count="23"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53:D53"/>
    <mergeCell ref="B59:D59"/>
    <mergeCell ref="B64:D64"/>
    <mergeCell ref="B70:D70"/>
    <mergeCell ref="B76:D76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E1A9-C4C4-A348-BC37-5AE9FA751E17}">
  <dimension ref="B1:AO81"/>
  <sheetViews>
    <sheetView zoomScale="88" workbookViewId="0">
      <selection activeCell="D7" sqref="D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6" t="s">
        <v>0</v>
      </c>
      <c r="C1" s="36"/>
      <c r="D1" s="36"/>
    </row>
    <row r="2" spans="2:41" x14ac:dyDescent="0.2">
      <c r="U2" s="16" t="s">
        <v>93</v>
      </c>
      <c r="AF2" s="29" t="s">
        <v>160</v>
      </c>
    </row>
    <row r="3" spans="2:41" x14ac:dyDescent="0.2">
      <c r="B3" s="30" t="s">
        <v>118</v>
      </c>
      <c r="C3" s="31"/>
      <c r="D3" s="31"/>
      <c r="F3" s="32" t="s">
        <v>80</v>
      </c>
      <c r="G3" s="34"/>
      <c r="H3" s="34"/>
      <c r="J3" s="30" t="s">
        <v>98</v>
      </c>
      <c r="K3" s="30"/>
      <c r="L3" s="30"/>
      <c r="N3" s="30" t="s">
        <v>92</v>
      </c>
      <c r="O3" s="30"/>
      <c r="P3" s="30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3" t="s">
        <v>161</v>
      </c>
      <c r="F4" s="6" t="s">
        <v>84</v>
      </c>
      <c r="G4" s="17">
        <f>500*0.3048/60</f>
        <v>2.54</v>
      </c>
      <c r="H4" s="6" t="s">
        <v>10</v>
      </c>
      <c r="J4" s="6" t="s">
        <v>99</v>
      </c>
      <c r="K4" s="6">
        <f>(1+$C$25/100)*MAX(G10,G29)</f>
        <v>472.95078853868375</v>
      </c>
      <c r="L4" s="6" t="s">
        <v>101</v>
      </c>
      <c r="N4" s="6" t="s">
        <v>162</v>
      </c>
      <c r="O4" s="6">
        <f xml:space="preserve"> $C$5 * $C$74</f>
        <v>22932.533473167514</v>
      </c>
      <c r="P4" s="6" t="s">
        <v>20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1.1828663183068546</v>
      </c>
      <c r="X4" s="3">
        <v>1</v>
      </c>
      <c r="Y4" s="2">
        <f t="shared" ref="Y4:Y34" si="1" xml:space="preserve"> $O$22 * TAN($O$19/180*PI()) + $O$23 / (2 * SQRT($O$22^2 + X4^2)) - X4</f>
        <v>-2.9190164587395206E-2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0.48960565886689156</v>
      </c>
      <c r="AB4" s="2">
        <f>W4*AA4</f>
        <v>0.57913804312608186</v>
      </c>
      <c r="AC4" s="2">
        <f>Y4*AA4</f>
        <v>-1.4291669765244637E-2</v>
      </c>
      <c r="AD4" s="2">
        <f>X4-V4</f>
        <v>1</v>
      </c>
      <c r="AF4" s="2">
        <v>0</v>
      </c>
      <c r="AH4" s="2">
        <f>K30</f>
        <v>-1.3627336804802326E-3</v>
      </c>
      <c r="AJ4" s="2">
        <f>K30</f>
        <v>-1.3627336804802326E-3</v>
      </c>
      <c r="AL4" s="2">
        <f>K30</f>
        <v>-1.3627336804802326E-3</v>
      </c>
    </row>
    <row r="5" spans="2:41" x14ac:dyDescent="0.2">
      <c r="B5" s="10" t="s">
        <v>37</v>
      </c>
      <c r="C5" s="10">
        <v>2339.9222388496</v>
      </c>
      <c r="D5" s="10" t="s">
        <v>7</v>
      </c>
      <c r="F5" s="6" t="s">
        <v>87</v>
      </c>
      <c r="G5" s="17">
        <f>1000*0.3048</f>
        <v>304.8</v>
      </c>
      <c r="H5" s="6" t="s">
        <v>8</v>
      </c>
      <c r="J5" s="6" t="s">
        <v>100</v>
      </c>
      <c r="K5" s="6">
        <f>K4/$C$21</f>
        <v>59.118848567335469</v>
      </c>
      <c r="L5" s="6" t="s">
        <v>101</v>
      </c>
      <c r="N5" s="6" t="s">
        <v>22</v>
      </c>
      <c r="O5" s="6">
        <f xml:space="preserve"> 0.5 * $C$71 * $C$7^2</f>
        <v>2267.4637855940923</v>
      </c>
      <c r="P5" s="6" t="s">
        <v>23</v>
      </c>
      <c r="U5" s="2">
        <v>1</v>
      </c>
      <c r="V5" s="2">
        <f>IF(AB4&gt;0, Z4, V4)</f>
        <v>0.5</v>
      </c>
      <c r="W5" s="2">
        <f t="shared" si="0"/>
        <v>0.48960565886689156</v>
      </c>
      <c r="X5" s="2">
        <f>IF(AC4&gt;0, Z4, X4)</f>
        <v>1</v>
      </c>
      <c r="Y5" s="2">
        <f t="shared" si="1"/>
        <v>-2.9190164587395206E-2</v>
      </c>
      <c r="Z5" s="2">
        <f t="shared" ref="Z5:Z34" si="3" xml:space="preserve"> (V5 + X5)/2</f>
        <v>0.75</v>
      </c>
      <c r="AA5" s="2">
        <f t="shared" si="2"/>
        <v>0.22713696400962058</v>
      </c>
      <c r="AB5" s="2">
        <f t="shared" ref="AB5:AB34" si="4">W5*AA5</f>
        <v>0.11120754291695571</v>
      </c>
      <c r="AC5" s="2">
        <f t="shared" ref="AC5:AC34" si="5">Y5*AA5</f>
        <v>-6.6301653633220863E-3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-967.98020122952676</v>
      </c>
      <c r="AI5" s="3">
        <v>10000</v>
      </c>
      <c r="AJ5" s="2">
        <f t="dataTable" ref="AJ5:AJ44" dt2D="0" dtr="0" r1="C5"/>
        <v>3404.427706322831</v>
      </c>
      <c r="AK5" s="2">
        <f>(AG5+AI5)/2</f>
        <v>5250</v>
      </c>
      <c r="AL5" s="2">
        <f t="dataTable" ref="AL5:AL44" dt2D="0" dtr="0" r1="C5" ca="1"/>
        <v>1105.8303531524521</v>
      </c>
      <c r="AM5" s="2">
        <f>AH5*AL5</f>
        <v>-1070421.8877702293</v>
      </c>
      <c r="AN5" s="2">
        <f>AJ5*AL5</f>
        <v>3764719.4927649684</v>
      </c>
      <c r="AO5" s="2">
        <f>AI5-AG5</f>
        <v>9500</v>
      </c>
    </row>
    <row r="6" spans="2:41" x14ac:dyDescent="0.2">
      <c r="B6" s="6" t="s">
        <v>163</v>
      </c>
      <c r="C6" s="17">
        <v>419.65189454712402</v>
      </c>
      <c r="D6" s="6" t="s">
        <v>125</v>
      </c>
      <c r="F6" s="6" t="s">
        <v>88</v>
      </c>
      <c r="G6" s="6">
        <f xml:space="preserve"> $G$5/$G$4</f>
        <v>120</v>
      </c>
      <c r="H6" s="6" t="s">
        <v>13</v>
      </c>
      <c r="J6" s="6" t="s">
        <v>164</v>
      </c>
      <c r="K6" s="6">
        <f>(1+$C$32/100)*MAX(G20)</f>
        <v>161.53304489192249</v>
      </c>
      <c r="L6" s="6" t="s">
        <v>101</v>
      </c>
      <c r="N6" s="6" t="s">
        <v>114</v>
      </c>
      <c r="O6" s="6">
        <f xml:space="preserve"> ($C$21+$C$28) * 0.4 * ($C$5/($C$21+$C$28) *2.20462/1000)^(2/3) * 0.3048^2</f>
        <v>0.23077789009185809</v>
      </c>
      <c r="P6" s="6" t="s">
        <v>115</v>
      </c>
      <c r="U6" s="2">
        <v>2</v>
      </c>
      <c r="V6" s="2">
        <f t="shared" ref="V6:V34" si="7">IF(AB5&gt;0, Z5, V5)</f>
        <v>0.75</v>
      </c>
      <c r="W6" s="2">
        <f t="shared" si="0"/>
        <v>0.22713696400962058</v>
      </c>
      <c r="X6" s="2">
        <f t="shared" ref="X6:X34" si="8">IF(AC5&gt;0, Z5, X5)</f>
        <v>1</v>
      </c>
      <c r="Y6" s="2">
        <f t="shared" si="1"/>
        <v>-2.9190164587395206E-2</v>
      </c>
      <c r="Z6" s="2">
        <f t="shared" si="3"/>
        <v>0.875</v>
      </c>
      <c r="AA6" s="2">
        <f t="shared" si="2"/>
        <v>9.8527627548075425E-2</v>
      </c>
      <c r="AB6" s="2">
        <f t="shared" si="4"/>
        <v>2.237926619234051E-2</v>
      </c>
      <c r="AC6" s="2">
        <f t="shared" si="5"/>
        <v>-2.8760376645338955E-3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-967.98020122952676</v>
      </c>
      <c r="AI6" s="2">
        <f>IF(AN5&gt;0,AK5,AI5)</f>
        <v>5250</v>
      </c>
      <c r="AJ6" s="2">
        <v>1105.8303531524521</v>
      </c>
      <c r="AK6" s="2">
        <f t="shared" ref="AK6:AK44" si="9">(AG6+AI6)/2</f>
        <v>2875</v>
      </c>
      <c r="AL6" s="2">
        <v>246.99050135935545</v>
      </c>
      <c r="AM6" s="2">
        <f t="shared" ref="AM6:AM44" si="10">AH6*AL6</f>
        <v>-239081.91520761058</v>
      </c>
      <c r="AN6" s="2">
        <f t="shared" ref="AN6:AN44" si="11">AJ6*AL6</f>
        <v>273129.59334351722</v>
      </c>
      <c r="AO6" s="2">
        <f t="shared" ref="AO6:AO44" si="12">AI6-AG6</f>
        <v>4750</v>
      </c>
    </row>
    <row r="7" spans="2:41" x14ac:dyDescent="0.2">
      <c r="B7" s="6" t="s">
        <v>9</v>
      </c>
      <c r="C7" s="17">
        <f xml:space="preserve"> 241.4016 * 1000/3600</f>
        <v>67.055999999999997</v>
      </c>
      <c r="D7" s="6" t="s">
        <v>10</v>
      </c>
      <c r="F7" s="6" t="s">
        <v>19</v>
      </c>
      <c r="G7" s="6">
        <f xml:space="preserve"> $C$5 * $C$68 / $C$21</f>
        <v>2866.8409018734305</v>
      </c>
      <c r="H7" s="6" t="s">
        <v>20</v>
      </c>
      <c r="J7" s="6" t="s">
        <v>165</v>
      </c>
      <c r="K7" s="6">
        <f>K6/$C$28</f>
        <v>161.53304489192249</v>
      </c>
      <c r="L7" s="6" t="s">
        <v>101</v>
      </c>
      <c r="N7" s="6" t="s">
        <v>166</v>
      </c>
      <c r="O7" s="17">
        <v>9.1534090314177498E-3</v>
      </c>
      <c r="U7" s="2">
        <v>3</v>
      </c>
      <c r="V7" s="2">
        <f t="shared" si="7"/>
        <v>0.875</v>
      </c>
      <c r="W7" s="2">
        <f t="shared" si="0"/>
        <v>9.8527627548075425E-2</v>
      </c>
      <c r="X7" s="2">
        <f t="shared" si="8"/>
        <v>1</v>
      </c>
      <c r="Y7" s="2">
        <f t="shared" si="1"/>
        <v>-2.9190164587395206E-2</v>
      </c>
      <c r="Z7" s="2">
        <f t="shared" si="3"/>
        <v>0.9375</v>
      </c>
      <c r="AA7" s="2">
        <f t="shared" si="2"/>
        <v>3.457920485880206E-2</v>
      </c>
      <c r="AB7" s="2">
        <f t="shared" si="4"/>
        <v>3.4070070172366493E-3</v>
      </c>
      <c r="AC7" s="2">
        <f t="shared" si="5"/>
        <v>-1.0093726811296882E-3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-967.98020122952676</v>
      </c>
      <c r="AI7" s="2">
        <f t="shared" ref="AI7:AI44" si="14">IF(AN6&gt;0,AK6,AI6)</f>
        <v>2875</v>
      </c>
      <c r="AJ7" s="2">
        <v>246.99050135935545</v>
      </c>
      <c r="AK7" s="2">
        <f t="shared" si="9"/>
        <v>1687.5</v>
      </c>
      <c r="AL7" s="2">
        <v>-325.94554804980089</v>
      </c>
      <c r="AM7" s="2">
        <f t="shared" si="10"/>
        <v>315508.83719111467</v>
      </c>
      <c r="AN7" s="2">
        <f t="shared" si="11"/>
        <v>-80505.45432867021</v>
      </c>
      <c r="AO7" s="2">
        <f t="shared" si="12"/>
        <v>2375</v>
      </c>
    </row>
    <row r="8" spans="2:41" x14ac:dyDescent="0.2">
      <c r="B8" s="6" t="s">
        <v>95</v>
      </c>
      <c r="C8" s="17">
        <v>2.3402757356603101</v>
      </c>
      <c r="D8" s="6" t="s">
        <v>8</v>
      </c>
      <c r="F8" t="s">
        <v>97</v>
      </c>
      <c r="G8" s="6">
        <f>G10/$C$21</f>
        <v>39.412565711556979</v>
      </c>
      <c r="H8" s="6" t="s">
        <v>18</v>
      </c>
      <c r="N8" s="6" t="s">
        <v>167</v>
      </c>
      <c r="O8" s="17">
        <v>0.272912140344656</v>
      </c>
      <c r="U8" s="2">
        <v>4</v>
      </c>
      <c r="V8" s="2">
        <f t="shared" si="7"/>
        <v>0.9375</v>
      </c>
      <c r="W8" s="2">
        <f t="shared" si="0"/>
        <v>3.457920485880206E-2</v>
      </c>
      <c r="X8" s="2">
        <f t="shared" si="8"/>
        <v>1</v>
      </c>
      <c r="Y8" s="2">
        <f t="shared" si="1"/>
        <v>-2.9190164587395206E-2</v>
      </c>
      <c r="Z8" s="2">
        <f t="shared" si="3"/>
        <v>0.96875</v>
      </c>
      <c r="AA8" s="2">
        <f t="shared" si="2"/>
        <v>2.6742717552655781E-3</v>
      </c>
      <c r="AB8" s="2">
        <f t="shared" si="4"/>
        <v>9.2474190873436586E-5</v>
      </c>
      <c r="AC8" s="2">
        <f t="shared" si="5"/>
        <v>-7.8062432687624498E-5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-325.94554804980089</v>
      </c>
      <c r="AI8" s="2">
        <f t="shared" si="14"/>
        <v>2875</v>
      </c>
      <c r="AJ8" s="2">
        <v>246.99050135935545</v>
      </c>
      <c r="AK8" s="2">
        <f t="shared" si="9"/>
        <v>2281.25</v>
      </c>
      <c r="AL8" s="2">
        <v>-28.226773344871617</v>
      </c>
      <c r="AM8" s="2">
        <f t="shared" si="10"/>
        <v>9200.3911075716915</v>
      </c>
      <c r="AN8" s="2">
        <f t="shared" si="11"/>
        <v>-6971.7449002067315</v>
      </c>
      <c r="AO8" s="2">
        <f t="shared" si="12"/>
        <v>1187.5</v>
      </c>
    </row>
    <row r="9" spans="2:41" x14ac:dyDescent="0.2">
      <c r="B9" s="6" t="s">
        <v>131</v>
      </c>
      <c r="C9" s="17">
        <f>(0.548288+0.530863+0.513438+0.496013+0.478588+0.461163+0.443738+0.426313)/8</f>
        <v>0.48730050000000003</v>
      </c>
      <c r="D9" s="6" t="s">
        <v>8</v>
      </c>
      <c r="F9" t="s">
        <v>146</v>
      </c>
      <c r="G9" s="6">
        <f xml:space="preserve"> (G7/$C$68*1000) / (G8*1000)</f>
        <v>7.4212443309782499</v>
      </c>
      <c r="H9" s="6" t="s">
        <v>147</v>
      </c>
      <c r="J9" s="30" t="s">
        <v>21</v>
      </c>
      <c r="K9" s="30"/>
      <c r="L9" s="30"/>
      <c r="N9" s="6" t="s">
        <v>168</v>
      </c>
      <c r="O9" s="6">
        <f xml:space="preserve"> $O$8/$C$12 + $O$7</f>
        <v>1.9213331158418855E-2</v>
      </c>
      <c r="U9" s="2">
        <v>5</v>
      </c>
      <c r="V9" s="2">
        <f t="shared" si="7"/>
        <v>0.96875</v>
      </c>
      <c r="W9" s="2">
        <f t="shared" si="0"/>
        <v>2.6742717552655781E-3</v>
      </c>
      <c r="X9" s="2">
        <f t="shared" si="8"/>
        <v>1</v>
      </c>
      <c r="Y9" s="2">
        <f t="shared" si="1"/>
        <v>-2.9190164587395206E-2</v>
      </c>
      <c r="Z9" s="2">
        <f t="shared" si="3"/>
        <v>0.984375</v>
      </c>
      <c r="AA9" s="2">
        <f t="shared" si="2"/>
        <v>-1.3262770932823131E-2</v>
      </c>
      <c r="AB9" s="2">
        <f t="shared" si="4"/>
        <v>-3.5468253702206202E-5</v>
      </c>
      <c r="AC9" s="2">
        <f t="shared" si="5"/>
        <v>3.8714246641402826E-4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-28.226773344871617</v>
      </c>
      <c r="AI9" s="2">
        <f t="shared" si="14"/>
        <v>2875</v>
      </c>
      <c r="AJ9" s="2">
        <v>246.99050135935545</v>
      </c>
      <c r="AK9" s="2">
        <f t="shared" si="9"/>
        <v>2578.125</v>
      </c>
      <c r="AL9" s="2">
        <v>112.29156549616005</v>
      </c>
      <c r="AM9" s="2">
        <f t="shared" si="10"/>
        <v>-3169.6285678009158</v>
      </c>
      <c r="AN9" s="2">
        <f t="shared" si="11"/>
        <v>27734.95006032347</v>
      </c>
      <c r="AO9" s="2">
        <f t="shared" si="12"/>
        <v>593.75</v>
      </c>
    </row>
    <row r="10" spans="2:41" x14ac:dyDescent="0.2">
      <c r="B10" s="6" t="s">
        <v>169</v>
      </c>
      <c r="C10" s="17">
        <v>1.5973451165129799</v>
      </c>
      <c r="D10" s="6" t="s">
        <v>8</v>
      </c>
      <c r="F10" s="25" t="s">
        <v>82</v>
      </c>
      <c r="G10" s="25">
        <f xml:space="preserve"> 1/1000 * (($C$5*$C$68)/$C$24 * ( ($G$4/2) + SQRT( ($G$4/2)^2 + ($C$5*$C$68) / (2*$C$65*PI()*$C$8^2 * $C$21) ) ) )</f>
        <v>315.30052569245584</v>
      </c>
      <c r="H10" s="25" t="s">
        <v>101</v>
      </c>
      <c r="J10" s="6" t="s">
        <v>96</v>
      </c>
      <c r="K10" s="6">
        <f xml:space="preserve"> $C$18 * (G10*G6 + G20*G13 + G29*G25 + G33*G32)/3600</f>
        <v>106.22285542312932</v>
      </c>
      <c r="L10" s="6" t="s">
        <v>102</v>
      </c>
      <c r="N10" s="6" t="s">
        <v>38</v>
      </c>
      <c r="O10" s="6">
        <f xml:space="preserve"> O5 * $C$12 * O9</f>
        <v>1181.8742329871479</v>
      </c>
      <c r="P10" s="6" t="s">
        <v>20</v>
      </c>
      <c r="U10" s="2">
        <v>6</v>
      </c>
      <c r="V10" s="2">
        <f t="shared" si="7"/>
        <v>0.96875</v>
      </c>
      <c r="W10" s="2">
        <f t="shared" si="0"/>
        <v>2.6742717552655781E-3</v>
      </c>
      <c r="X10" s="2">
        <f t="shared" si="8"/>
        <v>0.984375</v>
      </c>
      <c r="Y10" s="2">
        <f t="shared" si="1"/>
        <v>-1.3262770932823131E-2</v>
      </c>
      <c r="Z10" s="2">
        <f t="shared" si="3"/>
        <v>0.9765625</v>
      </c>
      <c r="AA10" s="2">
        <f t="shared" si="2"/>
        <v>-5.2954842489979503E-3</v>
      </c>
      <c r="AB10" s="2">
        <f t="shared" si="4"/>
        <v>-1.416156395754897E-5</v>
      </c>
      <c r="AC10" s="2">
        <f t="shared" si="5"/>
        <v>7.0232794572832742E-5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-28.226773344871617</v>
      </c>
      <c r="AI10" s="2">
        <f t="shared" si="14"/>
        <v>2578.125</v>
      </c>
      <c r="AJ10" s="2">
        <v>112.29156549616005</v>
      </c>
      <c r="AK10" s="2">
        <f t="shared" si="9"/>
        <v>2429.6875</v>
      </c>
      <c r="AL10" s="2">
        <v>42.750898290215446</v>
      </c>
      <c r="AM10" s="2">
        <f t="shared" si="10"/>
        <v>-1206.7199163275709</v>
      </c>
      <c r="AN10" s="2">
        <f t="shared" si="11"/>
        <v>4800.5652953754043</v>
      </c>
      <c r="AO10" s="2">
        <f t="shared" si="12"/>
        <v>296.875</v>
      </c>
    </row>
    <row r="11" spans="2:41" x14ac:dyDescent="0.2">
      <c r="B11" s="6" t="s">
        <v>170</v>
      </c>
      <c r="C11" s="17">
        <f>(0.500656+0.484769+0.468881+0.452994+0.437106+0.421219+0.405331+0.389444)/8</f>
        <v>0.44505</v>
      </c>
      <c r="D11" s="6" t="s">
        <v>8</v>
      </c>
      <c r="J11" s="6" t="s">
        <v>171</v>
      </c>
      <c r="K11" s="6">
        <f xml:space="preserve"> (G6 + G13 + G25 + G32)/60</f>
        <v>50.188181022826697</v>
      </c>
      <c r="L11" s="6" t="s">
        <v>103</v>
      </c>
      <c r="N11" s="6" t="s">
        <v>172</v>
      </c>
      <c r="O11" s="6">
        <f xml:space="preserve"> 1.78 * (1 - 0.045 * $C$13^0.68) - 0.64</f>
        <v>0.74786409342351778</v>
      </c>
      <c r="U11" s="2">
        <v>7</v>
      </c>
      <c r="V11" s="2">
        <f t="shared" si="7"/>
        <v>0.96875</v>
      </c>
      <c r="W11" s="2">
        <f t="shared" si="0"/>
        <v>2.6742717552655781E-3</v>
      </c>
      <c r="X11" s="2">
        <f t="shared" si="8"/>
        <v>0.9765625</v>
      </c>
      <c r="Y11" s="2">
        <f t="shared" si="1"/>
        <v>-5.2954842489979503E-3</v>
      </c>
      <c r="Z11" s="2">
        <f t="shared" si="3"/>
        <v>0.97265625</v>
      </c>
      <c r="AA11" s="2">
        <f t="shared" si="2"/>
        <v>-1.310918576740705E-3</v>
      </c>
      <c r="AB11" s="2">
        <f t="shared" si="4"/>
        <v>-3.5057525232306185E-6</v>
      </c>
      <c r="AC11" s="2">
        <f t="shared" si="5"/>
        <v>6.9419486748492138E-6</v>
      </c>
      <c r="AD11" s="2">
        <f t="shared" si="6"/>
        <v>7.8125E-3</v>
      </c>
      <c r="AF11" s="2">
        <v>7</v>
      </c>
      <c r="AG11" s="2">
        <f t="shared" si="13"/>
        <v>2281.25</v>
      </c>
      <c r="AH11" s="2">
        <v>-28.226773344871617</v>
      </c>
      <c r="AI11" s="2">
        <f t="shared" si="14"/>
        <v>2429.6875</v>
      </c>
      <c r="AJ11" s="2">
        <v>42.750898290215446</v>
      </c>
      <c r="AK11" s="2">
        <f t="shared" si="9"/>
        <v>2355.46875</v>
      </c>
      <c r="AL11" s="2">
        <v>7.4403602456677618</v>
      </c>
      <c r="AM11" s="2">
        <f t="shared" si="10"/>
        <v>-210.01736225865722</v>
      </c>
      <c r="AN11" s="2">
        <f t="shared" si="11"/>
        <v>318.08208410510491</v>
      </c>
      <c r="AO11" s="2">
        <f t="shared" si="12"/>
        <v>148.4375</v>
      </c>
    </row>
    <row r="12" spans="2:41" x14ac:dyDescent="0.2">
      <c r="B12" s="6" t="s">
        <v>173</v>
      </c>
      <c r="C12" s="17">
        <v>27.128653373185902</v>
      </c>
      <c r="D12" s="6" t="s">
        <v>174</v>
      </c>
      <c r="F12" s="32" t="s">
        <v>86</v>
      </c>
      <c r="G12" s="34"/>
      <c r="H12" s="34"/>
      <c r="N12" s="6" t="s">
        <v>175</v>
      </c>
      <c r="O12" s="6">
        <f xml:space="preserve"> O4 / (O5 * $C$12)</f>
        <v>0.37280646927030864</v>
      </c>
      <c r="U12" s="2">
        <v>8</v>
      </c>
      <c r="V12" s="2">
        <f t="shared" si="7"/>
        <v>0.96875</v>
      </c>
      <c r="W12" s="2">
        <f t="shared" si="0"/>
        <v>2.6742717552655781E-3</v>
      </c>
      <c r="X12" s="2">
        <f t="shared" si="8"/>
        <v>0.97265625</v>
      </c>
      <c r="Y12" s="2">
        <f t="shared" si="1"/>
        <v>-1.310918576740705E-3</v>
      </c>
      <c r="Z12" s="2">
        <f t="shared" si="3"/>
        <v>0.970703125</v>
      </c>
      <c r="AA12" s="2">
        <f t="shared" si="2"/>
        <v>6.8159804235712329E-4</v>
      </c>
      <c r="AB12" s="2">
        <f t="shared" si="4"/>
        <v>1.8227783931199659E-6</v>
      </c>
      <c r="AC12" s="2">
        <f t="shared" si="5"/>
        <v>-8.9351953559605087E-7</v>
      </c>
      <c r="AD12" s="2">
        <f t="shared" si="6"/>
        <v>3.90625E-3</v>
      </c>
      <c r="AF12" s="2">
        <v>8</v>
      </c>
      <c r="AG12" s="2">
        <f t="shared" si="13"/>
        <v>2281.25</v>
      </c>
      <c r="AH12" s="2">
        <v>-28.226773344871617</v>
      </c>
      <c r="AI12" s="2">
        <f t="shared" si="14"/>
        <v>2355.46875</v>
      </c>
      <c r="AJ12" s="2">
        <v>7.4403602456677618</v>
      </c>
      <c r="AK12" s="2">
        <f t="shared" si="9"/>
        <v>2318.359375</v>
      </c>
      <c r="AL12" s="2">
        <v>-10.348814205673307</v>
      </c>
      <c r="AM12" s="2">
        <f t="shared" si="10"/>
        <v>292.11363297172801</v>
      </c>
      <c r="AN12" s="2">
        <f t="shared" si="11"/>
        <v>-76.998905805693468</v>
      </c>
      <c r="AO12" s="2">
        <f t="shared" si="12"/>
        <v>74.21875</v>
      </c>
    </row>
    <row r="13" spans="2:41" x14ac:dyDescent="0.2">
      <c r="B13" s="6" t="s">
        <v>176</v>
      </c>
      <c r="C13" s="17">
        <v>10.3375538925954</v>
      </c>
      <c r="F13" s="9" t="s">
        <v>89</v>
      </c>
      <c r="G13" s="6">
        <f xml:space="preserve"> $C$17/$C$7</f>
        <v>1491.2908613696015</v>
      </c>
      <c r="H13" s="6" t="s">
        <v>13</v>
      </c>
      <c r="J13" s="28" t="s">
        <v>51</v>
      </c>
      <c r="K13" s="28"/>
      <c r="L13" s="28"/>
      <c r="N13" s="6" t="s">
        <v>177</v>
      </c>
      <c r="O13" s="6">
        <f xml:space="preserve"> O9 + O12^2 / ( PI() * O11 * $C$13 )</f>
        <v>2.4935709105575559E-2</v>
      </c>
      <c r="U13" s="2">
        <v>9</v>
      </c>
      <c r="V13" s="2">
        <f t="shared" si="7"/>
        <v>0.970703125</v>
      </c>
      <c r="W13" s="2">
        <f t="shared" si="0"/>
        <v>6.8159804235712329E-4</v>
      </c>
      <c r="X13" s="2">
        <f t="shared" si="8"/>
        <v>0.97265625</v>
      </c>
      <c r="Y13" s="2">
        <f t="shared" si="1"/>
        <v>-1.310918576740705E-3</v>
      </c>
      <c r="Z13" s="2">
        <f t="shared" si="3"/>
        <v>0.9716796875</v>
      </c>
      <c r="AA13" s="2">
        <f t="shared" si="2"/>
        <v>-3.1467984557709272E-4</v>
      </c>
      <c r="AB13" s="2">
        <f t="shared" si="4"/>
        <v>-2.1448516671458825E-7</v>
      </c>
      <c r="AC13" s="2">
        <f t="shared" si="5"/>
        <v>4.1251965529290723E-7</v>
      </c>
      <c r="AD13" s="2">
        <f t="shared" si="6"/>
        <v>1.953125E-3</v>
      </c>
      <c r="AF13" s="2">
        <v>9</v>
      </c>
      <c r="AG13" s="2">
        <f t="shared" si="13"/>
        <v>2318.359375</v>
      </c>
      <c r="AH13" s="2">
        <v>-10.348814205673307</v>
      </c>
      <c r="AI13" s="2">
        <f t="shared" si="14"/>
        <v>2355.46875</v>
      </c>
      <c r="AJ13" s="2">
        <v>7.4403602456677618</v>
      </c>
      <c r="AK13" s="2">
        <f t="shared" si="9"/>
        <v>2336.9140625</v>
      </c>
      <c r="AL13" s="2">
        <v>-1.4431053712712583</v>
      </c>
      <c r="AM13" s="2">
        <f t="shared" si="10"/>
        <v>14.934429366495449</v>
      </c>
      <c r="AN13" s="2">
        <f t="shared" si="11"/>
        <v>-10.737223834716286</v>
      </c>
      <c r="AO13" s="2">
        <f t="shared" si="12"/>
        <v>37.109375</v>
      </c>
    </row>
    <row r="14" spans="2:41" x14ac:dyDescent="0.2">
      <c r="F14" s="6" t="s">
        <v>178</v>
      </c>
      <c r="G14" s="6">
        <f>O21*$C$10</f>
        <v>70.196678717378759</v>
      </c>
      <c r="H14" s="6" t="s">
        <v>10</v>
      </c>
      <c r="J14" s="10" t="s">
        <v>79</v>
      </c>
      <c r="K14" s="18">
        <f>C5</f>
        <v>2339.9222388496</v>
      </c>
      <c r="L14" s="6" t="s">
        <v>7</v>
      </c>
      <c r="N14" s="6" t="s">
        <v>39</v>
      </c>
      <c r="O14" s="6">
        <f xml:space="preserve"> O5 * O13 * $C$12</f>
        <v>1533.8762357317341</v>
      </c>
      <c r="P14" s="6" t="s">
        <v>20</v>
      </c>
      <c r="U14" s="2">
        <v>10</v>
      </c>
      <c r="V14" s="2">
        <f t="shared" si="7"/>
        <v>0.970703125</v>
      </c>
      <c r="W14" s="2">
        <f t="shared" si="0"/>
        <v>6.8159804235712329E-4</v>
      </c>
      <c r="X14" s="2">
        <f t="shared" si="8"/>
        <v>0.9716796875</v>
      </c>
      <c r="Y14" s="2">
        <f t="shared" si="1"/>
        <v>-3.1467984557709272E-4</v>
      </c>
      <c r="Z14" s="2">
        <f t="shared" si="3"/>
        <v>0.97119140625</v>
      </c>
      <c r="AA14" s="2">
        <f t="shared" si="2"/>
        <v>1.8345419651910611E-4</v>
      </c>
      <c r="AB14" s="2">
        <f t="shared" si="4"/>
        <v>1.2504202120962171E-7</v>
      </c>
      <c r="AC14" s="2">
        <f t="shared" si="5"/>
        <v>-5.772933823110193E-8</v>
      </c>
      <c r="AD14" s="2">
        <f t="shared" si="6"/>
        <v>9.765625E-4</v>
      </c>
      <c r="AF14" s="2">
        <v>10</v>
      </c>
      <c r="AG14" s="2">
        <f t="shared" si="13"/>
        <v>2336.9140625</v>
      </c>
      <c r="AH14" s="2">
        <v>-1.4431053712712583</v>
      </c>
      <c r="AI14" s="2">
        <f t="shared" si="14"/>
        <v>2355.46875</v>
      </c>
      <c r="AJ14" s="2">
        <v>7.4403602456677618</v>
      </c>
      <c r="AK14" s="2">
        <f t="shared" si="9"/>
        <v>2346.19140625</v>
      </c>
      <c r="AL14" s="2">
        <v>3.0014109301166627</v>
      </c>
      <c r="AM14" s="2">
        <f t="shared" si="10"/>
        <v>-4.3313522346436191</v>
      </c>
      <c r="AN14" s="2">
        <f t="shared" si="11"/>
        <v>22.331578565352718</v>
      </c>
      <c r="AO14" s="2">
        <f t="shared" si="12"/>
        <v>18.5546875</v>
      </c>
    </row>
    <row r="15" spans="2:41" x14ac:dyDescent="0.2">
      <c r="B15" s="30" t="s">
        <v>11</v>
      </c>
      <c r="C15" s="30"/>
      <c r="D15" s="30"/>
      <c r="F15" s="6" t="s">
        <v>179</v>
      </c>
      <c r="G15" s="6">
        <f>G14/$C$73</f>
        <v>0.21097712507276808</v>
      </c>
      <c r="H15" s="6" t="s">
        <v>122</v>
      </c>
      <c r="J15" s="11" t="s">
        <v>52</v>
      </c>
      <c r="K15" s="6">
        <f xml:space="preserve"> 1000 * K10 / ($C$60 * $C$61 * $C$62)</f>
        <v>624.84032601840784</v>
      </c>
      <c r="L15" s="6" t="s">
        <v>7</v>
      </c>
      <c r="N15" s="6" t="s">
        <v>180</v>
      </c>
      <c r="O15" s="6">
        <f>O4/O14</f>
        <v>14.950706542648515</v>
      </c>
      <c r="U15" s="2">
        <v>11</v>
      </c>
      <c r="V15" s="2">
        <f t="shared" si="7"/>
        <v>0.97119140625</v>
      </c>
      <c r="W15" s="2">
        <f t="shared" si="0"/>
        <v>1.8345419651910611E-4</v>
      </c>
      <c r="X15" s="2">
        <f t="shared" si="8"/>
        <v>0.9716796875</v>
      </c>
      <c r="Y15" s="2">
        <f t="shared" si="1"/>
        <v>-3.1467984557709272E-4</v>
      </c>
      <c r="Z15" s="2">
        <f t="shared" si="3"/>
        <v>0.971435546875</v>
      </c>
      <c r="AA15" s="2">
        <f t="shared" si="2"/>
        <v>-6.5614049086337722E-5</v>
      </c>
      <c r="AB15" s="2">
        <f t="shared" si="4"/>
        <v>-1.2037172655499276E-8</v>
      </c>
      <c r="AC15" s="2">
        <f t="shared" si="5"/>
        <v>2.0647418834176536E-8</v>
      </c>
      <c r="AD15" s="2">
        <f t="shared" si="6"/>
        <v>4.8828125E-4</v>
      </c>
      <c r="AF15" s="2">
        <v>11</v>
      </c>
      <c r="AG15" s="2">
        <f t="shared" si="13"/>
        <v>2336.9140625</v>
      </c>
      <c r="AH15" s="2">
        <v>-1.4431053712712583</v>
      </c>
      <c r="AI15" s="2">
        <f t="shared" si="14"/>
        <v>2346.19140625</v>
      </c>
      <c r="AJ15" s="2">
        <v>3.0014109301166627</v>
      </c>
      <c r="AK15" s="2">
        <f t="shared" si="9"/>
        <v>2341.552734375</v>
      </c>
      <c r="AL15" s="2">
        <v>0.77984829567435554</v>
      </c>
      <c r="AM15" s="2">
        <f t="shared" si="10"/>
        <v>-1.1254032642643987</v>
      </c>
      <c r="AN15" s="2">
        <f t="shared" si="11"/>
        <v>2.3406451984698617</v>
      </c>
      <c r="AO15" s="2">
        <f t="shared" si="12"/>
        <v>9.27734375</v>
      </c>
    </row>
    <row r="16" spans="2:41" x14ac:dyDescent="0.2">
      <c r="B16" s="6" t="s">
        <v>68</v>
      </c>
      <c r="C16" s="6">
        <f>C35*100</f>
        <v>600</v>
      </c>
      <c r="D16" s="6" t="s">
        <v>7</v>
      </c>
      <c r="F16" s="9" t="s">
        <v>19</v>
      </c>
      <c r="G16" s="6">
        <f>O20</f>
        <v>1533.8762357317341</v>
      </c>
      <c r="H16" s="6" t="s">
        <v>20</v>
      </c>
      <c r="J16" s="12" t="s">
        <v>126</v>
      </c>
      <c r="K16" s="6">
        <f xml:space="preserve"> $C$78 * ( $C$21 * (0.0095 * MAX(G7,G26) - 1.9275) +  $C$28 * (0.0095 * MAX(O20) - 1.9275) )</f>
        <v>172.08338622546577</v>
      </c>
      <c r="L16" s="6" t="s">
        <v>7</v>
      </c>
      <c r="N16" s="6" t="s">
        <v>113</v>
      </c>
      <c r="O16" s="6">
        <f>(O13*$C$12)/(0.3048^2)/($C$5*2.20462/1000)^(2/3)</f>
        <v>2.438914573661604</v>
      </c>
      <c r="U16" s="2">
        <v>12</v>
      </c>
      <c r="V16" s="2">
        <f t="shared" si="7"/>
        <v>0.97119140625</v>
      </c>
      <c r="W16" s="2">
        <f t="shared" si="0"/>
        <v>1.8345419651910611E-4</v>
      </c>
      <c r="X16" s="2">
        <f t="shared" si="8"/>
        <v>0.971435546875</v>
      </c>
      <c r="Y16" s="2">
        <f t="shared" si="1"/>
        <v>-6.5614049086337722E-5</v>
      </c>
      <c r="Z16" s="2">
        <f t="shared" si="3"/>
        <v>0.9713134765625</v>
      </c>
      <c r="AA16" s="2">
        <f t="shared" si="2"/>
        <v>5.8919767463305739E-5</v>
      </c>
      <c r="AB16" s="2">
        <f t="shared" si="4"/>
        <v>1.0809078599073324E-8</v>
      </c>
      <c r="AC16" s="2">
        <f t="shared" si="5"/>
        <v>-3.8659645144929471E-9</v>
      </c>
      <c r="AD16" s="2">
        <f t="shared" si="6"/>
        <v>2.44140625E-4</v>
      </c>
      <c r="AF16" s="2">
        <v>12</v>
      </c>
      <c r="AG16" s="2">
        <f t="shared" si="13"/>
        <v>2336.9140625</v>
      </c>
      <c r="AH16" s="2">
        <v>-1.4431053712712583</v>
      </c>
      <c r="AI16" s="2">
        <f t="shared" si="14"/>
        <v>2341.552734375</v>
      </c>
      <c r="AJ16" s="2">
        <v>0.77984829567435554</v>
      </c>
      <c r="AK16" s="2">
        <f t="shared" si="9"/>
        <v>2339.2333984375</v>
      </c>
      <c r="AL16" s="2">
        <v>-0.33145477409607338</v>
      </c>
      <c r="AM16" s="2">
        <f t="shared" si="10"/>
        <v>0.478324164831545</v>
      </c>
      <c r="AN16" s="2">
        <f t="shared" si="11"/>
        <v>-0.25848444067195137</v>
      </c>
      <c r="AO16" s="2">
        <f t="shared" si="12"/>
        <v>4.638671875</v>
      </c>
    </row>
    <row r="17" spans="2:41" x14ac:dyDescent="0.2">
      <c r="B17" s="6" t="s">
        <v>12</v>
      </c>
      <c r="C17" s="17">
        <f>100*1000</f>
        <v>100000</v>
      </c>
      <c r="D17" s="6" t="s">
        <v>8</v>
      </c>
      <c r="F17" s="9" t="s">
        <v>97</v>
      </c>
      <c r="G17" s="6">
        <f xml:space="preserve"> 1/1000 * (O25 + O20 * (O30 * O27 + $C$7 * SIN(O19/180*PI())))</f>
        <v>107.68869659461498</v>
      </c>
      <c r="H17" s="6" t="s">
        <v>101</v>
      </c>
      <c r="J17" s="12" t="s">
        <v>127</v>
      </c>
      <c r="K17" s="6">
        <v>0</v>
      </c>
      <c r="L17" s="6" t="s">
        <v>7</v>
      </c>
      <c r="U17" s="2">
        <v>13</v>
      </c>
      <c r="V17" s="2">
        <f t="shared" si="7"/>
        <v>0.9713134765625</v>
      </c>
      <c r="W17" s="2">
        <f t="shared" si="0"/>
        <v>5.8919767463305739E-5</v>
      </c>
      <c r="X17" s="2">
        <f t="shared" si="8"/>
        <v>0.971435546875</v>
      </c>
      <c r="Y17" s="2">
        <f t="shared" si="1"/>
        <v>-6.5614049086337722E-5</v>
      </c>
      <c r="Z17" s="2">
        <f t="shared" si="3"/>
        <v>0.97137451171875</v>
      </c>
      <c r="AA17" s="2">
        <f t="shared" si="2"/>
        <v>-3.3472173605053612E-6</v>
      </c>
      <c r="AB17" s="2">
        <f t="shared" si="4"/>
        <v>-1.972172685301159E-10</v>
      </c>
      <c r="AC17" s="2">
        <f t="shared" si="5"/>
        <v>2.1962448419484055E-10</v>
      </c>
      <c r="AD17" s="2">
        <f t="shared" si="6"/>
        <v>1.220703125E-4</v>
      </c>
      <c r="AF17" s="2">
        <v>13</v>
      </c>
      <c r="AG17" s="2">
        <f t="shared" si="13"/>
        <v>2339.2333984375</v>
      </c>
      <c r="AH17" s="2">
        <v>-0.33145477409607338</v>
      </c>
      <c r="AI17" s="2">
        <f t="shared" si="14"/>
        <v>2341.552734375</v>
      </c>
      <c r="AJ17" s="2">
        <v>0.77984829567435554</v>
      </c>
      <c r="AK17" s="2">
        <f t="shared" si="9"/>
        <v>2340.39306640625</v>
      </c>
      <c r="AL17" s="2">
        <v>0.22424041879639844</v>
      </c>
      <c r="AM17" s="2">
        <f t="shared" si="10"/>
        <v>-7.4325557355369137E-2</v>
      </c>
      <c r="AN17" s="2">
        <f t="shared" si="11"/>
        <v>0.17487350841967506</v>
      </c>
      <c r="AO17" s="2">
        <f t="shared" si="12"/>
        <v>2.3193359375</v>
      </c>
    </row>
    <row r="18" spans="2:41" x14ac:dyDescent="0.2">
      <c r="B18" s="6" t="s">
        <v>136</v>
      </c>
      <c r="C18" s="17">
        <v>1</v>
      </c>
      <c r="F18" t="s">
        <v>146</v>
      </c>
      <c r="G18" s="6">
        <f xml:space="preserve"> (G16/$C$74*1000) / (G17*1000)</f>
        <v>1.4533478998610141</v>
      </c>
      <c r="H18" s="6" t="s">
        <v>147</v>
      </c>
      <c r="J18" s="13" t="s">
        <v>53</v>
      </c>
      <c r="K18" s="6">
        <f xml:space="preserve"> $C$78 * (0.2138 * K4 + 0.2138 * K6)</f>
        <v>108.52211486997089</v>
      </c>
      <c r="L18" s="6" t="s">
        <v>7</v>
      </c>
      <c r="N18" s="32" t="s">
        <v>181</v>
      </c>
      <c r="O18" s="35"/>
      <c r="P18" s="35"/>
      <c r="U18" s="2">
        <v>14</v>
      </c>
      <c r="V18" s="2">
        <f t="shared" si="7"/>
        <v>0.9713134765625</v>
      </c>
      <c r="W18" s="2">
        <f t="shared" si="0"/>
        <v>5.8919767463305739E-5</v>
      </c>
      <c r="X18" s="2">
        <f t="shared" si="8"/>
        <v>0.97137451171875</v>
      </c>
      <c r="Y18" s="2">
        <f t="shared" si="1"/>
        <v>-3.3472173605053612E-6</v>
      </c>
      <c r="Z18" s="2">
        <f t="shared" si="3"/>
        <v>0.971343994140625</v>
      </c>
      <c r="AA18" s="2">
        <f t="shared" si="2"/>
        <v>2.778625591237649E-5</v>
      </c>
      <c r="AB18" s="2">
        <f t="shared" si="4"/>
        <v>1.6371597370331269E-9</v>
      </c>
      <c r="AC18" s="2">
        <f t="shared" si="5"/>
        <v>-9.3006638173351319E-11</v>
      </c>
      <c r="AD18" s="2">
        <f t="shared" si="6"/>
        <v>6.103515625E-5</v>
      </c>
      <c r="AF18" s="2">
        <v>14</v>
      </c>
      <c r="AG18" s="2">
        <f t="shared" si="13"/>
        <v>2339.2333984375</v>
      </c>
      <c r="AH18" s="2">
        <v>-0.33145477409607338</v>
      </c>
      <c r="AI18" s="2">
        <f t="shared" si="14"/>
        <v>2340.39306640625</v>
      </c>
      <c r="AJ18" s="2">
        <v>0.22424041879639844</v>
      </c>
      <c r="AK18" s="2">
        <f t="shared" si="9"/>
        <v>2339.813232421875</v>
      </c>
      <c r="AL18" s="2">
        <v>-5.3596193386738378E-2</v>
      </c>
      <c r="AM18" s="2">
        <f t="shared" si="10"/>
        <v>1.7764714171410831E-2</v>
      </c>
      <c r="AN18" s="2">
        <f t="shared" si="11"/>
        <v>-1.2018432850934974E-2</v>
      </c>
      <c r="AO18" s="2">
        <f t="shared" si="12"/>
        <v>1.15966796875</v>
      </c>
    </row>
    <row r="19" spans="2:41" x14ac:dyDescent="0.2">
      <c r="F19" s="9" t="s">
        <v>148</v>
      </c>
      <c r="G19" s="6">
        <f>O23 / ($C$29*$C$11/PI())</f>
        <v>4.5300662091238869E-2</v>
      </c>
      <c r="J19" s="13" t="s">
        <v>77</v>
      </c>
      <c r="K19" s="6">
        <f xml:space="preserve"> $C$78 * (0.1149 * K4 + 0.1149 * K6)</f>
        <v>58.321753968941337</v>
      </c>
      <c r="L19" s="6" t="s">
        <v>7</v>
      </c>
      <c r="N19" s="6" t="s">
        <v>25</v>
      </c>
      <c r="O19" s="6">
        <f xml:space="preserve"> 90 - $C$81</f>
        <v>85</v>
      </c>
      <c r="P19" s="6" t="s">
        <v>40</v>
      </c>
      <c r="U19" s="2">
        <v>15</v>
      </c>
      <c r="V19" s="2">
        <f t="shared" si="7"/>
        <v>0.971343994140625</v>
      </c>
      <c r="W19" s="2">
        <f t="shared" si="0"/>
        <v>2.778625591237649E-5</v>
      </c>
      <c r="X19" s="2">
        <f t="shared" si="8"/>
        <v>0.97137451171875</v>
      </c>
      <c r="Y19" s="2">
        <f t="shared" si="1"/>
        <v>-3.3472173605053612E-6</v>
      </c>
      <c r="Z19" s="2">
        <f t="shared" si="3"/>
        <v>0.9713592529296875</v>
      </c>
      <c r="AA19" s="2">
        <f t="shared" si="2"/>
        <v>1.2219514491373928E-5</v>
      </c>
      <c r="AB19" s="2">
        <f t="shared" si="4"/>
        <v>3.3953455678230899E-10</v>
      </c>
      <c r="AC19" s="2">
        <f t="shared" si="5"/>
        <v>-4.0901371042473655E-11</v>
      </c>
      <c r="AD19" s="2">
        <f t="shared" si="6"/>
        <v>3.0517578125E-5</v>
      </c>
      <c r="AF19" s="2">
        <v>15</v>
      </c>
      <c r="AG19" s="2">
        <f t="shared" si="13"/>
        <v>2339.813232421875</v>
      </c>
      <c r="AH19" s="2">
        <v>-5.3596193386738378E-2</v>
      </c>
      <c r="AI19" s="2">
        <f t="shared" si="14"/>
        <v>2340.39306640625</v>
      </c>
      <c r="AJ19" s="2">
        <v>0.22424041879639844</v>
      </c>
      <c r="AK19" s="2">
        <f t="shared" si="9"/>
        <v>2340.1031494140625</v>
      </c>
      <c r="AL19" s="2">
        <v>8.5324788377647565E-2</v>
      </c>
      <c r="AM19" s="2">
        <f t="shared" si="10"/>
        <v>-4.5730838585709256E-3</v>
      </c>
      <c r="AN19" s="2">
        <f t="shared" si="11"/>
        <v>1.9133266279517759E-2</v>
      </c>
      <c r="AO19" s="2">
        <f t="shared" si="12"/>
        <v>0.579833984375</v>
      </c>
    </row>
    <row r="20" spans="2:41" x14ac:dyDescent="0.2">
      <c r="B20" s="30" t="s">
        <v>110</v>
      </c>
      <c r="C20" s="30"/>
      <c r="D20" s="30"/>
      <c r="F20" s="26" t="s">
        <v>132</v>
      </c>
      <c r="G20" s="25">
        <f xml:space="preserve"> $C$28 * G17</f>
        <v>107.68869659461498</v>
      </c>
      <c r="H20" s="25" t="s">
        <v>101</v>
      </c>
      <c r="J20" s="14" t="s">
        <v>60</v>
      </c>
      <c r="K20" s="6">
        <f xml:space="preserve"> $C$79 * (14.86 * ($C$5*2.20462)^0.144 * ($C$36/(PI()*$C$37))^0.778 * ($C$36*3.28084)^0.383 * $C$35^0.455 * 0.453592)</f>
        <v>216.82558950030395</v>
      </c>
      <c r="L20" s="6" t="s">
        <v>7</v>
      </c>
      <c r="N20" s="6" t="s">
        <v>19</v>
      </c>
      <c r="O20" s="6">
        <f xml:space="preserve"> O14 / $C$28</f>
        <v>1533.8762357317341</v>
      </c>
      <c r="P20" s="6" t="s">
        <v>20</v>
      </c>
      <c r="U20" s="2">
        <v>16</v>
      </c>
      <c r="V20" s="2">
        <f t="shared" si="7"/>
        <v>0.9713592529296875</v>
      </c>
      <c r="W20" s="2">
        <f t="shared" si="0"/>
        <v>1.2219514491373928E-5</v>
      </c>
      <c r="X20" s="2">
        <f t="shared" si="8"/>
        <v>0.97137451171875</v>
      </c>
      <c r="Y20" s="2">
        <f t="shared" si="1"/>
        <v>-3.3472173605053612E-6</v>
      </c>
      <c r="Z20" s="2">
        <f t="shared" si="3"/>
        <v>0.97136688232421875</v>
      </c>
      <c r="AA20" s="2">
        <f t="shared" si="2"/>
        <v>4.436147369335508E-6</v>
      </c>
      <c r="AB20" s="2">
        <f t="shared" si="4"/>
        <v>5.4207567065465572E-11</v>
      </c>
      <c r="AC20" s="2">
        <f t="shared" si="5"/>
        <v>-1.4848749488400001E-11</v>
      </c>
      <c r="AD20" s="2">
        <f t="shared" si="6"/>
        <v>1.52587890625E-5</v>
      </c>
      <c r="AF20" s="2">
        <v>16</v>
      </c>
      <c r="AG20" s="2">
        <f t="shared" si="13"/>
        <v>2339.813232421875</v>
      </c>
      <c r="AH20" s="2">
        <v>-5.3596193386738378E-2</v>
      </c>
      <c r="AI20" s="2">
        <f t="shared" si="14"/>
        <v>2340.1031494140625</v>
      </c>
      <c r="AJ20" s="2">
        <v>8.5324788377647565E-2</v>
      </c>
      <c r="AK20" s="2">
        <f t="shared" si="9"/>
        <v>2339.9581909179688</v>
      </c>
      <c r="AL20" s="2">
        <v>1.5864966404024017E-2</v>
      </c>
      <c r="AM20" s="2">
        <f t="shared" si="10"/>
        <v>-8.5030180746417856E-4</v>
      </c>
      <c r="AN20" s="2">
        <f t="shared" si="11"/>
        <v>1.3536749010418375E-3</v>
      </c>
      <c r="AO20" s="2">
        <f t="shared" si="12"/>
        <v>0.2899169921875</v>
      </c>
    </row>
    <row r="21" spans="2:41" x14ac:dyDescent="0.2">
      <c r="B21" s="6" t="s">
        <v>94</v>
      </c>
      <c r="C21" s="17">
        <v>8</v>
      </c>
      <c r="J21" s="14" t="s">
        <v>61</v>
      </c>
      <c r="K21" s="6">
        <f xml:space="preserve"> $C$79 * C41 * $C$5</f>
        <v>60.837978210089609</v>
      </c>
      <c r="L21" s="6" t="s">
        <v>7</v>
      </c>
      <c r="N21" s="6" t="s">
        <v>26</v>
      </c>
      <c r="O21" s="6">
        <f>$C$6*2*PI()/60</f>
        <v>43.945843632476112</v>
      </c>
      <c r="P21" s="6" t="s">
        <v>27</v>
      </c>
      <c r="U21" s="2">
        <v>17</v>
      </c>
      <c r="V21" s="2">
        <f t="shared" si="7"/>
        <v>0.97136688232421875</v>
      </c>
      <c r="W21" s="2">
        <f t="shared" si="0"/>
        <v>4.436147369335508E-6</v>
      </c>
      <c r="X21" s="2">
        <f t="shared" si="8"/>
        <v>0.97137451171875</v>
      </c>
      <c r="Y21" s="2">
        <f t="shared" si="1"/>
        <v>-3.3472173605053612E-6</v>
      </c>
      <c r="Z21" s="2">
        <f t="shared" si="3"/>
        <v>0.97137069702148438</v>
      </c>
      <c r="AA21" s="2">
        <f t="shared" si="2"/>
        <v>5.4446470532099056E-7</v>
      </c>
      <c r="AB21" s="2">
        <f t="shared" si="4"/>
        <v>2.4153256702057447E-12</v>
      </c>
      <c r="AC21" s="2">
        <f t="shared" si="5"/>
        <v>-1.8224417138328552E-12</v>
      </c>
      <c r="AD21" s="2">
        <f t="shared" si="6"/>
        <v>7.62939453125E-6</v>
      </c>
      <c r="AF21" s="2">
        <v>17</v>
      </c>
      <c r="AG21" s="2">
        <f t="shared" si="13"/>
        <v>2339.813232421875</v>
      </c>
      <c r="AH21" s="2">
        <v>-5.3596193386738378E-2</v>
      </c>
      <c r="AI21" s="2">
        <f t="shared" si="14"/>
        <v>2339.9581909179688</v>
      </c>
      <c r="AJ21" s="2">
        <v>1.5864966404024017E-2</v>
      </c>
      <c r="AK21" s="2">
        <f t="shared" si="9"/>
        <v>2339.8857116699219</v>
      </c>
      <c r="AL21" s="2">
        <v>-1.8865728196715281E-2</v>
      </c>
      <c r="AM21" s="2">
        <f t="shared" si="10"/>
        <v>1.0111312168127953E-3</v>
      </c>
      <c r="AN21" s="2">
        <f t="shared" si="11"/>
        <v>-2.9930414402833653E-4</v>
      </c>
      <c r="AO21" s="2">
        <f t="shared" si="12"/>
        <v>0.14495849609375</v>
      </c>
    </row>
    <row r="22" spans="2:41" x14ac:dyDescent="0.2">
      <c r="B22" s="6" t="s">
        <v>109</v>
      </c>
      <c r="C22" s="17">
        <v>2</v>
      </c>
      <c r="F22" s="30" t="s">
        <v>81</v>
      </c>
      <c r="G22" s="30"/>
      <c r="H22" s="30"/>
      <c r="J22" s="14" t="s">
        <v>182</v>
      </c>
      <c r="K22" s="6">
        <f xml:space="preserve"> $C$79 * (0.04674 * ($C$5*2.20462)^0.397 * ($C$12*3.28084^2)^0.36 * $C$46^0.397 * $C$13^1.712 * 0.453592)</f>
        <v>328.82462535547126</v>
      </c>
      <c r="L22" s="6" t="s">
        <v>7</v>
      </c>
      <c r="N22" s="6" t="s">
        <v>28</v>
      </c>
      <c r="O22" s="6">
        <f xml:space="preserve"> $C$7 * COS(O19/180*PI()) / (O21 * $C$10)</f>
        <v>8.3256296344403652E-2</v>
      </c>
      <c r="U22" s="2">
        <v>18</v>
      </c>
      <c r="V22" s="2">
        <f t="shared" si="7"/>
        <v>0.97137069702148438</v>
      </c>
      <c r="W22" s="2">
        <f t="shared" si="0"/>
        <v>5.4446470532099056E-7</v>
      </c>
      <c r="X22" s="2">
        <f t="shared" si="8"/>
        <v>0.97137451171875</v>
      </c>
      <c r="Y22" s="2">
        <f t="shared" si="1"/>
        <v>-3.3472173605053612E-6</v>
      </c>
      <c r="Z22" s="2">
        <f t="shared" si="3"/>
        <v>0.97137260437011719</v>
      </c>
      <c r="AA22" s="2">
        <f t="shared" si="2"/>
        <v>-1.401376402365706E-6</v>
      </c>
      <c r="AB22" s="2">
        <f t="shared" si="4"/>
        <v>-7.6299998995783408E-13</v>
      </c>
      <c r="AC22" s="2">
        <f t="shared" si="5"/>
        <v>4.690711422601038E-12</v>
      </c>
      <c r="AD22" s="2">
        <f t="shared" si="6"/>
        <v>3.814697265625E-6</v>
      </c>
      <c r="AF22" s="2">
        <v>18</v>
      </c>
      <c r="AG22" s="2">
        <f t="shared" si="13"/>
        <v>2339.8857116699219</v>
      </c>
      <c r="AH22" s="2">
        <v>-1.8865728196715281E-2</v>
      </c>
      <c r="AI22" s="2">
        <f t="shared" si="14"/>
        <v>2339.9581909179688</v>
      </c>
      <c r="AJ22" s="2">
        <v>1.5864966404024017E-2</v>
      </c>
      <c r="AK22" s="2">
        <f t="shared" si="9"/>
        <v>2339.9219512939453</v>
      </c>
      <c r="AL22" s="2">
        <v>-1.5000571572727495E-3</v>
      </c>
      <c r="AM22" s="2">
        <f t="shared" si="10"/>
        <v>2.829967060864508E-5</v>
      </c>
      <c r="AN22" s="2">
        <f t="shared" si="11"/>
        <v>-2.379835640424794E-5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85</v>
      </c>
      <c r="G23" s="17">
        <f>300*0.3048/60</f>
        <v>1.524</v>
      </c>
      <c r="H23" s="6" t="s">
        <v>10</v>
      </c>
      <c r="J23" s="14" t="s">
        <v>62</v>
      </c>
      <c r="K23" s="6">
        <f xml:space="preserve"> $C$79 * (3.184 * ($C$5*2.20462)^0.887 * ($C$50*3.28084*3.28084)^0.101 * ($C$49)^0.138 ) / ( 174.04 * ($C$51*3.28084)^0.223 ) * 0.453592</f>
        <v>26.217726198051963</v>
      </c>
      <c r="L23" s="6" t="s">
        <v>7</v>
      </c>
      <c r="N23" s="6" t="s">
        <v>29</v>
      </c>
      <c r="O23" s="6">
        <f xml:space="preserve"> O20 / ( $C$71 * PI() * $C$10^2 * O21^2 * $C$10^2)</f>
        <v>3.8504787641392951E-2</v>
      </c>
      <c r="U23" s="2">
        <v>19</v>
      </c>
      <c r="V23" s="2">
        <f t="shared" si="7"/>
        <v>0.97137069702148438</v>
      </c>
      <c r="W23" s="2">
        <f t="shared" si="0"/>
        <v>5.4446470532099056E-7</v>
      </c>
      <c r="X23" s="2">
        <f t="shared" si="8"/>
        <v>0.97137260437011719</v>
      </c>
      <c r="Y23" s="2">
        <f t="shared" si="1"/>
        <v>-1.401376402365706E-6</v>
      </c>
      <c r="Z23" s="2">
        <f t="shared" si="3"/>
        <v>0.97137165069580078</v>
      </c>
      <c r="AA23" s="2">
        <f t="shared" si="2"/>
        <v>-4.2845586722961571E-7</v>
      </c>
      <c r="AB23" s="2">
        <f t="shared" si="4"/>
        <v>-2.3327909749422216E-13</v>
      </c>
      <c r="AC23" s="2">
        <f t="shared" si="5"/>
        <v>6.0042794179071742E-13</v>
      </c>
      <c r="AD23" s="2">
        <f t="shared" si="6"/>
        <v>1.9073486328125E-6</v>
      </c>
      <c r="AF23" s="2">
        <v>19</v>
      </c>
      <c r="AG23" s="2">
        <f t="shared" si="13"/>
        <v>2339.9219512939453</v>
      </c>
      <c r="AH23" s="2">
        <v>-1.5000571572727495E-3</v>
      </c>
      <c r="AI23" s="2">
        <f t="shared" si="14"/>
        <v>2339.9581909179688</v>
      </c>
      <c r="AJ23" s="2">
        <v>1.5864966404024017E-2</v>
      </c>
      <c r="AK23" s="2">
        <f t="shared" si="9"/>
        <v>2339.940071105957</v>
      </c>
      <c r="AL23" s="2">
        <v>7.1824650747203123E-3</v>
      </c>
      <c r="AM23" s="2">
        <f t="shared" si="10"/>
        <v>-1.0774108142195757E-5</v>
      </c>
      <c r="AN23" s="2">
        <f t="shared" si="11"/>
        <v>1.1394956710851361E-4</v>
      </c>
      <c r="AO23" s="2">
        <f t="shared" si="12"/>
        <v>3.62396240234375E-2</v>
      </c>
    </row>
    <row r="24" spans="2:41" x14ac:dyDescent="0.2">
      <c r="B24" s="6" t="s">
        <v>183</v>
      </c>
      <c r="C24" s="17">
        <v>0.75</v>
      </c>
      <c r="F24" s="6" t="s">
        <v>91</v>
      </c>
      <c r="G24" s="17">
        <f>1000*0.3048</f>
        <v>304.8</v>
      </c>
      <c r="H24" s="6" t="s">
        <v>8</v>
      </c>
      <c r="J24" s="14" t="s">
        <v>63</v>
      </c>
      <c r="K24" s="6">
        <f xml:space="preserve"> $C$79 * ( 1.68 * ($C$5*2.20462)^0.567 * ($C$55*3.28084*3.28084)^1.249 * ($C$54)^0.482 ) / (639.95 * ($C$56*3.28084)^0.747 * (COS($C$57/180*PI()))^0.882 ) * 0.453592</f>
        <v>8.9720679554319105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0.97137069702148438</v>
      </c>
      <c r="W24" s="2">
        <f t="shared" si="0"/>
        <v>5.4446470532099056E-7</v>
      </c>
      <c r="X24" s="2">
        <f t="shared" si="8"/>
        <v>0.97137165069580078</v>
      </c>
      <c r="Y24" s="2">
        <f t="shared" si="1"/>
        <v>-4.2845586722961571E-7</v>
      </c>
      <c r="Z24" s="2">
        <f t="shared" si="3"/>
        <v>0.97137117385864258</v>
      </c>
      <c r="AA24" s="2">
        <f t="shared" si="2"/>
        <v>5.8004414382750724E-8</v>
      </c>
      <c r="AB24" s="2">
        <f t="shared" si="4"/>
        <v>3.1581356384221001E-14</v>
      </c>
      <c r="AC24" s="2">
        <f t="shared" si="5"/>
        <v>-2.4852331667507456E-14</v>
      </c>
      <c r="AD24" s="2">
        <f t="shared" si="6"/>
        <v>9.5367431640625E-7</v>
      </c>
      <c r="AF24" s="2">
        <v>20</v>
      </c>
      <c r="AG24" s="2">
        <f t="shared" si="13"/>
        <v>2339.9219512939453</v>
      </c>
      <c r="AH24" s="2">
        <v>-1.5000571572727495E-3</v>
      </c>
      <c r="AI24" s="2">
        <f t="shared" si="14"/>
        <v>2339.940071105957</v>
      </c>
      <c r="AJ24" s="2">
        <v>7.1824650747203123E-3</v>
      </c>
      <c r="AK24" s="2">
        <f t="shared" si="9"/>
        <v>2339.9310111999512</v>
      </c>
      <c r="AL24" s="2">
        <v>2.8412065717020596E-3</v>
      </c>
      <c r="AM24" s="2">
        <f t="shared" si="10"/>
        <v>-4.261972253172046E-6</v>
      </c>
      <c r="AN24" s="2">
        <f t="shared" si="11"/>
        <v>2.0406866971315875E-5</v>
      </c>
      <c r="AO24" s="2">
        <f t="shared" si="12"/>
        <v>1.811981201171875E-2</v>
      </c>
    </row>
    <row r="25" spans="2:41" x14ac:dyDescent="0.2">
      <c r="B25" s="6" t="s">
        <v>155</v>
      </c>
      <c r="C25" s="17">
        <v>50</v>
      </c>
      <c r="D25" s="6" t="s">
        <v>58</v>
      </c>
      <c r="F25" s="6" t="s">
        <v>90</v>
      </c>
      <c r="G25" s="6">
        <f xml:space="preserve"> $G$24/$G$23</f>
        <v>200</v>
      </c>
      <c r="H25" s="6" t="s">
        <v>13</v>
      </c>
      <c r="J25" s="14" t="s">
        <v>112</v>
      </c>
      <c r="K25" s="6">
        <f>$C$79*(0.14*$G$10*1000/745.7)*0.453592</f>
        <v>21.480478956132433</v>
      </c>
      <c r="L25" s="6" t="s">
        <v>7</v>
      </c>
      <c r="N25" s="6" t="s">
        <v>30</v>
      </c>
      <c r="O25" s="6">
        <f xml:space="preserve"> ($C$30 * $O$24 / 8) * (1 + 4.65 * O22^2) * ( PI() * $C$71 * O21^3 * $C$10^5)</f>
        <v>2729.4784391033259</v>
      </c>
      <c r="P25" s="6" t="s">
        <v>18</v>
      </c>
      <c r="U25" s="2">
        <v>21</v>
      </c>
      <c r="V25" s="2">
        <f t="shared" si="7"/>
        <v>0.97137117385864258</v>
      </c>
      <c r="W25" s="2">
        <f t="shared" si="0"/>
        <v>5.8004414382750724E-8</v>
      </c>
      <c r="X25" s="2">
        <f t="shared" si="8"/>
        <v>0.97137165069580078</v>
      </c>
      <c r="Y25" s="2">
        <f t="shared" si="1"/>
        <v>-4.2845586722961571E-7</v>
      </c>
      <c r="Z25" s="2">
        <f t="shared" si="3"/>
        <v>0.97137141227722168</v>
      </c>
      <c r="AA25" s="2">
        <f t="shared" si="2"/>
        <v>-1.8522572753365552E-7</v>
      </c>
      <c r="AB25" s="2">
        <f t="shared" si="4"/>
        <v>-1.0743909854208634E-14</v>
      </c>
      <c r="AC25" s="2">
        <f t="shared" si="5"/>
        <v>7.9361049723668881E-14</v>
      </c>
      <c r="AD25" s="2">
        <f t="shared" si="6"/>
        <v>4.76837158203125E-7</v>
      </c>
      <c r="AF25" s="2">
        <v>21</v>
      </c>
      <c r="AG25" s="2">
        <f t="shared" si="13"/>
        <v>2339.9219512939453</v>
      </c>
      <c r="AH25" s="2">
        <v>-1.5000571572727495E-3</v>
      </c>
      <c r="AI25" s="2">
        <f t="shared" si="14"/>
        <v>2339.9310111999512</v>
      </c>
      <c r="AJ25" s="2">
        <v>2.8412065717020596E-3</v>
      </c>
      <c r="AK25" s="2">
        <f t="shared" si="9"/>
        <v>2339.9264812469482</v>
      </c>
      <c r="AL25" s="2">
        <v>6.7029342631030886E-4</v>
      </c>
      <c r="AM25" s="2">
        <f t="shared" si="10"/>
        <v>-1.005478451609653E-6</v>
      </c>
      <c r="AN25" s="2">
        <f t="shared" si="11"/>
        <v>1.9044420878015397E-6</v>
      </c>
      <c r="AO25" s="2">
        <f t="shared" si="12"/>
        <v>9.059906005859375E-3</v>
      </c>
    </row>
    <row r="26" spans="2:41" x14ac:dyDescent="0.2">
      <c r="F26" s="6" t="s">
        <v>19</v>
      </c>
      <c r="G26" s="6">
        <f xml:space="preserve"> $C$5 * $C$68 / $C$21</f>
        <v>2866.8409018734305</v>
      </c>
      <c r="H26" s="6" t="s">
        <v>20</v>
      </c>
      <c r="J26" s="15" t="s">
        <v>64</v>
      </c>
      <c r="K26" s="6">
        <f xml:space="preserve"> $C$80 * (0.0268 * $C$5)</f>
        <v>50.167932800935432</v>
      </c>
      <c r="L26" s="6" t="s">
        <v>7</v>
      </c>
      <c r="N26" s="6" t="s">
        <v>31</v>
      </c>
      <c r="O26" s="18">
        <f>Z34</f>
        <v>0.97137123113498092</v>
      </c>
      <c r="U26" s="2">
        <v>22</v>
      </c>
      <c r="V26" s="2">
        <f t="shared" si="7"/>
        <v>0.97137117385864258</v>
      </c>
      <c r="W26" s="2">
        <f t="shared" si="0"/>
        <v>5.8004414382750724E-8</v>
      </c>
      <c r="X26" s="2">
        <f t="shared" si="8"/>
        <v>0.97137141227722168</v>
      </c>
      <c r="Y26" s="2">
        <f t="shared" si="1"/>
        <v>-1.8522572753365552E-7</v>
      </c>
      <c r="Z26" s="2">
        <f t="shared" si="3"/>
        <v>0.97137129306793213</v>
      </c>
      <c r="AA26" s="2">
        <f t="shared" si="2"/>
        <v>-6.3610656853008152E-8</v>
      </c>
      <c r="AB26" s="2">
        <f t="shared" si="4"/>
        <v>-3.689698899260847E-15</v>
      </c>
      <c r="AC26" s="2">
        <f t="shared" si="5"/>
        <v>1.1782330194492145E-14</v>
      </c>
      <c r="AD26" s="2">
        <f t="shared" si="6"/>
        <v>2.384185791015625E-7</v>
      </c>
      <c r="AF26" s="2">
        <v>22</v>
      </c>
      <c r="AG26" s="2">
        <f t="shared" si="13"/>
        <v>2339.9219512939453</v>
      </c>
      <c r="AH26" s="2">
        <v>-1.5000571572727495E-3</v>
      </c>
      <c r="AI26" s="2">
        <f t="shared" si="14"/>
        <v>2339.9264812469482</v>
      </c>
      <c r="AJ26" s="2">
        <v>6.7029342631030886E-4</v>
      </c>
      <c r="AK26" s="2">
        <f t="shared" si="9"/>
        <v>2339.9242162704468</v>
      </c>
      <c r="AL26" s="2">
        <v>-4.151636358074029E-4</v>
      </c>
      <c r="AM26" s="2">
        <f t="shared" si="10"/>
        <v>6.2276918333227187E-7</v>
      </c>
      <c r="AN26" s="2">
        <f t="shared" si="11"/>
        <v>-2.7828145592478931E-7</v>
      </c>
      <c r="AO26" s="2">
        <f t="shared" si="12"/>
        <v>4.5299530029296875E-3</v>
      </c>
    </row>
    <row r="27" spans="2:41" x14ac:dyDescent="0.2">
      <c r="B27" s="30" t="s">
        <v>184</v>
      </c>
      <c r="C27" s="30"/>
      <c r="D27" s="30"/>
      <c r="F27" t="s">
        <v>97</v>
      </c>
      <c r="G27" s="6">
        <f>G29/$C$21</f>
        <v>34.215382138924909</v>
      </c>
      <c r="H27" t="s">
        <v>101</v>
      </c>
      <c r="J27" s="15" t="s">
        <v>65</v>
      </c>
      <c r="K27" s="6">
        <f xml:space="preserve"> $C$80 * (11.5 * ($C$5*2.20462/1000)^0.4 * 0.453592)</f>
        <v>8.0439114451963967</v>
      </c>
      <c r="L27" s="6" t="s">
        <v>7</v>
      </c>
      <c r="N27" s="6" t="s">
        <v>32</v>
      </c>
      <c r="O27" s="6">
        <f xml:space="preserve"> O21 * $C$10 * O26 - $C$7 * SIN(O19/180*PI())</f>
        <v>1.3862025520468251</v>
      </c>
      <c r="P27" s="6" t="s">
        <v>10</v>
      </c>
      <c r="U27" s="2">
        <v>23</v>
      </c>
      <c r="V27" s="2">
        <f t="shared" si="7"/>
        <v>0.97137117385864258</v>
      </c>
      <c r="W27" s="2">
        <f t="shared" si="0"/>
        <v>5.8004414382750724E-8</v>
      </c>
      <c r="X27" s="2">
        <f t="shared" si="8"/>
        <v>0.97137129306793213</v>
      </c>
      <c r="Y27" s="2">
        <f t="shared" si="1"/>
        <v>-6.3610656853008152E-8</v>
      </c>
      <c r="Z27" s="2">
        <f t="shared" si="3"/>
        <v>0.97137123346328735</v>
      </c>
      <c r="AA27" s="2">
        <f t="shared" si="2"/>
        <v>-2.803121290639865E-9</v>
      </c>
      <c r="AB27" s="2">
        <f t="shared" si="4"/>
        <v>-1.6259340890738576E-16</v>
      </c>
      <c r="AC27" s="2">
        <f t="shared" si="5"/>
        <v>1.7830838653625379E-16</v>
      </c>
      <c r="AD27" s="2">
        <f t="shared" si="6"/>
        <v>1.1920928955078125E-7</v>
      </c>
      <c r="AF27" s="2">
        <v>23</v>
      </c>
      <c r="AG27" s="2">
        <f t="shared" si="13"/>
        <v>2339.9242162704468</v>
      </c>
      <c r="AH27" s="2">
        <v>-4.151636358074029E-4</v>
      </c>
      <c r="AI27" s="2">
        <f t="shared" si="14"/>
        <v>2339.9264812469482</v>
      </c>
      <c r="AJ27" s="2">
        <v>6.7029342631030886E-4</v>
      </c>
      <c r="AK27" s="2">
        <f t="shared" si="9"/>
        <v>2339.9253487586975</v>
      </c>
      <c r="AL27" s="2">
        <v>1.2784686987288296E-4</v>
      </c>
      <c r="AM27" s="2">
        <f t="shared" si="10"/>
        <v>-5.3077371323022012E-8</v>
      </c>
      <c r="AN27" s="2">
        <f t="shared" si="11"/>
        <v>8.5694916450142915E-8</v>
      </c>
      <c r="AO27" s="2">
        <f t="shared" si="12"/>
        <v>2.2649765014648438E-3</v>
      </c>
    </row>
    <row r="28" spans="2:41" x14ac:dyDescent="0.2">
      <c r="B28" s="6" t="s">
        <v>185</v>
      </c>
      <c r="C28" s="17">
        <v>1</v>
      </c>
      <c r="F28" t="s">
        <v>146</v>
      </c>
      <c r="G28" s="6">
        <f xml:space="preserve"> (G26/$C$68*1000) / (G27*1000)</f>
        <v>8.548502503014582</v>
      </c>
      <c r="H28" s="6" t="s">
        <v>147</v>
      </c>
      <c r="J28" s="15" t="s">
        <v>66</v>
      </c>
      <c r="K28" s="6">
        <f xml:space="preserve"> $C$80 * (8 * ($C$5/1000))</f>
        <v>14.975502328637441</v>
      </c>
      <c r="L28" s="6" t="s">
        <v>7</v>
      </c>
      <c r="N28" s="6" t="s">
        <v>33</v>
      </c>
      <c r="O28" s="6">
        <f xml:space="preserve"> 1/$C$31 - O25 * SQRT( (2*$C$71*PI()*$C$10^2) / O20^3 )</f>
        <v>1.150636753940697</v>
      </c>
      <c r="U28" s="2">
        <v>24</v>
      </c>
      <c r="V28" s="2">
        <f t="shared" si="7"/>
        <v>0.97137117385864258</v>
      </c>
      <c r="W28" s="2">
        <f t="shared" si="0"/>
        <v>5.8004414382750724E-8</v>
      </c>
      <c r="X28" s="2">
        <f t="shared" si="8"/>
        <v>0.97137123346328735</v>
      </c>
      <c r="Y28" s="2">
        <f t="shared" si="1"/>
        <v>-2.803121290639865E-9</v>
      </c>
      <c r="Z28" s="2">
        <f t="shared" si="3"/>
        <v>0.97137120366096497</v>
      </c>
      <c r="AA28" s="2">
        <f t="shared" si="2"/>
        <v>2.760064654605543E-8</v>
      </c>
      <c r="AB28" s="2">
        <f t="shared" si="4"/>
        <v>1.6009593394892366E-15</v>
      </c>
      <c r="AC28" s="2">
        <f t="shared" si="5"/>
        <v>-7.7367959968673629E-17</v>
      </c>
      <c r="AD28" s="2">
        <f t="shared" si="6"/>
        <v>5.9604644775390625E-8</v>
      </c>
      <c r="AF28" s="2">
        <v>24</v>
      </c>
      <c r="AG28" s="2">
        <f t="shared" si="13"/>
        <v>2339.9242162704468</v>
      </c>
      <c r="AH28" s="2">
        <v>-4.151636358074029E-4</v>
      </c>
      <c r="AI28" s="2">
        <f t="shared" si="14"/>
        <v>2339.9253487586975</v>
      </c>
      <c r="AJ28" s="2">
        <v>1.2784686987288296E-4</v>
      </c>
      <c r="AK28" s="2">
        <f t="shared" si="9"/>
        <v>2339.9247825145721</v>
      </c>
      <c r="AL28" s="2">
        <v>-1.4365837273544457E-4</v>
      </c>
      <c r="AM28" s="2">
        <f t="shared" si="10"/>
        <v>5.9641732339022243E-8</v>
      </c>
      <c r="AN28" s="2">
        <f t="shared" si="11"/>
        <v>-1.83662732852585E-8</v>
      </c>
      <c r="AO28" s="2">
        <f t="shared" si="12"/>
        <v>1.1324882507324219E-3</v>
      </c>
    </row>
    <row r="29" spans="2:41" x14ac:dyDescent="0.2">
      <c r="B29" s="6" t="s">
        <v>186</v>
      </c>
      <c r="C29" s="17">
        <v>6</v>
      </c>
      <c r="F29" s="25" t="s">
        <v>83</v>
      </c>
      <c r="G29" s="25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273.72305711139927</v>
      </c>
      <c r="H29" s="25" t="s">
        <v>101</v>
      </c>
      <c r="J29" s="15" t="s">
        <v>67</v>
      </c>
      <c r="K29" s="6">
        <f xml:space="preserve"> $C$80 * (13 * ($C$5*2.20462/1000)^1.3 * 0.453592)</f>
        <v>39.810207750244324</v>
      </c>
      <c r="L29" s="6" t="s">
        <v>7</v>
      </c>
      <c r="N29" s="6" t="s">
        <v>34</v>
      </c>
      <c r="O29" s="17">
        <v>1.1499999999999999</v>
      </c>
      <c r="U29" s="2">
        <v>25</v>
      </c>
      <c r="V29" s="2">
        <f t="shared" si="7"/>
        <v>0.97137120366096497</v>
      </c>
      <c r="W29" s="2">
        <f t="shared" si="0"/>
        <v>2.760064654605543E-8</v>
      </c>
      <c r="X29" s="2">
        <f t="shared" si="8"/>
        <v>0.97137123346328735</v>
      </c>
      <c r="Y29" s="2">
        <f t="shared" si="1"/>
        <v>-2.803121290639865E-9</v>
      </c>
      <c r="Z29" s="2">
        <f t="shared" si="3"/>
        <v>0.97137121856212616</v>
      </c>
      <c r="AA29" s="2">
        <f t="shared" si="2"/>
        <v>1.2398762572196631E-8</v>
      </c>
      <c r="AB29" s="2">
        <f t="shared" si="4"/>
        <v>3.4221386336366029E-16</v>
      </c>
      <c r="AC29" s="2">
        <f t="shared" si="5"/>
        <v>-3.4755235343713073E-17</v>
      </c>
      <c r="AD29" s="2">
        <f t="shared" si="6"/>
        <v>2.9802322387695312E-8</v>
      </c>
      <c r="AF29" s="2">
        <v>25</v>
      </c>
      <c r="AG29" s="2">
        <f t="shared" si="13"/>
        <v>2339.9247825145721</v>
      </c>
      <c r="AH29" s="2">
        <v>-4.151636358074029E-4</v>
      </c>
      <c r="AI29" s="2">
        <f t="shared" si="14"/>
        <v>2339.9253487586975</v>
      </c>
      <c r="AJ29" s="2">
        <v>1.2784686987288296E-4</v>
      </c>
      <c r="AK29" s="2">
        <f t="shared" si="9"/>
        <v>2339.9250656366348</v>
      </c>
      <c r="AL29" s="2">
        <v>-2.7941100165662647E-4</v>
      </c>
      <c r="AM29" s="2">
        <f t="shared" si="10"/>
        <v>1.1600128733235332E-7</v>
      </c>
      <c r="AN29" s="2">
        <f t="shared" si="11"/>
        <v>-3.572182196984661E-8</v>
      </c>
      <c r="AO29" s="2">
        <f t="shared" si="12"/>
        <v>5.6624412536621094E-4</v>
      </c>
    </row>
    <row r="30" spans="2:41" x14ac:dyDescent="0.2">
      <c r="B30" s="6" t="s">
        <v>187</v>
      </c>
      <c r="C30" s="6">
        <f>$C$29*$C$11/PI()</f>
        <v>0.84998288907657626</v>
      </c>
      <c r="J30" s="10" t="s">
        <v>54</v>
      </c>
      <c r="K30" s="10">
        <f>$C$5 - $C$16 - SUM(K15:K29)</f>
        <v>-1.3627336804802326E-3</v>
      </c>
      <c r="L30" s="10" t="s">
        <v>7</v>
      </c>
      <c r="N30" s="6" t="s">
        <v>35</v>
      </c>
      <c r="O30" s="6">
        <f xml:space="preserve"> 1/$C$77 * LN( EXP($C$77 * O28) + EXP($C$77 * O29) )</f>
        <v>1.1734248034243249</v>
      </c>
      <c r="U30" s="2">
        <v>26</v>
      </c>
      <c r="V30" s="2">
        <f>IF(AB29&gt;0, Z29, V29)</f>
        <v>0.97137121856212616</v>
      </c>
      <c r="W30" s="2">
        <f t="shared" si="0"/>
        <v>1.2398762572196631E-8</v>
      </c>
      <c r="X30" s="2">
        <f t="shared" si="8"/>
        <v>0.97137123346328735</v>
      </c>
      <c r="Y30" s="2">
        <f t="shared" si="1"/>
        <v>-2.803121290639865E-9</v>
      </c>
      <c r="Z30" s="2">
        <f t="shared" si="3"/>
        <v>0.97137122601270676</v>
      </c>
      <c r="AA30" s="2">
        <f t="shared" si="2"/>
        <v>4.7978206962895342E-9</v>
      </c>
      <c r="AB30" s="2">
        <f t="shared" si="4"/>
        <v>5.9487039677265057E-17</v>
      </c>
      <c r="AC30" s="2">
        <f t="shared" si="5"/>
        <v>-1.3448873342441775E-17</v>
      </c>
      <c r="AD30" s="2">
        <f t="shared" si="6"/>
        <v>1.4901161193847656E-8</v>
      </c>
      <c r="AF30" s="2">
        <v>26</v>
      </c>
      <c r="AG30" s="2">
        <f t="shared" si="13"/>
        <v>2339.9250656366348</v>
      </c>
      <c r="AH30" s="2">
        <v>-4.151636358074029E-4</v>
      </c>
      <c r="AI30" s="2">
        <f t="shared" si="14"/>
        <v>2339.9253487586975</v>
      </c>
      <c r="AJ30" s="2">
        <v>1.2784686987288296E-4</v>
      </c>
      <c r="AK30" s="2">
        <f t="shared" si="9"/>
        <v>2339.9252071976662</v>
      </c>
      <c r="AL30" s="2">
        <v>-3.4700538481047261E-4</v>
      </c>
      <c r="AM30" s="2">
        <f t="shared" si="10"/>
        <v>1.4406401720266274E-7</v>
      </c>
      <c r="AN30" s="2">
        <f t="shared" si="11"/>
        <v>-4.4363552277054169E-8</v>
      </c>
      <c r="AO30" s="2">
        <f t="shared" si="12"/>
        <v>2.8312206268310547E-4</v>
      </c>
    </row>
    <row r="31" spans="2:41" x14ac:dyDescent="0.2">
      <c r="B31" s="6" t="s">
        <v>188</v>
      </c>
      <c r="C31" s="17">
        <v>0.75</v>
      </c>
      <c r="F31" s="32" t="s">
        <v>156</v>
      </c>
      <c r="G31" s="34"/>
      <c r="H31" s="34"/>
      <c r="J31" s="6" t="s">
        <v>55</v>
      </c>
      <c r="K31" s="4" t="str">
        <f>IF(ABS(K30)&lt;1, "TRUE", "FALSE")</f>
        <v>TRUE</v>
      </c>
      <c r="U31" s="2">
        <v>27</v>
      </c>
      <c r="V31" s="2">
        <f t="shared" si="7"/>
        <v>0.97137122601270676</v>
      </c>
      <c r="W31" s="2">
        <f t="shared" si="0"/>
        <v>4.7978206962895342E-9</v>
      </c>
      <c r="X31" s="2">
        <f t="shared" si="8"/>
        <v>0.97137123346328735</v>
      </c>
      <c r="Y31" s="2">
        <f t="shared" si="1"/>
        <v>-2.803121290639865E-9</v>
      </c>
      <c r="Z31" s="2">
        <f t="shared" si="3"/>
        <v>0.97137122973799706</v>
      </c>
      <c r="AA31" s="2">
        <f t="shared" si="2"/>
        <v>9.9734964731368336E-10</v>
      </c>
      <c r="AB31" s="2">
        <f t="shared" si="4"/>
        <v>4.7851047793186577E-18</v>
      </c>
      <c r="AC31" s="2">
        <f t="shared" si="5"/>
        <v>-2.7956920305971463E-18</v>
      </c>
      <c r="AD31" s="2">
        <f t="shared" si="6"/>
        <v>7.4505805969238281E-9</v>
      </c>
      <c r="AF31" s="2">
        <v>27</v>
      </c>
      <c r="AG31" s="2">
        <f t="shared" si="13"/>
        <v>2339.9252071976662</v>
      </c>
      <c r="AH31" s="2">
        <v>-4.151636358074029E-4</v>
      </c>
      <c r="AI31" s="2">
        <f t="shared" si="14"/>
        <v>2339.9253487586975</v>
      </c>
      <c r="AJ31" s="2">
        <v>1.2784686987288296E-4</v>
      </c>
      <c r="AK31" s="2">
        <f t="shared" si="9"/>
        <v>2339.9252779781818</v>
      </c>
      <c r="AL31" s="2">
        <v>-3.8108451008156408E-4</v>
      </c>
      <c r="AM31" s="2">
        <f t="shared" si="10"/>
        <v>1.5821243075534503E-7</v>
      </c>
      <c r="AN31" s="2">
        <f t="shared" si="11"/>
        <v>-4.8720461770969078E-8</v>
      </c>
      <c r="AO31" s="2">
        <f t="shared" si="12"/>
        <v>1.4156103134155273E-4</v>
      </c>
    </row>
    <row r="32" spans="2:41" x14ac:dyDescent="0.2">
      <c r="B32" s="6" t="s">
        <v>155</v>
      </c>
      <c r="C32" s="17">
        <v>50</v>
      </c>
      <c r="D32" s="6" t="s">
        <v>58</v>
      </c>
      <c r="F32" s="9" t="s">
        <v>157</v>
      </c>
      <c r="G32" s="17">
        <f>20*60</f>
        <v>1200</v>
      </c>
      <c r="H32" s="6" t="s">
        <v>13</v>
      </c>
      <c r="U32" s="2">
        <v>28</v>
      </c>
      <c r="V32" s="2">
        <f t="shared" si="7"/>
        <v>0.97137122973799706</v>
      </c>
      <c r="W32" s="2">
        <f t="shared" si="0"/>
        <v>9.9734964731368336E-10</v>
      </c>
      <c r="X32" s="2">
        <f t="shared" si="8"/>
        <v>0.97137123346328735</v>
      </c>
      <c r="Y32" s="2">
        <f t="shared" si="1"/>
        <v>-2.803121290639865E-9</v>
      </c>
      <c r="Z32" s="2">
        <f t="shared" si="3"/>
        <v>0.9713712316006422</v>
      </c>
      <c r="AA32" s="2">
        <f t="shared" si="2"/>
        <v>-9.0288576615193961E-10</v>
      </c>
      <c r="AB32" s="2">
        <f t="shared" si="4"/>
        <v>-9.0049280043618176E-19</v>
      </c>
      <c r="AC32" s="2">
        <f t="shared" si="5"/>
        <v>2.5308983141161883E-18</v>
      </c>
      <c r="AD32" s="2">
        <f t="shared" si="6"/>
        <v>3.7252902984619141E-9</v>
      </c>
      <c r="AF32" s="2">
        <v>28</v>
      </c>
      <c r="AG32" s="2">
        <f t="shared" si="13"/>
        <v>2339.9252779781818</v>
      </c>
      <c r="AH32" s="2">
        <v>-4.151636358074029E-4</v>
      </c>
      <c r="AI32" s="2">
        <f t="shared" si="14"/>
        <v>2339.9253487586975</v>
      </c>
      <c r="AJ32" s="2">
        <v>1.2784686987288296E-4</v>
      </c>
      <c r="AK32" s="2">
        <f t="shared" si="9"/>
        <v>2339.9253133684397</v>
      </c>
      <c r="AL32" s="2">
        <v>-3.9812407294448349E-4</v>
      </c>
      <c r="AM32" s="2">
        <f t="shared" si="10"/>
        <v>1.6528663762608345E-7</v>
      </c>
      <c r="AN32" s="2">
        <f t="shared" si="11"/>
        <v>-5.0898916546995545E-8</v>
      </c>
      <c r="AO32" s="2">
        <f t="shared" si="12"/>
        <v>7.0780515670776367E-5</v>
      </c>
    </row>
    <row r="33" spans="2:41" x14ac:dyDescent="0.2">
      <c r="F33" s="26" t="s">
        <v>132</v>
      </c>
      <c r="G33" s="25">
        <f xml:space="preserve"> G20</f>
        <v>107.68869659461498</v>
      </c>
      <c r="H33" s="25" t="s">
        <v>101</v>
      </c>
      <c r="J33" s="27" t="s">
        <v>56</v>
      </c>
      <c r="K33" s="27"/>
      <c r="L33" s="27"/>
      <c r="U33" s="2">
        <v>29</v>
      </c>
      <c r="V33" s="2">
        <f t="shared" si="7"/>
        <v>0.97137122973799706</v>
      </c>
      <c r="W33" s="2">
        <f t="shared" si="0"/>
        <v>9.9734964731368336E-10</v>
      </c>
      <c r="X33" s="2">
        <f t="shared" si="8"/>
        <v>0.9713712316006422</v>
      </c>
      <c r="Y33" s="2">
        <f t="shared" si="1"/>
        <v>-9.0288576615193961E-10</v>
      </c>
      <c r="Z33" s="2">
        <f t="shared" si="3"/>
        <v>0.97137123066931963</v>
      </c>
      <c r="AA33" s="2">
        <f t="shared" si="2"/>
        <v>4.7231885069720647E-11</v>
      </c>
      <c r="AB33" s="2">
        <f t="shared" si="4"/>
        <v>4.7106703916246314E-20</v>
      </c>
      <c r="AC33" s="2">
        <f t="shared" si="5"/>
        <v>-4.2644996737975084E-20</v>
      </c>
      <c r="AD33" s="2">
        <f t="shared" si="6"/>
        <v>1.862645149230957E-9</v>
      </c>
      <c r="AF33" s="2">
        <v>29</v>
      </c>
      <c r="AG33" s="2">
        <f t="shared" si="13"/>
        <v>2339.9253133684397</v>
      </c>
      <c r="AH33" s="2">
        <v>-4.151636358074029E-4</v>
      </c>
      <c r="AI33" s="2">
        <f t="shared" si="14"/>
        <v>2339.9253487586975</v>
      </c>
      <c r="AJ33" s="2">
        <v>1.2784686987288296E-4</v>
      </c>
      <c r="AK33" s="2">
        <f t="shared" si="9"/>
        <v>2339.9253310635686</v>
      </c>
      <c r="AL33" s="2">
        <v>-4.0664385483069054E-4</v>
      </c>
      <c r="AM33" s="2">
        <f t="shared" si="10"/>
        <v>1.6882374125024722E-7</v>
      </c>
      <c r="AN33" s="2">
        <f t="shared" si="11"/>
        <v>-5.1988143993146804E-8</v>
      </c>
      <c r="AO33" s="2">
        <f t="shared" si="12"/>
        <v>3.5390257835388184E-5</v>
      </c>
    </row>
    <row r="34" spans="2:41" x14ac:dyDescent="0.2">
      <c r="B34" s="30" t="s">
        <v>104</v>
      </c>
      <c r="C34" s="30"/>
      <c r="D34" s="30"/>
      <c r="J34" s="6" t="s">
        <v>57</v>
      </c>
      <c r="K34" s="6">
        <f>ROUND($C$16/$C$5 * 100, 2)</f>
        <v>25.64</v>
      </c>
      <c r="L34" s="6" t="s">
        <v>58</v>
      </c>
      <c r="U34" s="2">
        <v>30</v>
      </c>
      <c r="V34" s="2">
        <f t="shared" si="7"/>
        <v>0.97137123066931963</v>
      </c>
      <c r="W34" s="2">
        <f t="shared" si="0"/>
        <v>4.7231885069720647E-11</v>
      </c>
      <c r="X34" s="2">
        <f t="shared" si="8"/>
        <v>0.9713712316006422</v>
      </c>
      <c r="Y34" s="2">
        <f t="shared" si="1"/>
        <v>-9.0288576615193961E-10</v>
      </c>
      <c r="Z34" s="2">
        <f t="shared" si="3"/>
        <v>0.97137123113498092</v>
      </c>
      <c r="AA34" s="2">
        <f t="shared" si="2"/>
        <v>-4.2782699605226071E-10</v>
      </c>
      <c r="AB34" s="2">
        <f t="shared" si="4"/>
        <v>-2.0207075507264207E-20</v>
      </c>
      <c r="AC34" s="2">
        <f t="shared" si="5"/>
        <v>3.8627890511112825E-19</v>
      </c>
      <c r="AD34" s="2">
        <f t="shared" si="6"/>
        <v>9.3132257461547852E-10</v>
      </c>
      <c r="AF34" s="2">
        <v>30</v>
      </c>
      <c r="AG34" s="2">
        <f t="shared" si="13"/>
        <v>2339.9253310635686</v>
      </c>
      <c r="AH34" s="2">
        <v>-4.151636358074029E-4</v>
      </c>
      <c r="AI34" s="2">
        <f t="shared" si="14"/>
        <v>2339.9253487586975</v>
      </c>
      <c r="AJ34" s="2">
        <v>1.2784686987288296E-4</v>
      </c>
      <c r="AK34" s="2">
        <f t="shared" si="9"/>
        <v>2339.9253399111331</v>
      </c>
      <c r="AL34" s="2">
        <v>-4.1090374475061253E-4</v>
      </c>
      <c r="AM34" s="2">
        <f t="shared" si="10"/>
        <v>1.7059229263754134E-7</v>
      </c>
      <c r="AN34" s="2">
        <f t="shared" si="11"/>
        <v>-5.2532757585411876E-8</v>
      </c>
      <c r="AO34" s="2">
        <f t="shared" si="12"/>
        <v>1.7695128917694092E-5</v>
      </c>
    </row>
    <row r="35" spans="2:41" x14ac:dyDescent="0.2">
      <c r="B35" s="6" t="s">
        <v>105</v>
      </c>
      <c r="C35" s="17">
        <v>6</v>
      </c>
      <c r="J35" s="11" t="s">
        <v>52</v>
      </c>
      <c r="K35" s="6">
        <f>ROUND(K15/$C$5 * 100, 2)</f>
        <v>26.7</v>
      </c>
      <c r="L35" s="6" t="s">
        <v>58</v>
      </c>
      <c r="AF35" s="2">
        <v>31</v>
      </c>
      <c r="AG35" s="2">
        <f t="shared" si="13"/>
        <v>2339.9253399111331</v>
      </c>
      <c r="AH35" s="2">
        <v>-4.151636358074029E-4</v>
      </c>
      <c r="AI35" s="2">
        <f t="shared" si="14"/>
        <v>2339.9253487586975</v>
      </c>
      <c r="AJ35" s="2">
        <v>1.2784686987288296E-4</v>
      </c>
      <c r="AK35" s="2">
        <f t="shared" si="9"/>
        <v>2339.9253443349153</v>
      </c>
      <c r="AL35" s="2">
        <v>-4.1303369039269455E-4</v>
      </c>
      <c r="AM35" s="2">
        <f t="shared" si="10"/>
        <v>1.7147656861438025E-7</v>
      </c>
      <c r="AN35" s="2">
        <f t="shared" si="11"/>
        <v>-5.280506446875145E-8</v>
      </c>
      <c r="AO35" s="2">
        <f t="shared" si="12"/>
        <v>8.8475644588470459E-6</v>
      </c>
    </row>
    <row r="36" spans="2:41" x14ac:dyDescent="0.2">
      <c r="B36" s="6" t="s">
        <v>106</v>
      </c>
      <c r="C36" s="17">
        <v>9.1440000000000001</v>
      </c>
      <c r="D36" s="6" t="s">
        <v>8</v>
      </c>
      <c r="J36" s="19" t="s">
        <v>78</v>
      </c>
      <c r="K36" s="6">
        <f>ROUND(SUM(K16:K19)/$C$5 * 100, 2)</f>
        <v>14.48</v>
      </c>
      <c r="L36" s="6" t="s">
        <v>58</v>
      </c>
      <c r="AF36" s="2">
        <v>32</v>
      </c>
      <c r="AG36" s="2">
        <f t="shared" si="13"/>
        <v>2339.9253443349153</v>
      </c>
      <c r="AH36" s="2">
        <v>-4.151636358074029E-4</v>
      </c>
      <c r="AI36" s="2">
        <f t="shared" si="14"/>
        <v>2339.9253487586975</v>
      </c>
      <c r="AJ36" s="2">
        <v>1.2784686987288296E-4</v>
      </c>
      <c r="AK36" s="2">
        <f t="shared" si="9"/>
        <v>2339.9253465468064</v>
      </c>
      <c r="AL36" s="2">
        <v>-4.1409866344110924E-4</v>
      </c>
      <c r="AM36" s="2">
        <f t="shared" si="10"/>
        <v>1.7191870669719699E-7</v>
      </c>
      <c r="AN36" s="2">
        <f t="shared" si="11"/>
        <v>-5.294121793949025E-8</v>
      </c>
      <c r="AO36" s="2">
        <f t="shared" si="12"/>
        <v>4.4237822294235229E-6</v>
      </c>
    </row>
    <row r="37" spans="2:41" x14ac:dyDescent="0.2">
      <c r="B37" s="6" t="s">
        <v>107</v>
      </c>
      <c r="C37" s="17">
        <v>1.8675309360000001</v>
      </c>
      <c r="D37" s="6" t="s">
        <v>8</v>
      </c>
      <c r="J37" s="20" t="s">
        <v>69</v>
      </c>
      <c r="K37" s="6">
        <f>ROUND(SUM(K20:K25)/$C$5 * 100, 2)</f>
        <v>28.34</v>
      </c>
      <c r="L37" s="6" t="s">
        <v>58</v>
      </c>
      <c r="AF37" s="2">
        <v>33</v>
      </c>
      <c r="AG37" s="2">
        <f t="shared" si="13"/>
        <v>2339.9253465468064</v>
      </c>
      <c r="AH37" s="2">
        <v>-4.151636358074029E-4</v>
      </c>
      <c r="AI37" s="2">
        <f t="shared" si="14"/>
        <v>2339.9253487586975</v>
      </c>
      <c r="AJ37" s="2">
        <v>1.2784686987288296E-4</v>
      </c>
      <c r="AK37" s="2">
        <f t="shared" si="9"/>
        <v>2339.925347652752</v>
      </c>
      <c r="AL37" s="2">
        <v>-4.1463114962425607E-4</v>
      </c>
      <c r="AM37" s="2">
        <f t="shared" si="10"/>
        <v>1.7213977559700942E-7</v>
      </c>
      <c r="AN37" s="2">
        <f t="shared" si="11"/>
        <v>-5.3009294631256131E-8</v>
      </c>
      <c r="AO37" s="2">
        <f t="shared" si="12"/>
        <v>2.2118911147117615E-6</v>
      </c>
    </row>
    <row r="38" spans="2:41" x14ac:dyDescent="0.2">
      <c r="J38" s="15" t="s">
        <v>70</v>
      </c>
      <c r="K38" s="6">
        <f>ROUND(SUM(K26:K29)/$C$5*100, 2)</f>
        <v>4.83</v>
      </c>
      <c r="L38" s="6" t="s">
        <v>58</v>
      </c>
      <c r="AF38" s="2">
        <v>34</v>
      </c>
      <c r="AG38" s="2">
        <f t="shared" si="13"/>
        <v>2339.925347652752</v>
      </c>
      <c r="AH38" s="2">
        <v>-4.151636358074029E-4</v>
      </c>
      <c r="AI38" s="2">
        <f t="shared" si="14"/>
        <v>2339.9253487586975</v>
      </c>
      <c r="AJ38" s="2">
        <v>1.2784686987288296E-4</v>
      </c>
      <c r="AK38" s="2">
        <f t="shared" si="9"/>
        <v>2339.9253482057247</v>
      </c>
      <c r="AL38" s="2">
        <v>-4.1489739260214265E-4</v>
      </c>
      <c r="AM38" s="2">
        <f t="shared" si="10"/>
        <v>1.72250309999717E-7</v>
      </c>
      <c r="AN38" s="2">
        <f t="shared" si="11"/>
        <v>-5.3043332962604565E-8</v>
      </c>
      <c r="AO38" s="2">
        <f t="shared" si="12"/>
        <v>1.1059455573558807E-6</v>
      </c>
    </row>
    <row r="39" spans="2:41" x14ac:dyDescent="0.2">
      <c r="B39" s="30" t="s">
        <v>108</v>
      </c>
      <c r="C39" s="30"/>
      <c r="D39" s="30"/>
      <c r="J39" s="10" t="s">
        <v>59</v>
      </c>
      <c r="K39" s="10">
        <f>SUM(K34:K38)</f>
        <v>99.990000000000009</v>
      </c>
      <c r="L39" s="10" t="s">
        <v>58</v>
      </c>
      <c r="AF39" s="2">
        <v>35</v>
      </c>
      <c r="AG39" s="2">
        <f t="shared" si="13"/>
        <v>2339.9253482057247</v>
      </c>
      <c r="AH39" s="2">
        <v>-4.151636358074029E-4</v>
      </c>
      <c r="AI39" s="2">
        <f t="shared" si="14"/>
        <v>2339.9253487586975</v>
      </c>
      <c r="AJ39" s="2">
        <v>1.2784686987288296E-4</v>
      </c>
      <c r="AK39" s="2">
        <f t="shared" si="9"/>
        <v>2339.9253484822111</v>
      </c>
      <c r="AL39" s="2">
        <v>-4.1503051420477277E-4</v>
      </c>
      <c r="AM39" s="2">
        <f t="shared" si="10"/>
        <v>1.7230557724826944E-7</v>
      </c>
      <c r="AN39" s="2">
        <f t="shared" si="11"/>
        <v>-5.3060352142813288E-8</v>
      </c>
      <c r="AO39" s="2">
        <f t="shared" si="12"/>
        <v>5.5297277867794037E-7</v>
      </c>
    </row>
    <row r="40" spans="2:41" x14ac:dyDescent="0.2">
      <c r="B40" s="6" t="s">
        <v>116</v>
      </c>
      <c r="C40" s="22" t="s">
        <v>189</v>
      </c>
      <c r="AF40" s="2">
        <v>36</v>
      </c>
      <c r="AG40" s="2">
        <f t="shared" si="13"/>
        <v>2339.9253484822111</v>
      </c>
      <c r="AH40" s="2">
        <v>-4.151636358074029E-4</v>
      </c>
      <c r="AI40" s="2">
        <f t="shared" si="14"/>
        <v>2339.9253487586975</v>
      </c>
      <c r="AJ40" s="2">
        <v>1.2784686987288296E-4</v>
      </c>
      <c r="AK40" s="2">
        <f t="shared" si="9"/>
        <v>2339.9253486204543</v>
      </c>
      <c r="AL40" s="2">
        <v>-4.1509707534714835E-4</v>
      </c>
      <c r="AM40" s="2">
        <f t="shared" si="10"/>
        <v>1.7233321101414157E-7</v>
      </c>
      <c r="AN40" s="2">
        <f t="shared" si="11"/>
        <v>-5.3068861776521169E-8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111</v>
      </c>
      <c r="K41" s="30"/>
      <c r="L41" s="30"/>
      <c r="AF41" s="2">
        <v>37</v>
      </c>
      <c r="AG41" s="2">
        <f t="shared" si="13"/>
        <v>2339.9253486204543</v>
      </c>
      <c r="AH41" s="2">
        <v>-4.151636358074029E-4</v>
      </c>
      <c r="AI41" s="2">
        <f t="shared" si="14"/>
        <v>2339.9253487586975</v>
      </c>
      <c r="AJ41" s="2">
        <v>1.2784686987288296E-4</v>
      </c>
      <c r="AK41" s="2">
        <f t="shared" si="9"/>
        <v>2339.9253486895759</v>
      </c>
      <c r="AL41" s="2">
        <v>-4.1513035557727562E-4</v>
      </c>
      <c r="AM41" s="2">
        <f t="shared" si="10"/>
        <v>1.7234702775548173E-7</v>
      </c>
      <c r="AN41" s="2">
        <f t="shared" si="11"/>
        <v>-5.307311654977159E-8</v>
      </c>
      <c r="AO41" s="2">
        <f t="shared" si="12"/>
        <v>1.3824319466948509E-7</v>
      </c>
    </row>
    <row r="42" spans="2:41" x14ac:dyDescent="0.2">
      <c r="B42" s="6" t="s">
        <v>190</v>
      </c>
      <c r="C42" s="17">
        <v>0.30480000000000002</v>
      </c>
      <c r="D42" s="6" t="s">
        <v>8</v>
      </c>
      <c r="J42" s="6" t="s">
        <v>57</v>
      </c>
      <c r="K42" s="6">
        <f>ROUND(C16,2)</f>
        <v>600</v>
      </c>
      <c r="L42" s="6" t="s">
        <v>7</v>
      </c>
      <c r="AF42" s="2">
        <v>38</v>
      </c>
      <c r="AG42" s="2">
        <f t="shared" si="13"/>
        <v>2339.9253486895759</v>
      </c>
      <c r="AH42" s="2">
        <v>-4.151636358074029E-4</v>
      </c>
      <c r="AI42" s="2">
        <f t="shared" si="14"/>
        <v>2339.9253487586975</v>
      </c>
      <c r="AJ42" s="2">
        <v>1.2784686987288296E-4</v>
      </c>
      <c r="AK42" s="2">
        <f t="shared" si="9"/>
        <v>2339.9253487241367</v>
      </c>
      <c r="AL42" s="2">
        <v>-4.1514699591971294E-4</v>
      </c>
      <c r="AM42" s="2">
        <f t="shared" si="10"/>
        <v>1.7235393622054908E-7</v>
      </c>
      <c r="AN42" s="2">
        <f t="shared" si="11"/>
        <v>-5.3075243965465814E-8</v>
      </c>
      <c r="AO42" s="2">
        <f t="shared" si="12"/>
        <v>6.9121597334742546E-8</v>
      </c>
    </row>
    <row r="43" spans="2:41" x14ac:dyDescent="0.2">
      <c r="B43" s="6" t="s">
        <v>191</v>
      </c>
      <c r="C43" s="17">
        <v>5.7</v>
      </c>
      <c r="J43" s="11" t="s">
        <v>52</v>
      </c>
      <c r="K43" s="6">
        <f>ROUND(K15, 2)</f>
        <v>624.84</v>
      </c>
      <c r="L43" s="6" t="s">
        <v>7</v>
      </c>
      <c r="AF43" s="2">
        <v>39</v>
      </c>
      <c r="AG43" s="2">
        <f t="shared" si="13"/>
        <v>2339.9253487241367</v>
      </c>
      <c r="AH43" s="2">
        <v>-4.151636358074029E-4</v>
      </c>
      <c r="AI43" s="2">
        <f t="shared" si="14"/>
        <v>2339.9253487586975</v>
      </c>
      <c r="AJ43" s="2">
        <v>1.2784686987288296E-4</v>
      </c>
      <c r="AK43" s="2">
        <f t="shared" si="9"/>
        <v>2339.9253487414171</v>
      </c>
      <c r="AL43" s="2">
        <v>-4.1515531597724475E-4</v>
      </c>
      <c r="AM43" s="2">
        <f t="shared" si="10"/>
        <v>1.723573904058841E-7</v>
      </c>
      <c r="AN43" s="2">
        <f t="shared" si="11"/>
        <v>-5.3076307658778419E-8</v>
      </c>
      <c r="AO43" s="2">
        <f t="shared" si="12"/>
        <v>3.4560798667371273E-8</v>
      </c>
    </row>
    <row r="44" spans="2:41" x14ac:dyDescent="0.2">
      <c r="J44" s="19" t="s">
        <v>78</v>
      </c>
      <c r="K44" s="6">
        <f>ROUND(SUM(K16:K19), 2)</f>
        <v>338.93</v>
      </c>
      <c r="L44" s="6" t="s">
        <v>7</v>
      </c>
      <c r="AF44" s="2">
        <v>40</v>
      </c>
      <c r="AG44" s="2">
        <f t="shared" si="13"/>
        <v>2339.9253487414171</v>
      </c>
      <c r="AH44" s="2">
        <v>-4.151636358074029E-4</v>
      </c>
      <c r="AI44" s="2">
        <f t="shared" si="14"/>
        <v>2339.9253487586975</v>
      </c>
      <c r="AJ44" s="2">
        <v>1.2784686987288296E-4</v>
      </c>
      <c r="AK44" s="5">
        <f t="shared" si="9"/>
        <v>2339.9253487500573</v>
      </c>
      <c r="AL44" s="2">
        <v>-4.1515947577863699E-4</v>
      </c>
      <c r="AM44" s="2">
        <f t="shared" si="10"/>
        <v>1.7235911740415435E-7</v>
      </c>
      <c r="AN44" s="2">
        <f t="shared" si="11"/>
        <v>-5.3076839476365709E-8</v>
      </c>
      <c r="AO44" s="2">
        <f t="shared" si="12"/>
        <v>1.7280399333685637E-8</v>
      </c>
    </row>
    <row r="45" spans="2:41" x14ac:dyDescent="0.2">
      <c r="B45" s="30" t="s">
        <v>192</v>
      </c>
      <c r="C45" s="30"/>
      <c r="D45" s="30"/>
      <c r="J45" s="20" t="s">
        <v>69</v>
      </c>
      <c r="K45" s="6">
        <f>ROUND(SUM(K20:K25), 2)</f>
        <v>663.16</v>
      </c>
      <c r="L45" s="6" t="s">
        <v>7</v>
      </c>
    </row>
    <row r="46" spans="2:41" x14ac:dyDescent="0.2">
      <c r="B46" s="6" t="s">
        <v>191</v>
      </c>
      <c r="C46" s="17">
        <v>3</v>
      </c>
      <c r="J46" s="15" t="s">
        <v>70</v>
      </c>
      <c r="K46" s="6">
        <f>ROUND(SUM(K26:K29), 2)</f>
        <v>113</v>
      </c>
      <c r="L46" s="6" t="s">
        <v>7</v>
      </c>
    </row>
    <row r="47" spans="2:41" x14ac:dyDescent="0.2">
      <c r="J47" s="10" t="s">
        <v>59</v>
      </c>
      <c r="K47" s="10">
        <f>SUM(K42:K46)</f>
        <v>2339.9300000000003</v>
      </c>
      <c r="L47" s="6" t="s">
        <v>7</v>
      </c>
    </row>
    <row r="48" spans="2:41" x14ac:dyDescent="0.2">
      <c r="B48" s="30" t="s">
        <v>193</v>
      </c>
      <c r="C48" s="30"/>
      <c r="D48" s="30"/>
    </row>
    <row r="49" spans="2:4" x14ac:dyDescent="0.2">
      <c r="B49" s="6" t="s">
        <v>194</v>
      </c>
      <c r="C49" s="17">
        <v>4.3036300000000001</v>
      </c>
    </row>
    <row r="50" spans="2:4" x14ac:dyDescent="0.2">
      <c r="B50" s="6" t="s">
        <v>195</v>
      </c>
      <c r="C50" s="17">
        <f>39.5112*0.3048^2</f>
        <v>3.6707105940480003</v>
      </c>
      <c r="D50" s="6" t="s">
        <v>174</v>
      </c>
    </row>
    <row r="51" spans="2:4" x14ac:dyDescent="0.2">
      <c r="B51" s="6" t="s">
        <v>196</v>
      </c>
      <c r="C51" s="17">
        <f>0.15*3.7875*0.3048</f>
        <v>0.1731645</v>
      </c>
      <c r="D51" s="6" t="s">
        <v>8</v>
      </c>
    </row>
    <row r="53" spans="2:4" x14ac:dyDescent="0.2">
      <c r="B53" s="30" t="s">
        <v>197</v>
      </c>
      <c r="C53" s="30"/>
      <c r="D53" s="30"/>
    </row>
    <row r="54" spans="2:4" x14ac:dyDescent="0.2">
      <c r="B54" s="6" t="s">
        <v>198</v>
      </c>
      <c r="C54" s="17">
        <v>1.1798999999999999</v>
      </c>
    </row>
    <row r="55" spans="2:4" x14ac:dyDescent="0.2">
      <c r="B55" s="6" t="s">
        <v>199</v>
      </c>
      <c r="C55" s="17">
        <f>27.34325*0.3048^2</f>
        <v>2.5402710484800002</v>
      </c>
      <c r="D55" s="6" t="s">
        <v>174</v>
      </c>
    </row>
    <row r="56" spans="2:4" x14ac:dyDescent="0.2">
      <c r="B56" s="6" t="s">
        <v>200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201</v>
      </c>
      <c r="C57" s="17">
        <v>35</v>
      </c>
      <c r="D57" s="6" t="s">
        <v>40</v>
      </c>
    </row>
    <row r="59" spans="2:4" x14ac:dyDescent="0.2">
      <c r="B59" s="32" t="s">
        <v>2</v>
      </c>
      <c r="C59" s="34"/>
      <c r="D59" s="34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30" t="s">
        <v>144</v>
      </c>
      <c r="C64" s="31"/>
      <c r="D64" s="31"/>
    </row>
    <row r="65" spans="2:4" x14ac:dyDescent="0.2">
      <c r="B65" s="6" t="s">
        <v>14</v>
      </c>
      <c r="C65" s="17">
        <v>1.0397562309141399</v>
      </c>
      <c r="D65" s="6" t="s">
        <v>15</v>
      </c>
    </row>
    <row r="66" spans="2:4" x14ac:dyDescent="0.2">
      <c r="B66" s="6" t="s">
        <v>130</v>
      </c>
      <c r="C66" s="23">
        <v>1.7363179204150701E-5</v>
      </c>
      <c r="D66" s="6" t="s">
        <v>129</v>
      </c>
    </row>
    <row r="67" spans="2:4" x14ac:dyDescent="0.2">
      <c r="B67" s="6" t="s">
        <v>123</v>
      </c>
      <c r="C67" s="17">
        <v>333.91694458017901</v>
      </c>
      <c r="D67" s="6" t="s">
        <v>10</v>
      </c>
    </row>
    <row r="68" spans="2:4" x14ac:dyDescent="0.2">
      <c r="B68" s="6" t="s">
        <v>16</v>
      </c>
      <c r="C68" s="1">
        <v>9.80149119240094</v>
      </c>
      <c r="D68" s="6" t="s">
        <v>17</v>
      </c>
    </row>
    <row r="70" spans="2:4" x14ac:dyDescent="0.2">
      <c r="B70" s="30" t="s">
        <v>145</v>
      </c>
      <c r="C70" s="31"/>
      <c r="D70" s="31"/>
    </row>
    <row r="71" spans="2:4" x14ac:dyDescent="0.2">
      <c r="B71" s="6" t="s">
        <v>14</v>
      </c>
      <c r="C71" s="17">
        <v>1.00854450666398</v>
      </c>
      <c r="D71" s="6" t="s">
        <v>15</v>
      </c>
    </row>
    <row r="72" spans="2:4" x14ac:dyDescent="0.2">
      <c r="B72" s="6" t="s">
        <v>130</v>
      </c>
      <c r="C72" s="23">
        <v>1.7265641515845801E-5</v>
      </c>
      <c r="D72" s="6" t="s">
        <v>129</v>
      </c>
    </row>
    <row r="73" spans="2:4" x14ac:dyDescent="0.2">
      <c r="B73" s="6" t="s">
        <v>123</v>
      </c>
      <c r="C73" s="17">
        <v>332.721752148093</v>
      </c>
      <c r="D73" s="6" t="s">
        <v>10</v>
      </c>
    </row>
    <row r="74" spans="2:4" x14ac:dyDescent="0.2">
      <c r="B74" s="6" t="s">
        <v>16</v>
      </c>
      <c r="C74" s="1">
        <v>9.8005536647414697</v>
      </c>
      <c r="D74" s="6" t="s">
        <v>17</v>
      </c>
    </row>
    <row r="76" spans="2:4" x14ac:dyDescent="0.2">
      <c r="B76" s="30" t="s">
        <v>71</v>
      </c>
      <c r="C76" s="30"/>
      <c r="D76" s="30"/>
    </row>
    <row r="77" spans="2:4" x14ac:dyDescent="0.2">
      <c r="B77" s="6" t="s">
        <v>137</v>
      </c>
      <c r="C77" s="17">
        <v>30</v>
      </c>
    </row>
    <row r="78" spans="2:4" x14ac:dyDescent="0.2">
      <c r="B78" s="6" t="s">
        <v>139</v>
      </c>
      <c r="C78" s="17">
        <v>0.8</v>
      </c>
    </row>
    <row r="79" spans="2:4" x14ac:dyDescent="0.2">
      <c r="B79" s="6" t="s">
        <v>140</v>
      </c>
      <c r="C79" s="17">
        <v>0.8</v>
      </c>
    </row>
    <row r="80" spans="2:4" x14ac:dyDescent="0.2">
      <c r="B80" s="6" t="s">
        <v>141</v>
      </c>
      <c r="C80" s="17">
        <v>0.8</v>
      </c>
    </row>
    <row r="81" spans="2:4" x14ac:dyDescent="0.2">
      <c r="B81" s="6" t="s">
        <v>202</v>
      </c>
      <c r="C81" s="17">
        <v>5</v>
      </c>
      <c r="D81" s="6" t="s">
        <v>40</v>
      </c>
    </row>
  </sheetData>
  <mergeCells count="23"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53:D53"/>
    <mergeCell ref="B59:D59"/>
    <mergeCell ref="B64:D64"/>
    <mergeCell ref="B70:D70"/>
    <mergeCell ref="B76:D76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multirotor_opt_weight</vt:lpstr>
      <vt:lpstr>multirotor_opt_energy</vt:lpstr>
      <vt:lpstr>liftcruise_opt_weight</vt:lpstr>
      <vt:lpstr>liftcruise_opt_energy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2025-05-02T07:33:21Z</dcterms:modified>
</cp:coreProperties>
</file>