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Tutorials/eVTOL_sizing/copycat/"/>
    </mc:Choice>
  </mc:AlternateContent>
  <xr:revisionPtr revIDLastSave="0" documentId="13_ncr:1_{13B56605-CC73-C04A-A668-8AE7AF954C79}" xr6:coauthVersionLast="47" xr6:coauthVersionMax="47" xr10:uidLastSave="{00000000-0000-0000-0000-000000000000}"/>
  <bookViews>
    <workbookView xWindow="0" yWindow="740" windowWidth="15080" windowHeight="18900" activeTab="1" xr2:uid="{FFDDEE5E-B5F1-204C-B9D4-E9DFD979329F}"/>
  </bookViews>
  <sheets>
    <sheet name="M - Multirotor" sheetId="4" r:id="rId1"/>
    <sheet name="M - Lift+Cruise" sheetId="5" r:id="rId2"/>
    <sheet name="E - Multirotor" sheetId="1" r:id="rId3"/>
    <sheet name="E - Lift+Cruis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6" i="5" l="1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I5" i="5"/>
  <c r="AD6" i="5" s="1"/>
  <c r="AH5" i="5"/>
  <c r="AB6" i="5" s="1"/>
  <c r="AJ5" i="5"/>
  <c r="AF5" i="5"/>
  <c r="AN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5" i="4"/>
  <c r="AH6" i="4" s="1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5" i="4"/>
  <c r="AF6" i="4" s="1"/>
  <c r="AJ5" i="4"/>
  <c r="G22" i="5"/>
  <c r="G18" i="5"/>
  <c r="G13" i="5"/>
  <c r="G13" i="4"/>
  <c r="K4" i="4"/>
  <c r="O4" i="4" s="1"/>
  <c r="G17" i="4"/>
  <c r="K14" i="5"/>
  <c r="K12" i="5"/>
  <c r="K5" i="5"/>
  <c r="Y4" i="5"/>
  <c r="U4" i="5"/>
  <c r="N5" i="4"/>
  <c r="AC4" i="4"/>
  <c r="Y4" i="4"/>
  <c r="G4" i="1"/>
  <c r="G12" i="3"/>
  <c r="G8" i="3"/>
  <c r="G9" i="3" s="1"/>
  <c r="K23" i="3"/>
  <c r="K21" i="3"/>
  <c r="K20" i="3"/>
  <c r="T4" i="3"/>
  <c r="K12" i="3"/>
  <c r="K15" i="3" s="1"/>
  <c r="K18" i="3" s="1"/>
  <c r="K14" i="3"/>
  <c r="K4" i="3"/>
  <c r="K5" i="3"/>
  <c r="G4" i="3"/>
  <c r="G5" i="3"/>
  <c r="X4" i="3"/>
  <c r="AC4" i="1"/>
  <c r="Y4" i="1"/>
  <c r="N6" i="1"/>
  <c r="N9" i="1" s="1"/>
  <c r="N10" i="1" s="1"/>
  <c r="O5" i="1" s="1"/>
  <c r="O6" i="1" s="1"/>
  <c r="K4" i="1"/>
  <c r="R4" i="1"/>
  <c r="Q4" i="1"/>
  <c r="N5" i="1"/>
  <c r="P4" i="1"/>
  <c r="O4" i="1"/>
  <c r="N4" i="1"/>
  <c r="G5" i="1"/>
  <c r="K15" i="5" l="1"/>
  <c r="K18" i="5" s="1"/>
  <c r="AB7" i="5"/>
  <c r="AJ6" i="5"/>
  <c r="AF6" i="5"/>
  <c r="AD7" i="5" s="1"/>
  <c r="AJ6" i="4"/>
  <c r="AH7" i="4" s="1"/>
  <c r="AF7" i="4"/>
  <c r="AN6" i="4"/>
  <c r="P4" i="4"/>
  <c r="Q4" i="4"/>
  <c r="R4" i="4"/>
  <c r="N4" i="4"/>
  <c r="N6" i="4" s="1"/>
  <c r="K6" i="3"/>
  <c r="K7" i="3" s="1"/>
  <c r="K8" i="3" s="1"/>
  <c r="K13" i="3" s="1"/>
  <c r="K16" i="3" s="1"/>
  <c r="O9" i="1"/>
  <c r="O10" i="1" s="1"/>
  <c r="P5" i="1" s="1"/>
  <c r="AF7" i="5" l="1"/>
  <c r="AD8" i="5" s="1"/>
  <c r="AJ7" i="5"/>
  <c r="AB8" i="5"/>
  <c r="AJ7" i="4"/>
  <c r="AH8" i="4" s="1"/>
  <c r="AN7" i="4"/>
  <c r="Q4" i="3"/>
  <c r="S4" i="3"/>
  <c r="U4" i="3"/>
  <c r="N11" i="1"/>
  <c r="O11" i="1"/>
  <c r="P6" i="1"/>
  <c r="P9" i="1" s="1"/>
  <c r="P10" i="1" s="1"/>
  <c r="Q5" i="1" s="1"/>
  <c r="AJ8" i="5" l="1"/>
  <c r="AF8" i="5"/>
  <c r="AF8" i="4"/>
  <c r="AN8" i="4" s="1"/>
  <c r="W4" i="3"/>
  <c r="R5" i="3" s="1"/>
  <c r="S5" i="3" s="1"/>
  <c r="V4" i="3"/>
  <c r="P5" i="3" s="1"/>
  <c r="P11" i="1"/>
  <c r="Q6" i="1"/>
  <c r="Q9" i="1" s="1"/>
  <c r="Q10" i="1" s="1"/>
  <c r="R5" i="1" s="1"/>
  <c r="AB9" i="5" l="1"/>
  <c r="AD9" i="5"/>
  <c r="AJ8" i="4"/>
  <c r="AH9" i="4" s="1"/>
  <c r="T5" i="3"/>
  <c r="U5" i="3" s="1"/>
  <c r="W5" i="3" s="1"/>
  <c r="R6" i="3" s="1"/>
  <c r="Q5" i="3"/>
  <c r="V5" i="3" s="1"/>
  <c r="P6" i="3" s="1"/>
  <c r="X5" i="3"/>
  <c r="Q11" i="1"/>
  <c r="AF9" i="4" l="1"/>
  <c r="AN9" i="4" s="1"/>
  <c r="AF9" i="5"/>
  <c r="AB10" i="5" s="1"/>
  <c r="AJ9" i="5"/>
  <c r="Q6" i="3"/>
  <c r="T6" i="3"/>
  <c r="U6" i="3" s="1"/>
  <c r="X6" i="3"/>
  <c r="S6" i="3"/>
  <c r="R6" i="1"/>
  <c r="K5" i="1"/>
  <c r="AJ9" i="4" l="1"/>
  <c r="AD10" i="5"/>
  <c r="AF10" i="5" s="1"/>
  <c r="AD11" i="5" s="1"/>
  <c r="V6" i="3"/>
  <c r="P7" i="3" s="1"/>
  <c r="W6" i="3"/>
  <c r="R7" i="3" s="1"/>
  <c r="T7" i="3" s="1"/>
  <c r="U7" i="3" s="1"/>
  <c r="Q7" i="3"/>
  <c r="R9" i="1"/>
  <c r="K6" i="1"/>
  <c r="AF10" i="4" l="1"/>
  <c r="AH10" i="4"/>
  <c r="AJ10" i="5"/>
  <c r="AB11" i="5"/>
  <c r="AJ11" i="5" s="1"/>
  <c r="V7" i="3"/>
  <c r="P8" i="3" s="1"/>
  <c r="S7" i="3"/>
  <c r="W7" i="3" s="1"/>
  <c r="R8" i="3" s="1"/>
  <c r="X7" i="3"/>
  <c r="R10" i="1"/>
  <c r="K9" i="1"/>
  <c r="K16" i="1" s="1"/>
  <c r="AN10" i="4" l="1"/>
  <c r="AJ10" i="4"/>
  <c r="AF11" i="5"/>
  <c r="AD12" i="5" s="1"/>
  <c r="S8" i="3"/>
  <c r="X8" i="3"/>
  <c r="T8" i="3"/>
  <c r="U8" i="3" s="1"/>
  <c r="W8" i="3" s="1"/>
  <c r="R9" i="3" s="1"/>
  <c r="Q8" i="3"/>
  <c r="V8" i="3" s="1"/>
  <c r="P9" i="3" s="1"/>
  <c r="R11" i="1"/>
  <c r="K11" i="1" s="1"/>
  <c r="K10" i="1"/>
  <c r="AH11" i="4" l="1"/>
  <c r="AF11" i="4"/>
  <c r="AB12" i="5"/>
  <c r="AJ12" i="5" s="1"/>
  <c r="T9" i="3"/>
  <c r="U9" i="3" s="1"/>
  <c r="Q9" i="3"/>
  <c r="V9" i="3" s="1"/>
  <c r="P10" i="3" s="1"/>
  <c r="S9" i="3"/>
  <c r="X9" i="3"/>
  <c r="K17" i="1"/>
  <c r="K20" i="1" s="1"/>
  <c r="K23" i="1" s="1"/>
  <c r="K25" i="1" s="1"/>
  <c r="AJ11" i="4" l="1"/>
  <c r="AF12" i="4" s="1"/>
  <c r="AN11" i="4"/>
  <c r="AF12" i="5"/>
  <c r="AD13" i="5" s="1"/>
  <c r="Q10" i="3"/>
  <c r="W9" i="3"/>
  <c r="R10" i="3" s="1"/>
  <c r="T10" i="3" s="1"/>
  <c r="U10" i="3" s="1"/>
  <c r="K18" i="1"/>
  <c r="X4" i="1" s="1"/>
  <c r="AH12" i="4" l="1"/>
  <c r="AJ12" i="4" s="1"/>
  <c r="AF13" i="4" s="1"/>
  <c r="AB13" i="5"/>
  <c r="AF13" i="5" s="1"/>
  <c r="AD14" i="5" s="1"/>
  <c r="Z4" i="1"/>
  <c r="V4" i="1"/>
  <c r="S10" i="3"/>
  <c r="W10" i="3" s="1"/>
  <c r="R11" i="3" s="1"/>
  <c r="X10" i="3"/>
  <c r="V10" i="3"/>
  <c r="P11" i="3" s="1"/>
  <c r="AB4" i="1"/>
  <c r="W5" i="1" s="1"/>
  <c r="AA4" i="1"/>
  <c r="U5" i="1" s="1"/>
  <c r="AN12" i="4" l="1"/>
  <c r="AH13" i="4"/>
  <c r="AJ13" i="4" s="1"/>
  <c r="AF14" i="4" s="1"/>
  <c r="AJ13" i="5"/>
  <c r="AB14" i="5"/>
  <c r="AJ14" i="5" s="1"/>
  <c r="S11" i="3"/>
  <c r="X11" i="3"/>
  <c r="T11" i="3"/>
  <c r="U11" i="3" s="1"/>
  <c r="W11" i="3" s="1"/>
  <c r="R12" i="3" s="1"/>
  <c r="Q11" i="3"/>
  <c r="V11" i="3" s="1"/>
  <c r="P12" i="3" s="1"/>
  <c r="Y5" i="1"/>
  <c r="Z5" i="1" s="1"/>
  <c r="V5" i="1"/>
  <c r="AC5" i="1"/>
  <c r="X5" i="1"/>
  <c r="AB5" i="1" s="1"/>
  <c r="W6" i="1" s="1"/>
  <c r="AH14" i="4" l="1"/>
  <c r="AN14" i="4" s="1"/>
  <c r="AN13" i="4"/>
  <c r="AF14" i="5"/>
  <c r="AB15" i="5" s="1"/>
  <c r="T12" i="3"/>
  <c r="U12" i="3" s="1"/>
  <c r="Q12" i="3"/>
  <c r="V12" i="3" s="1"/>
  <c r="P13" i="3" s="1"/>
  <c r="S12" i="3"/>
  <c r="X12" i="3"/>
  <c r="X6" i="1"/>
  <c r="AA5" i="1"/>
  <c r="U6" i="1" s="1"/>
  <c r="AC6" i="1" s="1"/>
  <c r="AJ14" i="4" l="1"/>
  <c r="AF15" i="4" s="1"/>
  <c r="AD15" i="5"/>
  <c r="AJ15" i="5" s="1"/>
  <c r="Q13" i="3"/>
  <c r="W12" i="3"/>
  <c r="R13" i="3" s="1"/>
  <c r="V6" i="1"/>
  <c r="Y6" i="1"/>
  <c r="Z6" i="1" s="1"/>
  <c r="AB6" i="1" s="1"/>
  <c r="W7" i="1" s="1"/>
  <c r="AH15" i="4" l="1"/>
  <c r="AN15" i="4" s="1"/>
  <c r="AF15" i="5"/>
  <c r="AB16" i="5" s="1"/>
  <c r="S13" i="3"/>
  <c r="X13" i="3"/>
  <c r="T13" i="3"/>
  <c r="U13" i="3" s="1"/>
  <c r="W13" i="3" s="1"/>
  <c r="R14" i="3" s="1"/>
  <c r="X7" i="1"/>
  <c r="AA6" i="1"/>
  <c r="U7" i="1" s="1"/>
  <c r="AJ15" i="4" l="1"/>
  <c r="AH16" i="4" s="1"/>
  <c r="AD16" i="5"/>
  <c r="AJ16" i="5" s="1"/>
  <c r="AF16" i="4"/>
  <c r="S14" i="3"/>
  <c r="V13" i="3"/>
  <c r="P14" i="3" s="1"/>
  <c r="Y7" i="1"/>
  <c r="Z7" i="1" s="1"/>
  <c r="AB7" i="1" s="1"/>
  <c r="W8" i="1" s="1"/>
  <c r="V7" i="1"/>
  <c r="AC7" i="1"/>
  <c r="AF16" i="5" l="1"/>
  <c r="AB17" i="5" s="1"/>
  <c r="AN16" i="4"/>
  <c r="AJ16" i="4"/>
  <c r="T14" i="3"/>
  <c r="U14" i="3" s="1"/>
  <c r="W14" i="3" s="1"/>
  <c r="R15" i="3" s="1"/>
  <c r="Q14" i="3"/>
  <c r="V14" i="3" s="1"/>
  <c r="P15" i="3" s="1"/>
  <c r="X14" i="3"/>
  <c r="AA7" i="1"/>
  <c r="U8" i="1" s="1"/>
  <c r="Y8" i="1" s="1"/>
  <c r="Z8" i="1" s="1"/>
  <c r="X8" i="1"/>
  <c r="AD17" i="5" l="1"/>
  <c r="AJ17" i="5" s="1"/>
  <c r="AF17" i="4"/>
  <c r="AH17" i="4"/>
  <c r="T15" i="3"/>
  <c r="U15" i="3" s="1"/>
  <c r="Q15" i="3"/>
  <c r="V15" i="3" s="1"/>
  <c r="P16" i="3" s="1"/>
  <c r="S15" i="3"/>
  <c r="X15" i="3"/>
  <c r="V8" i="1"/>
  <c r="AC8" i="1"/>
  <c r="AA8" i="1"/>
  <c r="U9" i="1" s="1"/>
  <c r="V9" i="1" s="1"/>
  <c r="AB8" i="1"/>
  <c r="W9" i="1" s="1"/>
  <c r="AF17" i="5" l="1"/>
  <c r="AD18" i="5" s="1"/>
  <c r="AB18" i="5"/>
  <c r="AN17" i="4"/>
  <c r="AJ17" i="4"/>
  <c r="Q16" i="3"/>
  <c r="W15" i="3"/>
  <c r="R16" i="3" s="1"/>
  <c r="AC9" i="1"/>
  <c r="X9" i="1"/>
  <c r="Y9" i="1"/>
  <c r="Z9" i="1" s="1"/>
  <c r="AB9" i="1" s="1"/>
  <c r="W10" i="1" s="1"/>
  <c r="AJ18" i="5" l="1"/>
  <c r="AF18" i="5"/>
  <c r="AF18" i="4"/>
  <c r="AH18" i="4"/>
  <c r="S16" i="3"/>
  <c r="X16" i="3"/>
  <c r="T16" i="3"/>
  <c r="U16" i="3" s="1"/>
  <c r="W16" i="3" s="1"/>
  <c r="R17" i="3" s="1"/>
  <c r="AA9" i="1"/>
  <c r="U10" i="1" s="1"/>
  <c r="AC10" i="1" s="1"/>
  <c r="X10" i="1"/>
  <c r="AB19" i="5" l="1"/>
  <c r="AD19" i="5"/>
  <c r="AJ18" i="4"/>
  <c r="AH19" i="4" s="1"/>
  <c r="AN18" i="4"/>
  <c r="S17" i="3"/>
  <c r="V16" i="3"/>
  <c r="P17" i="3" s="1"/>
  <c r="X17" i="3" s="1"/>
  <c r="Y10" i="1"/>
  <c r="Z10" i="1" s="1"/>
  <c r="AB10" i="1" s="1"/>
  <c r="W11" i="1" s="1"/>
  <c r="V10" i="1"/>
  <c r="AF19" i="5" l="1"/>
  <c r="AB20" i="5" s="1"/>
  <c r="AJ19" i="5"/>
  <c r="AF19" i="4"/>
  <c r="AN19" i="4" s="1"/>
  <c r="Q17" i="3"/>
  <c r="T17" i="3"/>
  <c r="U17" i="3" s="1"/>
  <c r="W17" i="3" s="1"/>
  <c r="R18" i="3" s="1"/>
  <c r="AA10" i="1"/>
  <c r="U11" i="1" s="1"/>
  <c r="V11" i="1" s="1"/>
  <c r="X11" i="1"/>
  <c r="AC11" i="1"/>
  <c r="AD20" i="5" l="1"/>
  <c r="AJ20" i="5" s="1"/>
  <c r="AJ19" i="4"/>
  <c r="AH20" i="4" s="1"/>
  <c r="S18" i="3"/>
  <c r="V17" i="3"/>
  <c r="P18" i="3" s="1"/>
  <c r="Y11" i="1"/>
  <c r="Z11" i="1" s="1"/>
  <c r="AB11" i="1" s="1"/>
  <c r="W12" i="1" s="1"/>
  <c r="X12" i="1" s="1"/>
  <c r="AF20" i="5" l="1"/>
  <c r="AB21" i="5" s="1"/>
  <c r="AF20" i="4"/>
  <c r="AN20" i="4" s="1"/>
  <c r="Q18" i="3"/>
  <c r="T18" i="3"/>
  <c r="U18" i="3" s="1"/>
  <c r="W18" i="3" s="1"/>
  <c r="R19" i="3" s="1"/>
  <c r="X18" i="3"/>
  <c r="AA11" i="1"/>
  <c r="U12" i="1" s="1"/>
  <c r="Y12" i="1" s="1"/>
  <c r="Z12" i="1" s="1"/>
  <c r="AB12" i="1" s="1"/>
  <c r="W13" i="1" s="1"/>
  <c r="AD21" i="5" l="1"/>
  <c r="AJ21" i="5" s="1"/>
  <c r="AJ20" i="4"/>
  <c r="AF21" i="4" s="1"/>
  <c r="S19" i="3"/>
  <c r="V18" i="3"/>
  <c r="P19" i="3" s="1"/>
  <c r="X19" i="3" s="1"/>
  <c r="AC12" i="1"/>
  <c r="V12" i="1"/>
  <c r="AA12" i="1" s="1"/>
  <c r="U13" i="1" s="1"/>
  <c r="X13" i="1"/>
  <c r="AH21" i="4" l="1"/>
  <c r="AN21" i="4" s="1"/>
  <c r="AF21" i="5"/>
  <c r="AB22" i="5" s="1"/>
  <c r="Q19" i="3"/>
  <c r="T19" i="3"/>
  <c r="U19" i="3" s="1"/>
  <c r="W19" i="3" s="1"/>
  <c r="R20" i="3" s="1"/>
  <c r="V13" i="1"/>
  <c r="Y13" i="1"/>
  <c r="Z13" i="1" s="1"/>
  <c r="AB13" i="1" s="1"/>
  <c r="W14" i="1" s="1"/>
  <c r="AC13" i="1"/>
  <c r="AJ21" i="4" l="1"/>
  <c r="AF22" i="4" s="1"/>
  <c r="AD22" i="5"/>
  <c r="AF22" i="5" s="1"/>
  <c r="S20" i="3"/>
  <c r="V19" i="3"/>
  <c r="P20" i="3" s="1"/>
  <c r="X20" i="3" s="1"/>
  <c r="AA13" i="1"/>
  <c r="U14" i="1" s="1"/>
  <c r="V14" i="1"/>
  <c r="Y14" i="1"/>
  <c r="Z14" i="1" s="1"/>
  <c r="AC14" i="1"/>
  <c r="X14" i="1"/>
  <c r="AH22" i="4" l="1"/>
  <c r="AN22" i="4" s="1"/>
  <c r="AB23" i="5"/>
  <c r="AD23" i="5"/>
  <c r="AJ22" i="5"/>
  <c r="Q20" i="3"/>
  <c r="T20" i="3"/>
  <c r="U20" i="3" s="1"/>
  <c r="W20" i="3" s="1"/>
  <c r="R21" i="3" s="1"/>
  <c r="AB14" i="1"/>
  <c r="W15" i="1" s="1"/>
  <c r="X15" i="1" s="1"/>
  <c r="AA14" i="1"/>
  <c r="U15" i="1" s="1"/>
  <c r="AJ22" i="4" l="1"/>
  <c r="AF23" i="4" s="1"/>
  <c r="AJ23" i="5"/>
  <c r="AF23" i="5"/>
  <c r="AD24" i="5" s="1"/>
  <c r="S21" i="3"/>
  <c r="V20" i="3"/>
  <c r="P21" i="3" s="1"/>
  <c r="V15" i="1"/>
  <c r="Y15" i="1"/>
  <c r="Z15" i="1" s="1"/>
  <c r="AC15" i="1"/>
  <c r="AH23" i="4" l="1"/>
  <c r="AN23" i="4" s="1"/>
  <c r="AB24" i="5"/>
  <c r="AF24" i="5" s="1"/>
  <c r="AB25" i="5" s="1"/>
  <c r="T21" i="3"/>
  <c r="U21" i="3" s="1"/>
  <c r="W21" i="3" s="1"/>
  <c r="R22" i="3" s="1"/>
  <c r="Q21" i="3"/>
  <c r="V21" i="3" s="1"/>
  <c r="P22" i="3" s="1"/>
  <c r="X21" i="3"/>
  <c r="AA15" i="1"/>
  <c r="U16" i="1" s="1"/>
  <c r="AB15" i="1"/>
  <c r="W16" i="1" s="1"/>
  <c r="X16" i="1" s="1"/>
  <c r="V16" i="1"/>
  <c r="Y16" i="1"/>
  <c r="Z16" i="1" s="1"/>
  <c r="AJ23" i="4" l="1"/>
  <c r="AJ24" i="5"/>
  <c r="AD25" i="5"/>
  <c r="AJ25" i="5" s="1"/>
  <c r="AC16" i="1"/>
  <c r="Q22" i="3"/>
  <c r="T22" i="3"/>
  <c r="U22" i="3" s="1"/>
  <c r="S22" i="3"/>
  <c r="X22" i="3"/>
  <c r="AA16" i="1"/>
  <c r="U17" i="1" s="1"/>
  <c r="AB16" i="1"/>
  <c r="W17" i="1" s="1"/>
  <c r="AH24" i="4" l="1"/>
  <c r="AF24" i="4"/>
  <c r="AF25" i="5"/>
  <c r="AB26" i="5" s="1"/>
  <c r="W22" i="3"/>
  <c r="R23" i="3" s="1"/>
  <c r="S23" i="3"/>
  <c r="V22" i="3"/>
  <c r="P23" i="3" s="1"/>
  <c r="X17" i="1"/>
  <c r="AC17" i="1"/>
  <c r="V17" i="1"/>
  <c r="Y17" i="1"/>
  <c r="Z17" i="1" s="1"/>
  <c r="AA17" i="1" s="1"/>
  <c r="U18" i="1" s="1"/>
  <c r="V18" i="1" s="1"/>
  <c r="AN24" i="4" l="1"/>
  <c r="AJ24" i="4"/>
  <c r="AD26" i="5"/>
  <c r="AJ26" i="5" s="1"/>
  <c r="T23" i="3"/>
  <c r="U23" i="3" s="1"/>
  <c r="W23" i="3" s="1"/>
  <c r="R24" i="3" s="1"/>
  <c r="Q23" i="3"/>
  <c r="V23" i="3" s="1"/>
  <c r="P24" i="3" s="1"/>
  <c r="X23" i="3"/>
  <c r="AB17" i="1"/>
  <c r="W18" i="1" s="1"/>
  <c r="AF25" i="4" l="1"/>
  <c r="AH25" i="4"/>
  <c r="AF26" i="5"/>
  <c r="AD27" i="5" s="1"/>
  <c r="T24" i="3"/>
  <c r="U24" i="3" s="1"/>
  <c r="Q24" i="3"/>
  <c r="V24" i="3" s="1"/>
  <c r="P25" i="3" s="1"/>
  <c r="S24" i="3"/>
  <c r="X24" i="3"/>
  <c r="Y18" i="1"/>
  <c r="Z18" i="1" s="1"/>
  <c r="AA18" i="1" s="1"/>
  <c r="U19" i="1" s="1"/>
  <c r="AC18" i="1"/>
  <c r="X18" i="1"/>
  <c r="AN25" i="4" l="1"/>
  <c r="AJ25" i="4"/>
  <c r="AB27" i="5"/>
  <c r="AF27" i="5" s="1"/>
  <c r="AD28" i="5" s="1"/>
  <c r="Q25" i="3"/>
  <c r="W24" i="3"/>
  <c r="R25" i="3" s="1"/>
  <c r="AB18" i="1"/>
  <c r="W19" i="1" s="1"/>
  <c r="AC19" i="1" s="1"/>
  <c r="V19" i="1"/>
  <c r="AF26" i="4" l="1"/>
  <c r="AH26" i="4"/>
  <c r="AJ27" i="5"/>
  <c r="AB28" i="5"/>
  <c r="AJ28" i="5" s="1"/>
  <c r="S25" i="3"/>
  <c r="X25" i="3"/>
  <c r="T25" i="3"/>
  <c r="U25" i="3" s="1"/>
  <c r="W25" i="3" s="1"/>
  <c r="R26" i="3" s="1"/>
  <c r="Y19" i="1"/>
  <c r="Z19" i="1" s="1"/>
  <c r="X19" i="1"/>
  <c r="AB19" i="1" s="1"/>
  <c r="W20" i="1" s="1"/>
  <c r="AA19" i="1"/>
  <c r="U20" i="1" s="1"/>
  <c r="AN26" i="4" l="1"/>
  <c r="AJ26" i="4"/>
  <c r="AF28" i="5"/>
  <c r="AD29" i="5" s="1"/>
  <c r="S26" i="3"/>
  <c r="V25" i="3"/>
  <c r="P26" i="3" s="1"/>
  <c r="X20" i="1"/>
  <c r="AC20" i="1"/>
  <c r="Y20" i="1"/>
  <c r="Z20" i="1" s="1"/>
  <c r="V20" i="1"/>
  <c r="AH27" i="4" l="1"/>
  <c r="AF27" i="4"/>
  <c r="AB29" i="5"/>
  <c r="AJ29" i="5" s="1"/>
  <c r="Q26" i="3"/>
  <c r="T26" i="3"/>
  <c r="U26" i="3" s="1"/>
  <c r="W26" i="3" s="1"/>
  <c r="R27" i="3" s="1"/>
  <c r="X26" i="3"/>
  <c r="AA20" i="1"/>
  <c r="U21" i="1" s="1"/>
  <c r="AB20" i="1"/>
  <c r="W21" i="1" s="1"/>
  <c r="Y21" i="1" s="1"/>
  <c r="Z21" i="1" s="1"/>
  <c r="V21" i="1"/>
  <c r="X21" i="1"/>
  <c r="AC21" i="1"/>
  <c r="AN27" i="4" l="1"/>
  <c r="AJ27" i="4"/>
  <c r="AF29" i="5"/>
  <c r="AB30" i="5" s="1"/>
  <c r="S27" i="3"/>
  <c r="V26" i="3"/>
  <c r="P27" i="3" s="1"/>
  <c r="X27" i="3" s="1"/>
  <c r="AA21" i="1"/>
  <c r="U22" i="1" s="1"/>
  <c r="V22" i="1"/>
  <c r="AB21" i="1"/>
  <c r="W22" i="1" s="1"/>
  <c r="Y22" i="1" s="1"/>
  <c r="Z22" i="1" s="1"/>
  <c r="AF28" i="4" l="1"/>
  <c r="AH28" i="4"/>
  <c r="AD30" i="5"/>
  <c r="AJ30" i="5" s="1"/>
  <c r="T27" i="3"/>
  <c r="U27" i="3" s="1"/>
  <c r="W27" i="3" s="1"/>
  <c r="R28" i="3" s="1"/>
  <c r="Q27" i="3"/>
  <c r="V27" i="3" s="1"/>
  <c r="P28" i="3" s="1"/>
  <c r="X22" i="1"/>
  <c r="AB22" i="1" s="1"/>
  <c r="W23" i="1" s="1"/>
  <c r="AC22" i="1"/>
  <c r="AA22" i="1"/>
  <c r="U23" i="1" s="1"/>
  <c r="AN28" i="4" l="1"/>
  <c r="AJ28" i="4"/>
  <c r="AF30" i="5"/>
  <c r="AB31" i="5" s="1"/>
  <c r="T28" i="3"/>
  <c r="U28" i="3" s="1"/>
  <c r="Q28" i="3"/>
  <c r="V28" i="3" s="1"/>
  <c r="P29" i="3" s="1"/>
  <c r="S28" i="3"/>
  <c r="X28" i="3"/>
  <c r="Y23" i="1"/>
  <c r="Z23" i="1" s="1"/>
  <c r="V23" i="1"/>
  <c r="X23" i="1"/>
  <c r="AC23" i="1"/>
  <c r="AF29" i="4" l="1"/>
  <c r="AH29" i="4"/>
  <c r="AD31" i="5"/>
  <c r="AJ31" i="5" s="1"/>
  <c r="Q29" i="3"/>
  <c r="W28" i="3"/>
  <c r="R29" i="3" s="1"/>
  <c r="T29" i="3" s="1"/>
  <c r="U29" i="3" s="1"/>
  <c r="AB23" i="1"/>
  <c r="W24" i="1" s="1"/>
  <c r="AA23" i="1"/>
  <c r="U24" i="1" s="1"/>
  <c r="V24" i="1"/>
  <c r="Y24" i="1"/>
  <c r="Z24" i="1" s="1"/>
  <c r="AC24" i="1"/>
  <c r="X24" i="1"/>
  <c r="AJ29" i="4" l="1"/>
  <c r="AN29" i="4"/>
  <c r="AF31" i="5"/>
  <c r="AD32" i="5" s="1"/>
  <c r="S29" i="3"/>
  <c r="W29" i="3" s="1"/>
  <c r="R30" i="3" s="1"/>
  <c r="X29" i="3"/>
  <c r="V29" i="3"/>
  <c r="P30" i="3" s="1"/>
  <c r="AA24" i="1"/>
  <c r="U25" i="1" s="1"/>
  <c r="AB24" i="1"/>
  <c r="W25" i="1" s="1"/>
  <c r="X25" i="1" s="1"/>
  <c r="V25" i="1"/>
  <c r="Y25" i="1"/>
  <c r="Z25" i="1" s="1"/>
  <c r="AH30" i="4" l="1"/>
  <c r="AF30" i="4"/>
  <c r="AB32" i="5"/>
  <c r="AJ32" i="5" s="1"/>
  <c r="S30" i="3"/>
  <c r="X30" i="3"/>
  <c r="Q30" i="3"/>
  <c r="T30" i="3"/>
  <c r="U30" i="3" s="1"/>
  <c r="W30" i="3" s="1"/>
  <c r="R31" i="3" s="1"/>
  <c r="AC25" i="1"/>
  <c r="AA25" i="1"/>
  <c r="U26" i="1" s="1"/>
  <c r="V26" i="1" s="1"/>
  <c r="AB25" i="1"/>
  <c r="W26" i="1" s="1"/>
  <c r="AJ30" i="4" l="1"/>
  <c r="AF31" i="4" s="1"/>
  <c r="AN30" i="4"/>
  <c r="AF32" i="5"/>
  <c r="AD33" i="5" s="1"/>
  <c r="AB33" i="5"/>
  <c r="S31" i="3"/>
  <c r="V30" i="3"/>
  <c r="P31" i="3" s="1"/>
  <c r="AC26" i="1"/>
  <c r="X26" i="1"/>
  <c r="Y26" i="1"/>
  <c r="Z26" i="1" s="1"/>
  <c r="AA26" i="1" s="1"/>
  <c r="U27" i="1" s="1"/>
  <c r="AH31" i="4" l="1"/>
  <c r="AN31" i="4" s="1"/>
  <c r="AF33" i="5"/>
  <c r="AB34" i="5" s="1"/>
  <c r="AJ33" i="5"/>
  <c r="Q31" i="3"/>
  <c r="T31" i="3"/>
  <c r="U31" i="3" s="1"/>
  <c r="W31" i="3" s="1"/>
  <c r="R32" i="3" s="1"/>
  <c r="X31" i="3"/>
  <c r="V27" i="1"/>
  <c r="AB26" i="1"/>
  <c r="W27" i="1" s="1"/>
  <c r="AJ31" i="4" l="1"/>
  <c r="AF32" i="4" s="1"/>
  <c r="AD34" i="5"/>
  <c r="AJ34" i="5" s="1"/>
  <c r="S32" i="3"/>
  <c r="V31" i="3"/>
  <c r="P32" i="3" s="1"/>
  <c r="X27" i="1"/>
  <c r="AC27" i="1"/>
  <c r="Y27" i="1"/>
  <c r="Z27" i="1" s="1"/>
  <c r="AA27" i="1" s="1"/>
  <c r="U28" i="1" s="1"/>
  <c r="AH32" i="4" l="1"/>
  <c r="AN32" i="4" s="1"/>
  <c r="AF34" i="5"/>
  <c r="C23" i="5" s="1"/>
  <c r="T32" i="3"/>
  <c r="U32" i="3" s="1"/>
  <c r="W32" i="3" s="1"/>
  <c r="R33" i="3" s="1"/>
  <c r="Q32" i="3"/>
  <c r="V32" i="3" s="1"/>
  <c r="P33" i="3" s="1"/>
  <c r="X32" i="3"/>
  <c r="V28" i="1"/>
  <c r="AB27" i="1"/>
  <c r="W28" i="1" s="1"/>
  <c r="AJ32" i="4" l="1"/>
  <c r="AF33" i="4" s="1"/>
  <c r="T33" i="3"/>
  <c r="U33" i="3" s="1"/>
  <c r="Q33" i="3"/>
  <c r="V33" i="3" s="1"/>
  <c r="P34" i="3" s="1"/>
  <c r="S33" i="3"/>
  <c r="X33" i="3"/>
  <c r="AC28" i="1"/>
  <c r="X28" i="1"/>
  <c r="Y28" i="1"/>
  <c r="Z28" i="1" s="1"/>
  <c r="AA28" i="1" s="1"/>
  <c r="U29" i="1" s="1"/>
  <c r="AH33" i="4" l="1"/>
  <c r="AN33" i="4" s="1"/>
  <c r="G30" i="5"/>
  <c r="G34" i="5"/>
  <c r="G28" i="5"/>
  <c r="G21" i="5"/>
  <c r="G33" i="5" s="1"/>
  <c r="G5" i="5"/>
  <c r="G4" i="5"/>
  <c r="K4" i="5"/>
  <c r="K6" i="5" s="1"/>
  <c r="K7" i="5" s="1"/>
  <c r="K8" i="5" s="1"/>
  <c r="K13" i="5" s="1"/>
  <c r="K16" i="5" s="1"/>
  <c r="V4" i="5" s="1"/>
  <c r="Q34" i="3"/>
  <c r="W33" i="3"/>
  <c r="R34" i="3" s="1"/>
  <c r="T34" i="3" s="1"/>
  <c r="V29" i="1"/>
  <c r="AB28" i="1"/>
  <c r="W29" i="1" s="1"/>
  <c r="AJ33" i="4" l="1"/>
  <c r="AF34" i="4" s="1"/>
  <c r="T4" i="5"/>
  <c r="X4" i="5" s="1"/>
  <c r="S5" i="5" s="1"/>
  <c r="T5" i="5" s="1"/>
  <c r="R4" i="5"/>
  <c r="W4" i="5" s="1"/>
  <c r="Q5" i="5" s="1"/>
  <c r="K21" i="5"/>
  <c r="K23" i="5" s="1"/>
  <c r="U34" i="3"/>
  <c r="K19" i="3"/>
  <c r="S34" i="3"/>
  <c r="W34" i="3" s="1"/>
  <c r="X34" i="3"/>
  <c r="V34" i="3"/>
  <c r="X29" i="1"/>
  <c r="AC29" i="1"/>
  <c r="Y29" i="1"/>
  <c r="Z29" i="1" s="1"/>
  <c r="AA29" i="1" s="1"/>
  <c r="U30" i="1" s="1"/>
  <c r="AH34" i="4" l="1"/>
  <c r="AN34" i="4" s="1"/>
  <c r="Y5" i="5"/>
  <c r="U5" i="5"/>
  <c r="V5" i="5" s="1"/>
  <c r="X5" i="5" s="1"/>
  <c r="S6" i="5" s="1"/>
  <c r="R5" i="5"/>
  <c r="V30" i="1"/>
  <c r="AB29" i="1"/>
  <c r="W30" i="1" s="1"/>
  <c r="AJ34" i="4" l="1"/>
  <c r="C16" i="4" s="1"/>
  <c r="G27" i="4" s="1"/>
  <c r="W5" i="5"/>
  <c r="Q6" i="5" s="1"/>
  <c r="R6" i="5" s="1"/>
  <c r="T6" i="5"/>
  <c r="X30" i="1"/>
  <c r="AC30" i="1"/>
  <c r="Y30" i="1"/>
  <c r="Z30" i="1" s="1"/>
  <c r="AA30" i="1" s="1"/>
  <c r="U31" i="1" s="1"/>
  <c r="G20" i="4" l="1"/>
  <c r="G30" i="4" s="1"/>
  <c r="N9" i="4"/>
  <c r="N10" i="4" s="1"/>
  <c r="O5" i="4" s="1"/>
  <c r="O6" i="4" s="1"/>
  <c r="O9" i="4" s="1"/>
  <c r="O10" i="4" s="1"/>
  <c r="O11" i="4" s="1"/>
  <c r="G4" i="4"/>
  <c r="G19" i="4" s="1"/>
  <c r="G29" i="4" s="1"/>
  <c r="G5" i="4"/>
  <c r="G25" i="4"/>
  <c r="U6" i="5"/>
  <c r="V6" i="5" s="1"/>
  <c r="W6" i="5" s="1"/>
  <c r="Q7" i="5" s="1"/>
  <c r="R7" i="5" s="1"/>
  <c r="Y6" i="5"/>
  <c r="V31" i="1"/>
  <c r="AB30" i="1"/>
  <c r="W31" i="1" s="1"/>
  <c r="Y31" i="1" s="1"/>
  <c r="Z31" i="1" s="1"/>
  <c r="N11" i="4" l="1"/>
  <c r="P5" i="4"/>
  <c r="P6" i="4" s="1"/>
  <c r="P9" i="4" s="1"/>
  <c r="P10" i="4" s="1"/>
  <c r="Q5" i="4" s="1"/>
  <c r="Q6" i="4" s="1"/>
  <c r="Q9" i="4" s="1"/>
  <c r="Q10" i="4" s="1"/>
  <c r="R5" i="4" s="1"/>
  <c r="G18" i="4"/>
  <c r="G28" i="4" s="1"/>
  <c r="X6" i="5"/>
  <c r="S7" i="5" s="1"/>
  <c r="Y7" i="5" s="1"/>
  <c r="X31" i="1"/>
  <c r="AB31" i="1" s="1"/>
  <c r="W32" i="1" s="1"/>
  <c r="AC31" i="1"/>
  <c r="AA31" i="1"/>
  <c r="U32" i="1" s="1"/>
  <c r="Q11" i="4" l="1"/>
  <c r="P11" i="4"/>
  <c r="U7" i="5"/>
  <c r="V7" i="5" s="1"/>
  <c r="W7" i="5" s="1"/>
  <c r="Q8" i="5" s="1"/>
  <c r="R8" i="5" s="1"/>
  <c r="T7" i="5"/>
  <c r="K5" i="4"/>
  <c r="R6" i="4"/>
  <c r="X32" i="1"/>
  <c r="AC32" i="1"/>
  <c r="Y32" i="1"/>
  <c r="Z32" i="1" s="1"/>
  <c r="V32" i="1"/>
  <c r="X7" i="5" l="1"/>
  <c r="S8" i="5" s="1"/>
  <c r="U8" i="5" s="1"/>
  <c r="V8" i="5" s="1"/>
  <c r="W8" i="5" s="1"/>
  <c r="Q9" i="5" s="1"/>
  <c r="K6" i="4"/>
  <c r="R9" i="4"/>
  <c r="AA32" i="1"/>
  <c r="U33" i="1" s="1"/>
  <c r="V33" i="1" s="1"/>
  <c r="AB32" i="1"/>
  <c r="W33" i="1" s="1"/>
  <c r="T8" i="5" l="1"/>
  <c r="X8" i="5" s="1"/>
  <c r="S9" i="5" s="1"/>
  <c r="Y9" i="5" s="1"/>
  <c r="Y8" i="5"/>
  <c r="R9" i="5"/>
  <c r="K9" i="4"/>
  <c r="K16" i="4" s="1"/>
  <c r="R10" i="4"/>
  <c r="Y33" i="1"/>
  <c r="Z33" i="1" s="1"/>
  <c r="X33" i="1"/>
  <c r="AB33" i="1" s="1"/>
  <c r="W34" i="1" s="1"/>
  <c r="AC33" i="1"/>
  <c r="AA33" i="1"/>
  <c r="U34" i="1" s="1"/>
  <c r="U9" i="5" l="1"/>
  <c r="V9" i="5" s="1"/>
  <c r="W9" i="5" s="1"/>
  <c r="Q10" i="5" s="1"/>
  <c r="R10" i="5" s="1"/>
  <c r="T9" i="5"/>
  <c r="R11" i="4"/>
  <c r="K11" i="4" s="1"/>
  <c r="K10" i="4"/>
  <c r="X34" i="1"/>
  <c r="AC34" i="1"/>
  <c r="V34" i="1"/>
  <c r="Y34" i="1"/>
  <c r="X9" i="5" l="1"/>
  <c r="S10" i="5" s="1"/>
  <c r="T10" i="5" s="1"/>
  <c r="K17" i="4"/>
  <c r="Z34" i="1"/>
  <c r="AB34" i="1" s="1"/>
  <c r="K21" i="1"/>
  <c r="K22" i="1" s="1"/>
  <c r="G8" i="1" s="1"/>
  <c r="G9" i="1" s="1"/>
  <c r="G12" i="1" s="1"/>
  <c r="AA34" i="1"/>
  <c r="U10" i="5" l="1"/>
  <c r="V10" i="5" s="1"/>
  <c r="W10" i="5" s="1"/>
  <c r="Q11" i="5" s="1"/>
  <c r="R11" i="5" s="1"/>
  <c r="Y10" i="5"/>
  <c r="K20" i="4"/>
  <c r="K23" i="4" s="1"/>
  <c r="K25" i="4" s="1"/>
  <c r="K18" i="4"/>
  <c r="X10" i="5" l="1"/>
  <c r="S11" i="5" s="1"/>
  <c r="Y11" i="5" s="1"/>
  <c r="V4" i="4"/>
  <c r="X4" i="4"/>
  <c r="Z4" i="4"/>
  <c r="U11" i="5" l="1"/>
  <c r="V11" i="5" s="1"/>
  <c r="W11" i="5" s="1"/>
  <c r="Q12" i="5" s="1"/>
  <c r="R12" i="5" s="1"/>
  <c r="T11" i="5"/>
  <c r="AB4" i="4"/>
  <c r="W5" i="4" s="1"/>
  <c r="X5" i="4" s="1"/>
  <c r="AA4" i="4"/>
  <c r="U5" i="4" s="1"/>
  <c r="X11" i="5" l="1"/>
  <c r="S12" i="5" s="1"/>
  <c r="Y12" i="5" s="1"/>
  <c r="AC5" i="4"/>
  <c r="Y5" i="4"/>
  <c r="Z5" i="4" s="1"/>
  <c r="AB5" i="4" s="1"/>
  <c r="W6" i="4" s="1"/>
  <c r="V5" i="4"/>
  <c r="U12" i="5" l="1"/>
  <c r="V12" i="5" s="1"/>
  <c r="W12" i="5" s="1"/>
  <c r="Q13" i="5" s="1"/>
  <c r="R13" i="5" s="1"/>
  <c r="T12" i="5"/>
  <c r="AA5" i="4"/>
  <c r="U6" i="4" s="1"/>
  <c r="AC6" i="4" s="1"/>
  <c r="X6" i="4"/>
  <c r="X12" i="5" l="1"/>
  <c r="S13" i="5" s="1"/>
  <c r="Y13" i="5" s="1"/>
  <c r="Y6" i="4"/>
  <c r="Z6" i="4" s="1"/>
  <c r="AB6" i="4" s="1"/>
  <c r="W7" i="4" s="1"/>
  <c r="V6" i="4"/>
  <c r="U13" i="5" l="1"/>
  <c r="V13" i="5" s="1"/>
  <c r="W13" i="5" s="1"/>
  <c r="Q14" i="5" s="1"/>
  <c r="R14" i="5" s="1"/>
  <c r="T13" i="5"/>
  <c r="AA6" i="4"/>
  <c r="U7" i="4" s="1"/>
  <c r="AC7" i="4" s="1"/>
  <c r="X7" i="4"/>
  <c r="X13" i="5" l="1"/>
  <c r="S14" i="5" s="1"/>
  <c r="Y14" i="5" s="1"/>
  <c r="V7" i="4"/>
  <c r="Y7" i="4"/>
  <c r="Z7" i="4" s="1"/>
  <c r="U14" i="5" l="1"/>
  <c r="V14" i="5" s="1"/>
  <c r="W14" i="5" s="1"/>
  <c r="Q15" i="5" s="1"/>
  <c r="R15" i="5" s="1"/>
  <c r="T14" i="5"/>
  <c r="AA7" i="4"/>
  <c r="U8" i="4" s="1"/>
  <c r="V8" i="4" s="1"/>
  <c r="AB7" i="4"/>
  <c r="W8" i="4" s="1"/>
  <c r="X14" i="5" l="1"/>
  <c r="S15" i="5" s="1"/>
  <c r="Y15" i="5" s="1"/>
  <c r="AC8" i="4"/>
  <c r="Y8" i="4"/>
  <c r="Z8" i="4" s="1"/>
  <c r="AA8" i="4" s="1"/>
  <c r="U9" i="4" s="1"/>
  <c r="V9" i="4" s="1"/>
  <c r="X8" i="4"/>
  <c r="T15" i="5" l="1"/>
  <c r="U15" i="5"/>
  <c r="V15" i="5" s="1"/>
  <c r="W15" i="5" s="1"/>
  <c r="Q16" i="5" s="1"/>
  <c r="R16" i="5" s="1"/>
  <c r="AB8" i="4"/>
  <c r="W9" i="4" s="1"/>
  <c r="AC9" i="4" s="1"/>
  <c r="X15" i="5" l="1"/>
  <c r="S16" i="5" s="1"/>
  <c r="Y16" i="5" s="1"/>
  <c r="X9" i="4"/>
  <c r="Y9" i="4"/>
  <c r="Z9" i="4" s="1"/>
  <c r="AA9" i="4" s="1"/>
  <c r="U10" i="4" s="1"/>
  <c r="V10" i="4" s="1"/>
  <c r="U16" i="5" l="1"/>
  <c r="V16" i="5" s="1"/>
  <c r="W16" i="5" s="1"/>
  <c r="Q17" i="5" s="1"/>
  <c r="R17" i="5" s="1"/>
  <c r="T16" i="5"/>
  <c r="AB9" i="4"/>
  <c r="W10" i="4" s="1"/>
  <c r="AC10" i="4" s="1"/>
  <c r="X16" i="5" l="1"/>
  <c r="S17" i="5" s="1"/>
  <c r="T17" i="5" s="1"/>
  <c r="Y10" i="4"/>
  <c r="Z10" i="4" s="1"/>
  <c r="AA10" i="4" s="1"/>
  <c r="U11" i="4" s="1"/>
  <c r="V11" i="4" s="1"/>
  <c r="X10" i="4"/>
  <c r="U17" i="5" l="1"/>
  <c r="V17" i="5" s="1"/>
  <c r="W17" i="5" s="1"/>
  <c r="Q18" i="5" s="1"/>
  <c r="R18" i="5" s="1"/>
  <c r="Y17" i="5"/>
  <c r="AB10" i="4"/>
  <c r="W11" i="4" s="1"/>
  <c r="AC11" i="4" s="1"/>
  <c r="X17" i="5" l="1"/>
  <c r="S18" i="5" s="1"/>
  <c r="Y18" i="5" s="1"/>
  <c r="Y11" i="4"/>
  <c r="Z11" i="4" s="1"/>
  <c r="AA11" i="4" s="1"/>
  <c r="U12" i="4" s="1"/>
  <c r="V12" i="4" s="1"/>
  <c r="X11" i="4"/>
  <c r="T18" i="5" l="1"/>
  <c r="U18" i="5"/>
  <c r="V18" i="5" s="1"/>
  <c r="W18" i="5" s="1"/>
  <c r="Q19" i="5" s="1"/>
  <c r="R19" i="5" s="1"/>
  <c r="AB11" i="4"/>
  <c r="W12" i="4" s="1"/>
  <c r="AC12" i="4" s="1"/>
  <c r="X18" i="5" l="1"/>
  <c r="S19" i="5" s="1"/>
  <c r="Y19" i="5" s="1"/>
  <c r="X12" i="4"/>
  <c r="Y12" i="4"/>
  <c r="Z12" i="4" s="1"/>
  <c r="AA12" i="4" s="1"/>
  <c r="U13" i="4" s="1"/>
  <c r="V13" i="4" s="1"/>
  <c r="U19" i="5" l="1"/>
  <c r="V19" i="5" s="1"/>
  <c r="W19" i="5" s="1"/>
  <c r="Q20" i="5" s="1"/>
  <c r="R20" i="5" s="1"/>
  <c r="T19" i="5"/>
  <c r="AB12" i="4"/>
  <c r="W13" i="4" s="1"/>
  <c r="X13" i="4" s="1"/>
  <c r="X19" i="5" l="1"/>
  <c r="S20" i="5" s="1"/>
  <c r="Y20" i="5" s="1"/>
  <c r="Y13" i="4"/>
  <c r="Z13" i="4" s="1"/>
  <c r="AA13" i="4" s="1"/>
  <c r="U14" i="4" s="1"/>
  <c r="V14" i="4" s="1"/>
  <c r="AC13" i="4"/>
  <c r="T20" i="5" l="1"/>
  <c r="U20" i="5"/>
  <c r="V20" i="5" s="1"/>
  <c r="W20" i="5" s="1"/>
  <c r="Q21" i="5" s="1"/>
  <c r="R21" i="5" s="1"/>
  <c r="AB13" i="4"/>
  <c r="W14" i="4" s="1"/>
  <c r="X14" i="4" s="1"/>
  <c r="X20" i="5" l="1"/>
  <c r="S21" i="5" s="1"/>
  <c r="Y21" i="5" s="1"/>
  <c r="Y14" i="4"/>
  <c r="Z14" i="4" s="1"/>
  <c r="AA14" i="4" s="1"/>
  <c r="U15" i="4" s="1"/>
  <c r="V15" i="4" s="1"/>
  <c r="AC14" i="4"/>
  <c r="U21" i="5" l="1"/>
  <c r="V21" i="5" s="1"/>
  <c r="W21" i="5" s="1"/>
  <c r="Q22" i="5" s="1"/>
  <c r="R22" i="5" s="1"/>
  <c r="T21" i="5"/>
  <c r="AB14" i="4"/>
  <c r="W15" i="4" s="1"/>
  <c r="Y15" i="4" s="1"/>
  <c r="Z15" i="4" s="1"/>
  <c r="AA15" i="4" s="1"/>
  <c r="U16" i="4" s="1"/>
  <c r="X21" i="5" l="1"/>
  <c r="S22" i="5" s="1"/>
  <c r="Y22" i="5" s="1"/>
  <c r="AC15" i="4"/>
  <c r="X15" i="4"/>
  <c r="AB15" i="4" s="1"/>
  <c r="W16" i="4" s="1"/>
  <c r="Y16" i="4" s="1"/>
  <c r="Z16" i="4" s="1"/>
  <c r="V16" i="4"/>
  <c r="U22" i="5" l="1"/>
  <c r="V22" i="5" s="1"/>
  <c r="W22" i="5" s="1"/>
  <c r="Q23" i="5" s="1"/>
  <c r="R23" i="5" s="1"/>
  <c r="T22" i="5"/>
  <c r="AC16" i="4"/>
  <c r="X16" i="4"/>
  <c r="AB16" i="4" s="1"/>
  <c r="W17" i="4" s="1"/>
  <c r="X17" i="4" s="1"/>
  <c r="AA16" i="4"/>
  <c r="U17" i="4" s="1"/>
  <c r="X22" i="5" l="1"/>
  <c r="S23" i="5" s="1"/>
  <c r="Y23" i="5" s="1"/>
  <c r="AC17" i="4"/>
  <c r="Y17" i="4"/>
  <c r="Z17" i="4" s="1"/>
  <c r="AB17" i="4" s="1"/>
  <c r="W18" i="4" s="1"/>
  <c r="V17" i="4"/>
  <c r="T23" i="5" l="1"/>
  <c r="U23" i="5"/>
  <c r="V23" i="5" s="1"/>
  <c r="W23" i="5" s="1"/>
  <c r="Q24" i="5" s="1"/>
  <c r="R24" i="5" s="1"/>
  <c r="AA17" i="4"/>
  <c r="U18" i="4" s="1"/>
  <c r="AC18" i="4" s="1"/>
  <c r="X18" i="4"/>
  <c r="X23" i="5" l="1"/>
  <c r="S24" i="5" s="1"/>
  <c r="Y24" i="5" s="1"/>
  <c r="V18" i="4"/>
  <c r="Y18" i="4"/>
  <c r="Z18" i="4" s="1"/>
  <c r="U24" i="5" l="1"/>
  <c r="V24" i="5" s="1"/>
  <c r="W24" i="5" s="1"/>
  <c r="Q25" i="5" s="1"/>
  <c r="R25" i="5" s="1"/>
  <c r="T24" i="5"/>
  <c r="AA18" i="4"/>
  <c r="U19" i="4" s="1"/>
  <c r="V19" i="4" s="1"/>
  <c r="AB18" i="4"/>
  <c r="W19" i="4" s="1"/>
  <c r="X19" i="4" s="1"/>
  <c r="X24" i="5" l="1"/>
  <c r="S25" i="5" s="1"/>
  <c r="Y25" i="5" s="1"/>
  <c r="AC19" i="4"/>
  <c r="Y19" i="4"/>
  <c r="Z19" i="4" s="1"/>
  <c r="AA19" i="4" s="1"/>
  <c r="U20" i="4" s="1"/>
  <c r="V20" i="4" s="1"/>
  <c r="U25" i="5" l="1"/>
  <c r="V25" i="5" s="1"/>
  <c r="W25" i="5" s="1"/>
  <c r="Q26" i="5" s="1"/>
  <c r="R26" i="5" s="1"/>
  <c r="T25" i="5"/>
  <c r="AB19" i="4"/>
  <c r="W20" i="4" s="1"/>
  <c r="X20" i="4" s="1"/>
  <c r="X25" i="5" l="1"/>
  <c r="S26" i="5" s="1"/>
  <c r="Y26" i="5" s="1"/>
  <c r="Y20" i="4"/>
  <c r="Z20" i="4" s="1"/>
  <c r="AA20" i="4" s="1"/>
  <c r="U21" i="4" s="1"/>
  <c r="V21" i="4" s="1"/>
  <c r="AC20" i="4"/>
  <c r="U26" i="5" l="1"/>
  <c r="V26" i="5" s="1"/>
  <c r="W26" i="5" s="1"/>
  <c r="Q27" i="5" s="1"/>
  <c r="R27" i="5" s="1"/>
  <c r="T26" i="5"/>
  <c r="AB20" i="4"/>
  <c r="W21" i="4" s="1"/>
  <c r="AC21" i="4" s="1"/>
  <c r="X26" i="5" l="1"/>
  <c r="S27" i="5" s="1"/>
  <c r="Y27" i="5" s="1"/>
  <c r="Y21" i="4"/>
  <c r="Z21" i="4" s="1"/>
  <c r="AA21" i="4" s="1"/>
  <c r="U22" i="4" s="1"/>
  <c r="V22" i="4" s="1"/>
  <c r="X21" i="4"/>
  <c r="T27" i="5" l="1"/>
  <c r="U27" i="5"/>
  <c r="V27" i="5" s="1"/>
  <c r="W27" i="5" s="1"/>
  <c r="Q28" i="5" s="1"/>
  <c r="R28" i="5" s="1"/>
  <c r="AB21" i="4"/>
  <c r="W22" i="4" s="1"/>
  <c r="X22" i="4" s="1"/>
  <c r="X27" i="5" l="1"/>
  <c r="S28" i="5" s="1"/>
  <c r="Y28" i="5" s="1"/>
  <c r="Y22" i="4"/>
  <c r="Z22" i="4" s="1"/>
  <c r="AB22" i="4" s="1"/>
  <c r="W23" i="4" s="1"/>
  <c r="AC22" i="4"/>
  <c r="T28" i="5" l="1"/>
  <c r="U28" i="5"/>
  <c r="V28" i="5" s="1"/>
  <c r="W28" i="5" s="1"/>
  <c r="Q29" i="5" s="1"/>
  <c r="R29" i="5" s="1"/>
  <c r="AA22" i="4"/>
  <c r="U23" i="4" s="1"/>
  <c r="V23" i="4" s="1"/>
  <c r="X23" i="4"/>
  <c r="X28" i="5" l="1"/>
  <c r="S29" i="5" s="1"/>
  <c r="Y29" i="5" s="1"/>
  <c r="AC23" i="4"/>
  <c r="Y23" i="4"/>
  <c r="Z23" i="4" s="1"/>
  <c r="AB23" i="4" s="1"/>
  <c r="W24" i="4" s="1"/>
  <c r="U29" i="5" l="1"/>
  <c r="V29" i="5" s="1"/>
  <c r="W29" i="5" s="1"/>
  <c r="Q30" i="5" s="1"/>
  <c r="R30" i="5" s="1"/>
  <c r="T29" i="5"/>
  <c r="AA23" i="4"/>
  <c r="U24" i="4" s="1"/>
  <c r="V24" i="4" s="1"/>
  <c r="X24" i="4"/>
  <c r="X29" i="5" l="1"/>
  <c r="S30" i="5" s="1"/>
  <c r="U30" i="5" s="1"/>
  <c r="V30" i="5" s="1"/>
  <c r="W30" i="5" s="1"/>
  <c r="Q31" i="5" s="1"/>
  <c r="Y24" i="4"/>
  <c r="Z24" i="4" s="1"/>
  <c r="AB24" i="4" s="1"/>
  <c r="W25" i="4" s="1"/>
  <c r="X25" i="4" s="1"/>
  <c r="AC24" i="4"/>
  <c r="T30" i="5" l="1"/>
  <c r="X30" i="5" s="1"/>
  <c r="S31" i="5" s="1"/>
  <c r="T31" i="5" s="1"/>
  <c r="Y30" i="5"/>
  <c r="AA24" i="4"/>
  <c r="U25" i="4" s="1"/>
  <c r="V25" i="4" s="1"/>
  <c r="R31" i="5"/>
  <c r="AC25" i="4" l="1"/>
  <c r="Y25" i="4"/>
  <c r="Z25" i="4" s="1"/>
  <c r="AA25" i="4" s="1"/>
  <c r="U26" i="4" s="1"/>
  <c r="V26" i="4" s="1"/>
  <c r="U31" i="5"/>
  <c r="V31" i="5" s="1"/>
  <c r="X31" i="5" s="1"/>
  <c r="S32" i="5" s="1"/>
  <c r="T32" i="5" s="1"/>
  <c r="Y31" i="5"/>
  <c r="AB25" i="4" l="1"/>
  <c r="W26" i="4" s="1"/>
  <c r="AC26" i="4" s="1"/>
  <c r="W31" i="5"/>
  <c r="Q32" i="5" s="1"/>
  <c r="R32" i="5" s="1"/>
  <c r="X26" i="4" l="1"/>
  <c r="Y26" i="4"/>
  <c r="Z26" i="4" s="1"/>
  <c r="AA26" i="4" s="1"/>
  <c r="U27" i="4" s="1"/>
  <c r="V27" i="4" s="1"/>
  <c r="U32" i="5"/>
  <c r="V32" i="5" s="1"/>
  <c r="X32" i="5" s="1"/>
  <c r="S33" i="5" s="1"/>
  <c r="T33" i="5" s="1"/>
  <c r="Y32" i="5"/>
  <c r="AB26" i="4" l="1"/>
  <c r="W27" i="4" s="1"/>
  <c r="AC27" i="4" s="1"/>
  <c r="W32" i="5"/>
  <c r="Q33" i="5" s="1"/>
  <c r="R33" i="5" s="1"/>
  <c r="X27" i="4" l="1"/>
  <c r="Y27" i="4"/>
  <c r="Z27" i="4" s="1"/>
  <c r="AA27" i="4" s="1"/>
  <c r="U28" i="4" s="1"/>
  <c r="V28" i="4" s="1"/>
  <c r="U33" i="5"/>
  <c r="V33" i="5" s="1"/>
  <c r="W33" i="5" s="1"/>
  <c r="Q34" i="5" s="1"/>
  <c r="R34" i="5" s="1"/>
  <c r="Y33" i="5"/>
  <c r="AB27" i="4" l="1"/>
  <c r="W28" i="4" s="1"/>
  <c r="X28" i="4" s="1"/>
  <c r="X33" i="5"/>
  <c r="S34" i="5" s="1"/>
  <c r="U34" i="5" s="1"/>
  <c r="K19" i="5" s="1"/>
  <c r="K20" i="5" s="1"/>
  <c r="G8" i="5" s="1"/>
  <c r="G9" i="5" s="1"/>
  <c r="G20" i="5" s="1"/>
  <c r="G32" i="5" s="1"/>
  <c r="AC28" i="4" l="1"/>
  <c r="Y28" i="4"/>
  <c r="Z28" i="4" s="1"/>
  <c r="AB28" i="4" s="1"/>
  <c r="W29" i="4" s="1"/>
  <c r="X29" i="4" s="1"/>
  <c r="Y34" i="5"/>
  <c r="V34" i="5"/>
  <c r="W34" i="5" s="1"/>
  <c r="T34" i="5"/>
  <c r="G19" i="5"/>
  <c r="G31" i="5" s="1"/>
  <c r="G12" i="5"/>
  <c r="G17" i="5" s="1"/>
  <c r="G29" i="5" s="1"/>
  <c r="G35" i="5" l="1"/>
  <c r="AA28" i="4"/>
  <c r="U29" i="4" s="1"/>
  <c r="V29" i="4" s="1"/>
  <c r="X34" i="5"/>
  <c r="G23" i="5"/>
  <c r="AC4" i="5" l="1"/>
  <c r="Y29" i="4"/>
  <c r="Z29" i="4" s="1"/>
  <c r="AA29" i="4" s="1"/>
  <c r="U30" i="4" s="1"/>
  <c r="V30" i="4" s="1"/>
  <c r="AC29" i="4"/>
  <c r="AG4" i="5"/>
  <c r="AE4" i="5"/>
  <c r="G24" i="5"/>
  <c r="AB29" i="4" l="1"/>
  <c r="W30" i="4" s="1"/>
  <c r="X30" i="4" s="1"/>
  <c r="AC30" i="4" l="1"/>
  <c r="Y30" i="4"/>
  <c r="Z30" i="4" s="1"/>
  <c r="AB30" i="4" s="1"/>
  <c r="W31" i="4" s="1"/>
  <c r="X31" i="4" s="1"/>
  <c r="AA30" i="4" l="1"/>
  <c r="U31" i="4" s="1"/>
  <c r="AC31" i="4" s="1"/>
  <c r="Y31" i="4" l="1"/>
  <c r="Z31" i="4" s="1"/>
  <c r="AB31" i="4" s="1"/>
  <c r="W32" i="4" s="1"/>
  <c r="X32" i="4" s="1"/>
  <c r="V31" i="4"/>
  <c r="AA31" i="4" l="1"/>
  <c r="U32" i="4" s="1"/>
  <c r="V32" i="4" s="1"/>
  <c r="AC32" i="4" l="1"/>
  <c r="Y32" i="4"/>
  <c r="Z32" i="4" s="1"/>
  <c r="AB32" i="4" s="1"/>
  <c r="W33" i="4" s="1"/>
  <c r="X33" i="4" s="1"/>
  <c r="AA32" i="4" l="1"/>
  <c r="U33" i="4" s="1"/>
  <c r="V33" i="4" s="1"/>
  <c r="AC33" i="4" l="1"/>
  <c r="Y33" i="4"/>
  <c r="Z33" i="4" s="1"/>
  <c r="AA33" i="4" s="1"/>
  <c r="U34" i="4" s="1"/>
  <c r="AB33" i="4" l="1"/>
  <c r="W34" i="4" s="1"/>
  <c r="AC34" i="4" s="1"/>
  <c r="V34" i="4"/>
  <c r="Y34" i="4" l="1"/>
  <c r="K21" i="4" s="1"/>
  <c r="K22" i="4" s="1"/>
  <c r="G8" i="4" s="1"/>
  <c r="G9" i="4" s="1"/>
  <c r="G12" i="4" s="1"/>
  <c r="G16" i="4" s="1"/>
  <c r="X34" i="4"/>
  <c r="Z34" i="4" l="1"/>
  <c r="AB34" i="4" s="1"/>
  <c r="G21" i="4"/>
  <c r="G26" i="4"/>
  <c r="G31" i="4" s="1"/>
  <c r="AA34" i="4" l="1"/>
  <c r="AI4" i="4"/>
  <c r="AG4" i="4"/>
  <c r="AK4" i="4"/>
  <c r="G22" i="4"/>
</calcChain>
</file>

<file path=xl/sharedStrings.xml><?xml version="1.0" encoding="utf-8"?>
<sst xmlns="http://schemas.openxmlformats.org/spreadsheetml/2006/main" count="450" uniqueCount="111">
  <si>
    <t>UAV general parameters</t>
  </si>
  <si>
    <t>uav_config</t>
  </si>
  <si>
    <t>multirotor</t>
  </si>
  <si>
    <t>n_rotors_lift</t>
  </si>
  <si>
    <t>rotor_lift_solidity</t>
  </si>
  <si>
    <t>hover_FM</t>
  </si>
  <si>
    <t>Battery parameters</t>
  </si>
  <si>
    <t>battery_rho</t>
  </si>
  <si>
    <t>battery_eff</t>
  </si>
  <si>
    <t>battery_max_discharge</t>
  </si>
  <si>
    <t>Design parameters</t>
  </si>
  <si>
    <t>r_rotor_lift</t>
  </si>
  <si>
    <t>W_total</t>
  </si>
  <si>
    <t>cruise_speed</t>
  </si>
  <si>
    <t>Wh/kg</t>
  </si>
  <si>
    <t>kg</t>
  </si>
  <si>
    <t>m</t>
  </si>
  <si>
    <t>m/s</t>
  </si>
  <si>
    <t>Mission requirements</t>
  </si>
  <si>
    <t>flight_range</t>
  </si>
  <si>
    <t>hover_time</t>
  </si>
  <si>
    <t>W_payload</t>
  </si>
  <si>
    <t>s</t>
  </si>
  <si>
    <t>power_hover</t>
  </si>
  <si>
    <t>Atmosphere</t>
  </si>
  <si>
    <t>gravitational_accel</t>
  </si>
  <si>
    <t>rho_air</t>
  </si>
  <si>
    <t>W</t>
  </si>
  <si>
    <t>Hover segment modeling</t>
  </si>
  <si>
    <t>thrust_each</t>
  </si>
  <si>
    <t>N</t>
  </si>
  <si>
    <t>Cruise segment modeling</t>
  </si>
  <si>
    <t>Aerodynamics</t>
  </si>
  <si>
    <t>S_body</t>
  </si>
  <si>
    <t>m^2</t>
  </si>
  <si>
    <t>CD_body</t>
  </si>
  <si>
    <t>Trim modeling</t>
  </si>
  <si>
    <t>sin_beta</t>
  </si>
  <si>
    <t>body_drag</t>
  </si>
  <si>
    <t>alpha</t>
  </si>
  <si>
    <t>Rotor performance</t>
  </si>
  <si>
    <t>rad</t>
  </si>
  <si>
    <t>Rotor|mu</t>
  </si>
  <si>
    <t>omega</t>
  </si>
  <si>
    <t>rad/s</t>
  </si>
  <si>
    <t>Ct</t>
  </si>
  <si>
    <t>Profile_power</t>
  </si>
  <si>
    <t>Cd0</t>
  </si>
  <si>
    <t>lambda</t>
  </si>
  <si>
    <t>thrust_all</t>
  </si>
  <si>
    <t>v_induced</t>
  </si>
  <si>
    <t>kappa_raw</t>
  </si>
  <si>
    <t>kappa</t>
  </si>
  <si>
    <t>Softmax</t>
  </si>
  <si>
    <t>rho</t>
  </si>
  <si>
    <t>kappa_min</t>
  </si>
  <si>
    <t>power_fwd_each</t>
  </si>
  <si>
    <t>power_forward</t>
  </si>
  <si>
    <t>Energy modeling</t>
  </si>
  <si>
    <t>energy_cnsmp</t>
  </si>
  <si>
    <t>Wh</t>
  </si>
  <si>
    <t>Iteration</t>
  </si>
  <si>
    <t>sin_beta_guess</t>
  </si>
  <si>
    <t>Iter</t>
  </si>
  <si>
    <t>a</t>
  </si>
  <si>
    <t>b</t>
  </si>
  <si>
    <t>f(a)</t>
  </si>
  <si>
    <t>f(b)</t>
  </si>
  <si>
    <t>c</t>
  </si>
  <si>
    <t>f(c)</t>
  </si>
  <si>
    <t>Error (b-a)</t>
  </si>
  <si>
    <t>f(a)*f(c)</t>
  </si>
  <si>
    <t>f(b)*f(c)</t>
  </si>
  <si>
    <t>Bisection method for solving RotorInflow lambda</t>
  </si>
  <si>
    <t>lift+cruise</t>
  </si>
  <si>
    <t>n_rotors_cruise</t>
  </si>
  <si>
    <t>rotor_cruise_solidity</t>
  </si>
  <si>
    <t>Wing parameters</t>
  </si>
  <si>
    <t>wing_AR</t>
  </si>
  <si>
    <t>wing_e</t>
  </si>
  <si>
    <t>r_rotor_cruise</t>
  </si>
  <si>
    <t>wing_area</t>
  </si>
  <si>
    <t>m/s^2</t>
  </si>
  <si>
    <t>kg/m^3</t>
  </si>
  <si>
    <t>dyn_pressure</t>
  </si>
  <si>
    <t>N/m^2</t>
  </si>
  <si>
    <t>lift</t>
  </si>
  <si>
    <t>CL_cruise</t>
  </si>
  <si>
    <t>CD</t>
  </si>
  <si>
    <t>drag</t>
  </si>
  <si>
    <t>Rotor|J</t>
  </si>
  <si>
    <t>mu</t>
  </si>
  <si>
    <t>Weights modeling</t>
  </si>
  <si>
    <t>W_battery</t>
  </si>
  <si>
    <t>W_rotors</t>
  </si>
  <si>
    <t>W_motors</t>
  </si>
  <si>
    <t>W_ESCs</t>
  </si>
  <si>
    <t>power_overhead_factor</t>
  </si>
  <si>
    <t>W_frame</t>
  </si>
  <si>
    <t>W_residual</t>
  </si>
  <si>
    <t>Acceptable?</t>
  </si>
  <si>
    <t>Energy and time</t>
  </si>
  <si>
    <t>flight_time</t>
  </si>
  <si>
    <t>W_wing</t>
  </si>
  <si>
    <t>Iteration to converge the value of sin_beta</t>
  </si>
  <si>
    <t>Bisection method for solving W_rotor</t>
  </si>
  <si>
    <t>Weight percentages</t>
  </si>
  <si>
    <t>%</t>
  </si>
  <si>
    <t>Total</t>
  </si>
  <si>
    <t>Bisection method for solving W_total</t>
  </si>
  <si>
    <t>!!! Press F9 to recalculate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</si>
</sst>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</a:t>
            </a:r>
            <a:r>
              <a:rPr lang="en-US" baseline="0"/>
              <a:t>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57-AE42-B151-EA2682FABCD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257-AE42-B151-EA2682FABCD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257-AE42-B151-EA2682FABCD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257-AE42-B151-EA2682FABCD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257-AE42-B151-EA2682FABCD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57-AE42-B151-EA2682FABC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 - Multirotor'!$F$25:$F$30</c:f>
              <c:strCache>
                <c:ptCount val="6"/>
                <c:pt idx="0">
                  <c:v>W_payload</c:v>
                </c:pt>
                <c:pt idx="1">
                  <c:v>W_battery</c:v>
                </c:pt>
                <c:pt idx="2">
                  <c:v>W_rotors</c:v>
                </c:pt>
                <c:pt idx="3">
                  <c:v>W_motors</c:v>
                </c:pt>
                <c:pt idx="4">
                  <c:v>W_ESCs</c:v>
                </c:pt>
                <c:pt idx="5">
                  <c:v>W_frame</c:v>
                </c:pt>
              </c:strCache>
            </c:strRef>
          </c:cat>
          <c:val>
            <c:numRef>
              <c:f>'M - Multirotor'!$G$25:$G$30</c:f>
              <c:numCache>
                <c:formatCode>General</c:formatCode>
                <c:ptCount val="6"/>
                <c:pt idx="0">
                  <c:v>51.01</c:v>
                </c:pt>
                <c:pt idx="1">
                  <c:v>7.23</c:v>
                </c:pt>
                <c:pt idx="2">
                  <c:v>3.89</c:v>
                </c:pt>
                <c:pt idx="3">
                  <c:v>2.1</c:v>
                </c:pt>
                <c:pt idx="4">
                  <c:v>3.02</c:v>
                </c:pt>
                <c:pt idx="5">
                  <c:v>32.75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B-4640-8266-E1EE8F305D9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99-4F42-9AB8-21952AF83C3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99-4F42-9AB8-21952AF83C3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99-4F42-9AB8-21952AF83C3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99-4F42-9AB8-21952AF83C3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99-4F42-9AB8-21952AF83C3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B99-4F42-9AB8-21952AF83C3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B99-4F42-9AB8-21952AF83C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 - Lift+Cruise'!$F$28:$F$34</c:f>
              <c:strCache>
                <c:ptCount val="7"/>
                <c:pt idx="0">
                  <c:v>W_payload</c:v>
                </c:pt>
                <c:pt idx="1">
                  <c:v>W_battery</c:v>
                </c:pt>
                <c:pt idx="2">
                  <c:v>W_rotors</c:v>
                </c:pt>
                <c:pt idx="3">
                  <c:v>W_motors</c:v>
                </c:pt>
                <c:pt idx="4">
                  <c:v>W_ESCs</c:v>
                </c:pt>
                <c:pt idx="5">
                  <c:v>W_frame</c:v>
                </c:pt>
                <c:pt idx="6">
                  <c:v>W_wing</c:v>
                </c:pt>
              </c:strCache>
            </c:strRef>
          </c:cat>
          <c:val>
            <c:numRef>
              <c:f>'M - Lift+Cruise'!$G$28:$G$34</c:f>
              <c:numCache>
                <c:formatCode>General</c:formatCode>
                <c:ptCount val="7"/>
                <c:pt idx="0">
                  <c:v>45.46</c:v>
                </c:pt>
                <c:pt idx="1">
                  <c:v>6.05</c:v>
                </c:pt>
                <c:pt idx="2">
                  <c:v>3.41</c:v>
                </c:pt>
                <c:pt idx="3">
                  <c:v>3.6</c:v>
                </c:pt>
                <c:pt idx="4">
                  <c:v>5.16</c:v>
                </c:pt>
                <c:pt idx="5">
                  <c:v>31.36</c:v>
                </c:pt>
                <c:pt idx="6">
                  <c:v>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B-5C4B-A460-D38C6AA117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53373058097464"/>
          <c:y val="0.22106753482737734"/>
          <c:w val="0.30782662977938569"/>
          <c:h val="0.697720321017565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387350</xdr:colOff>
      <xdr:row>15</xdr:row>
      <xdr:rowOff>50800</xdr:rowOff>
    </xdr:from>
    <xdr:to>
      <xdr:col>17</xdr:col>
      <xdr:colOff>101600</xdr:colOff>
      <xdr:row>28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351726-7142-B5B5-0C74-9789963CD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260350</xdr:colOff>
      <xdr:row>24</xdr:row>
      <xdr:rowOff>139700</xdr:rowOff>
    </xdr:from>
    <xdr:to>
      <xdr:col>14</xdr:col>
      <xdr:colOff>38100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EBA5DE-CFD9-D900-D35F-DE9AE0BAC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804F-8194-CE41-ADEB-034ECB7573B7}">
  <dimension ref="B1:AN36"/>
  <sheetViews>
    <sheetView workbookViewId="0">
      <selection activeCell="C24" sqref="C24"/>
    </sheetView>
  </sheetViews>
  <sheetFormatPr baseColWidth="10" defaultRowHeight="16" x14ac:dyDescent="0.2"/>
  <cols>
    <col min="1" max="1" width="3.6640625" customWidth="1"/>
    <col min="2" max="2" width="20" customWidth="1"/>
    <col min="3" max="3" width="9" customWidth="1"/>
    <col min="4" max="4" width="6.6640625" customWidth="1"/>
    <col min="5" max="5" width="3.83203125" customWidth="1"/>
    <col min="6" max="6" width="14.33203125" customWidth="1"/>
    <col min="8" max="8" width="3.83203125" customWidth="1"/>
    <col min="9" max="9" width="3.5" customWidth="1"/>
    <col min="10" max="10" width="13.1640625" customWidth="1"/>
    <col min="12" max="12" width="5" customWidth="1"/>
    <col min="13" max="13" width="3.6640625" customWidth="1"/>
    <col min="15" max="15" width="11.5" customWidth="1"/>
    <col min="19" max="19" width="3.5" customWidth="1"/>
    <col min="20" max="20" width="5.33203125" customWidth="1"/>
    <col min="21" max="21" width="6.5" customWidth="1"/>
    <col min="22" max="22" width="6.6640625" customWidth="1"/>
    <col min="23" max="23" width="6.33203125" customWidth="1"/>
    <col min="24" max="24" width="6.83203125" customWidth="1"/>
    <col min="25" max="25" width="15.1640625" customWidth="1"/>
    <col min="26" max="26" width="7.5" customWidth="1"/>
    <col min="27" max="27" width="8.83203125" customWidth="1"/>
    <col min="28" max="28" width="9.33203125" customWidth="1"/>
    <col min="29" max="29" width="12.1640625" bestFit="1" customWidth="1"/>
    <col min="33" max="33" width="12.1640625" bestFit="1" customWidth="1"/>
    <col min="35" max="35" width="12.1640625" bestFit="1" customWidth="1"/>
    <col min="37" max="37" width="12.1640625" bestFit="1" customWidth="1"/>
    <col min="42" max="42" width="18.6640625" customWidth="1"/>
  </cols>
  <sheetData>
    <row r="1" spans="2:40" x14ac:dyDescent="0.2">
      <c r="B1" s="14" t="s">
        <v>110</v>
      </c>
      <c r="C1" s="14"/>
      <c r="D1" s="14"/>
    </row>
    <row r="2" spans="2:40" x14ac:dyDescent="0.2">
      <c r="T2" s="1" t="s">
        <v>73</v>
      </c>
      <c r="AE2" s="1" t="s">
        <v>105</v>
      </c>
    </row>
    <row r="3" spans="2:40" x14ac:dyDescent="0.2">
      <c r="B3" s="16" t="s">
        <v>0</v>
      </c>
      <c r="C3" s="17"/>
      <c r="D3" s="17"/>
      <c r="F3" s="16" t="s">
        <v>28</v>
      </c>
      <c r="G3" s="17"/>
      <c r="H3" s="17"/>
      <c r="J3" s="15" t="s">
        <v>32</v>
      </c>
      <c r="K3" s="15"/>
      <c r="L3" s="15"/>
      <c r="M3" s="4"/>
      <c r="N3" s="18" t="s">
        <v>104</v>
      </c>
      <c r="O3" s="18"/>
      <c r="P3" s="18"/>
      <c r="Q3" s="18"/>
      <c r="R3" s="18"/>
      <c r="T3" s="7" t="s">
        <v>63</v>
      </c>
      <c r="U3" s="7" t="s">
        <v>64</v>
      </c>
      <c r="V3" s="7" t="s">
        <v>66</v>
      </c>
      <c r="W3" s="7" t="s">
        <v>65</v>
      </c>
      <c r="X3" s="7" t="s">
        <v>67</v>
      </c>
      <c r="Y3" s="7" t="s">
        <v>68</v>
      </c>
      <c r="Z3" s="7" t="s">
        <v>69</v>
      </c>
      <c r="AA3" s="7" t="s">
        <v>71</v>
      </c>
      <c r="AB3" s="7" t="s">
        <v>72</v>
      </c>
      <c r="AC3" s="7" t="s">
        <v>70</v>
      </c>
      <c r="AE3" s="7" t="s">
        <v>63</v>
      </c>
      <c r="AF3" s="7" t="s">
        <v>64</v>
      </c>
      <c r="AG3" s="7" t="s">
        <v>66</v>
      </c>
      <c r="AH3" s="7" t="s">
        <v>65</v>
      </c>
      <c r="AI3" s="7" t="s">
        <v>67</v>
      </c>
      <c r="AJ3" s="7" t="s">
        <v>68</v>
      </c>
      <c r="AK3" s="7" t="s">
        <v>69</v>
      </c>
      <c r="AL3" s="7" t="s">
        <v>71</v>
      </c>
      <c r="AM3" s="7" t="s">
        <v>72</v>
      </c>
      <c r="AN3" s="7" t="s">
        <v>70</v>
      </c>
    </row>
    <row r="4" spans="2:40" x14ac:dyDescent="0.2">
      <c r="B4" t="s">
        <v>1</v>
      </c>
      <c r="C4" s="2" t="s">
        <v>2</v>
      </c>
      <c r="F4" t="s">
        <v>23</v>
      </c>
      <c r="G4">
        <f xml:space="preserve"> 1/$C$7 * SQRT( (C16*C28)^3 / (2*C27*PI()*C17^2*C5) )</f>
        <v>219.54084168548053</v>
      </c>
      <c r="H4" t="s">
        <v>27</v>
      </c>
      <c r="J4" t="s">
        <v>33</v>
      </c>
      <c r="K4">
        <f>1.682*$C$17^2</f>
        <v>7.6455398977124625E-2</v>
      </c>
      <c r="L4" t="s">
        <v>34</v>
      </c>
      <c r="N4">
        <f>$K$4</f>
        <v>7.6455398977124625E-2</v>
      </c>
      <c r="O4">
        <f>$K$4</f>
        <v>7.6455398977124625E-2</v>
      </c>
      <c r="P4">
        <f>$K$4</f>
        <v>7.6455398977124625E-2</v>
      </c>
      <c r="Q4">
        <f>$K$4</f>
        <v>7.6455398977124625E-2</v>
      </c>
      <c r="R4">
        <f>$K$4</f>
        <v>7.6455398977124625E-2</v>
      </c>
      <c r="T4" s="8">
        <v>0</v>
      </c>
      <c r="U4" s="12">
        <v>0</v>
      </c>
      <c r="V4" s="8">
        <f t="shared" ref="V4:V34" si="0" xml:space="preserve"> $C$19 * TAN($K$11) + $K$18 / (2 * SQRT( $C$19^2 + U4^2 )) - U4</f>
        <v>5.8482027657083421E-2</v>
      </c>
      <c r="W4" s="12">
        <v>1</v>
      </c>
      <c r="X4" s="8">
        <f t="shared" ref="X4:X34" si="1" xml:space="preserve"> $C$19 * TAN($K$11) + $K$18 / (2 * SQRT( $C$19^2 + W4^2 )) - W4</f>
        <v>-0.95864229040230808</v>
      </c>
      <c r="Y4" s="8">
        <f>(U4+W4)/2</f>
        <v>0.5</v>
      </c>
      <c r="Z4" s="8">
        <f t="shared" ref="Z4:Z34" si="2" xml:space="preserve"> $C$19 * TAN($K$11) + $K$18 / (2 * SQRT( $C$19^2 + Y4^2 )) - Y4</f>
        <v>-0.45236724001563078</v>
      </c>
      <c r="AA4" s="8">
        <f>V4*Z4</f>
        <v>-2.6455353441752615E-2</v>
      </c>
      <c r="AB4" s="8">
        <f>X4*Z4</f>
        <v>0.43365836707155492</v>
      </c>
      <c r="AC4" s="8">
        <f>W4-U4</f>
        <v>1</v>
      </c>
      <c r="AE4" s="8">
        <v>0</v>
      </c>
      <c r="AF4" s="8"/>
      <c r="AG4" s="8">
        <f>G21</f>
        <v>2.7854261119841794E-9</v>
      </c>
      <c r="AH4" s="8"/>
      <c r="AI4" s="8">
        <f>G21</f>
        <v>2.7854261119841794E-9</v>
      </c>
      <c r="AJ4" s="8"/>
      <c r="AK4" s="8">
        <f>G21</f>
        <v>2.7854261119841794E-9</v>
      </c>
      <c r="AL4" s="8"/>
      <c r="AM4" s="8"/>
      <c r="AN4" s="8"/>
    </row>
    <row r="5" spans="2:40" x14ac:dyDescent="0.2">
      <c r="B5" t="s">
        <v>3</v>
      </c>
      <c r="C5" s="2">
        <v>6</v>
      </c>
      <c r="F5" t="s">
        <v>29</v>
      </c>
      <c r="G5">
        <f>C16*C28/C5</f>
        <v>6.4108596147922805</v>
      </c>
      <c r="H5" t="s">
        <v>30</v>
      </c>
      <c r="J5" t="s">
        <v>35</v>
      </c>
      <c r="K5">
        <f>R5</f>
        <v>0.29745573150485816</v>
      </c>
      <c r="N5">
        <f>0.1+0.2*K12^3</f>
        <v>0.30000000000000004</v>
      </c>
      <c r="O5">
        <f>0.1+0.2*N10^3</f>
        <v>0.29741249260292157</v>
      </c>
      <c r="P5">
        <f>0.1+0.2*O10^3</f>
        <v>0.29745646307056262</v>
      </c>
      <c r="Q5">
        <f>0.1+0.2*P10^3</f>
        <v>0.29745571890972533</v>
      </c>
      <c r="R5">
        <f>0.1+0.2*Q10^3</f>
        <v>0.29745573150485816</v>
      </c>
      <c r="T5" s="8">
        <v>1</v>
      </c>
      <c r="U5" s="8">
        <f>IF(AA4&gt;0, Y4, U4)</f>
        <v>0</v>
      </c>
      <c r="V5" s="8">
        <f t="shared" si="0"/>
        <v>5.8482027657083421E-2</v>
      </c>
      <c r="W5" s="8">
        <f>IF(AB4&gt;0, Y4, W4)</f>
        <v>0.5</v>
      </c>
      <c r="X5" s="8">
        <f t="shared" si="1"/>
        <v>-0.45236724001563078</v>
      </c>
      <c r="Y5" s="8">
        <f>(U5+W5)/2</f>
        <v>0.25</v>
      </c>
      <c r="Z5" s="8">
        <f t="shared" si="2"/>
        <v>-0.19622465175917933</v>
      </c>
      <c r="AA5" s="8">
        <f>V5*Z5</f>
        <v>-1.1475615511181888E-2</v>
      </c>
      <c r="AB5" s="8">
        <f>X5*Z5</f>
        <v>8.8765604139328241E-2</v>
      </c>
      <c r="AC5" s="8">
        <f>W5-U5</f>
        <v>0.5</v>
      </c>
      <c r="AE5" s="8">
        <v>1</v>
      </c>
      <c r="AF5" s="12">
        <v>1</v>
      </c>
      <c r="AG5" s="8">
        <f t="dataTable" ref="AG5:AG34" dt2D="0" dtr="0" r1="C16" ca="1"/>
        <v>-1.9733483031849701</v>
      </c>
      <c r="AH5" s="12">
        <v>30</v>
      </c>
      <c r="AI5" s="8">
        <f t="dataTable" ref="AI5:AI34" dt2D="0" dtr="0" r1="C16"/>
        <v>10.896510031165796</v>
      </c>
      <c r="AJ5" s="8">
        <f>(AF5+AH5)/2</f>
        <v>15.5</v>
      </c>
      <c r="AK5" s="8">
        <f t="dataTable" ref="AK5:AK34" dt2D="0" dtr="0" r1="C16" ca="1"/>
        <v>6.0635821996253956</v>
      </c>
      <c r="AL5" s="8">
        <f>AG5*AK5</f>
        <v>-11.965559644853363</v>
      </c>
      <c r="AM5" s="8">
        <f>AI5*AK5</f>
        <v>66.071884263016486</v>
      </c>
      <c r="AN5" s="8">
        <f>AH5-AF5</f>
        <v>29</v>
      </c>
    </row>
    <row r="6" spans="2:40" x14ac:dyDescent="0.2">
      <c r="B6" t="s">
        <v>4</v>
      </c>
      <c r="C6" s="2">
        <v>0.13</v>
      </c>
      <c r="J6" t="s">
        <v>38</v>
      </c>
      <c r="K6">
        <f>R6</f>
        <v>3.5612652808424494</v>
      </c>
      <c r="L6" t="s">
        <v>30</v>
      </c>
      <c r="N6">
        <f>0.5 * $C$27 * $C$18^2 * N4 * N5</f>
        <v>3.5917263346975909</v>
      </c>
      <c r="O6">
        <f>0.5 * $C$27 * $C$18^2 * O4 * O5</f>
        <v>3.560747606499886</v>
      </c>
      <c r="P6">
        <f>0.5 * $C$27 * $C$18^2 * P4 * P5</f>
        <v>3.561274039455137</v>
      </c>
      <c r="Q6">
        <f>0.5 * $C$27 * $C$18^2 * Q4 * Q5</f>
        <v>3.561265130048215</v>
      </c>
      <c r="R6">
        <f>0.5 * $C$27 * $C$18^2 * R4 * R5</f>
        <v>3.5612652808424494</v>
      </c>
      <c r="T6" s="8">
        <v>2</v>
      </c>
      <c r="U6" s="8">
        <f t="shared" ref="U6:U34" si="3">IF(AA5&gt;0, Y5, U5)</f>
        <v>0</v>
      </c>
      <c r="V6" s="8">
        <f t="shared" si="0"/>
        <v>5.8482027657083421E-2</v>
      </c>
      <c r="W6" s="8">
        <f t="shared" ref="W6:W34" si="4">IF(AB5&gt;0, Y5, W5)</f>
        <v>0.25</v>
      </c>
      <c r="X6" s="8">
        <f t="shared" si="1"/>
        <v>-0.19622465175917933</v>
      </c>
      <c r="Y6" s="8">
        <f t="shared" ref="Y6:Y34" si="5">(U6+W6)/2</f>
        <v>0.125</v>
      </c>
      <c r="Z6" s="8">
        <f t="shared" si="2"/>
        <v>-6.7984145549873115E-2</v>
      </c>
      <c r="AA6" s="8">
        <f t="shared" ref="AA6:AA34" si="6">V6*Z6</f>
        <v>-3.975850680290864E-3</v>
      </c>
      <c r="AB6" s="8">
        <f t="shared" ref="AB6:AB34" si="7">X6*Z6</f>
        <v>1.3340165285669213E-2</v>
      </c>
      <c r="AC6" s="8">
        <f t="shared" ref="AC6:AC34" si="8">W6-U6</f>
        <v>0.25</v>
      </c>
      <c r="AE6" s="8">
        <v>2</v>
      </c>
      <c r="AF6" s="8">
        <f>IF(AL5&gt;0, AJ5, AF5)</f>
        <v>1</v>
      </c>
      <c r="AG6" s="8">
        <v>-1.9733483031849701</v>
      </c>
      <c r="AH6" s="8">
        <f xml:space="preserve"> IF(AM5&gt;0, AJ5, AH5)</f>
        <v>15.5</v>
      </c>
      <c r="AI6" s="8">
        <v>6.0635821996253956</v>
      </c>
      <c r="AJ6" s="8">
        <f t="shared" ref="AJ6:AJ34" si="9">(AF6+AH6)/2</f>
        <v>8.25</v>
      </c>
      <c r="AK6" s="8">
        <v>2.5523022112583016</v>
      </c>
      <c r="AL6" s="8">
        <f t="shared" ref="AL6:AL34" si="10">AG6*AK6</f>
        <v>-5.0365812378018164</v>
      </c>
      <c r="AM6" s="8">
        <f t="shared" ref="AM6:AM34" si="11">AI6*AK6</f>
        <v>15.476094256250374</v>
      </c>
      <c r="AN6" s="8">
        <f t="shared" ref="AN6:AN34" si="12">AH6-AF6</f>
        <v>14.5</v>
      </c>
    </row>
    <row r="7" spans="2:40" x14ac:dyDescent="0.2">
      <c r="B7" t="s">
        <v>5</v>
      </c>
      <c r="C7" s="2">
        <v>0.75</v>
      </c>
      <c r="F7" s="16" t="s">
        <v>31</v>
      </c>
      <c r="G7" s="17"/>
      <c r="H7" s="17"/>
      <c r="T7" s="8">
        <v>3</v>
      </c>
      <c r="U7" s="8">
        <f t="shared" si="3"/>
        <v>0</v>
      </c>
      <c r="V7" s="8">
        <f t="shared" si="0"/>
        <v>5.8482027657083421E-2</v>
      </c>
      <c r="W7" s="8">
        <f t="shared" si="4"/>
        <v>0.125</v>
      </c>
      <c r="X7" s="8">
        <f t="shared" si="1"/>
        <v>-6.7984145549873115E-2</v>
      </c>
      <c r="Y7" s="8">
        <f t="shared" si="5"/>
        <v>6.25E-2</v>
      </c>
      <c r="Z7" s="8">
        <f t="shared" si="2"/>
        <v>-4.4093241016737728E-3</v>
      </c>
      <c r="AA7" s="8">
        <f t="shared" si="6"/>
        <v>-2.5786621406313011E-4</v>
      </c>
      <c r="AB7" s="8">
        <f t="shared" si="7"/>
        <v>2.9976413150475327E-4</v>
      </c>
      <c r="AC7" s="8">
        <f t="shared" si="8"/>
        <v>0.125</v>
      </c>
      <c r="AE7" s="8">
        <v>3</v>
      </c>
      <c r="AF7" s="8">
        <f t="shared" ref="AF7:AF34" si="13">IF(AL6&gt;0, AJ6, AF6)</f>
        <v>1</v>
      </c>
      <c r="AG7" s="8">
        <v>-1.9733483031849701</v>
      </c>
      <c r="AH7" s="8">
        <f t="shared" ref="AH7:AH34" si="14" xml:space="preserve"> IF(AM6&gt;0, AJ6, AH6)</f>
        <v>8.25</v>
      </c>
      <c r="AI7" s="8">
        <v>2.5523022112583016</v>
      </c>
      <c r="AJ7" s="8">
        <f t="shared" si="9"/>
        <v>4.625</v>
      </c>
      <c r="AK7" s="8">
        <v>0.44277512789936058</v>
      </c>
      <c r="AL7" s="8">
        <f t="shared" si="10"/>
        <v>-0.87374954733271126</v>
      </c>
      <c r="AM7" s="8">
        <f t="shared" si="11"/>
        <v>1.1300959380277154</v>
      </c>
      <c r="AN7" s="8">
        <f t="shared" si="12"/>
        <v>7.25</v>
      </c>
    </row>
    <row r="8" spans="2:40" x14ac:dyDescent="0.2">
      <c r="F8" s="3" t="s">
        <v>56</v>
      </c>
      <c r="G8">
        <f xml:space="preserve"> K20 + K16 * (K25*K22 + $C$18 * SIN(K11))</f>
        <v>23.036141063749866</v>
      </c>
      <c r="H8" t="s">
        <v>27</v>
      </c>
      <c r="J8" s="16" t="s">
        <v>36</v>
      </c>
      <c r="K8" s="16"/>
      <c r="L8" s="16"/>
      <c r="M8" s="1"/>
      <c r="T8" s="8">
        <v>4</v>
      </c>
      <c r="U8" s="8">
        <f t="shared" si="3"/>
        <v>0</v>
      </c>
      <c r="V8" s="8">
        <f t="shared" si="0"/>
        <v>5.8482027657083421E-2</v>
      </c>
      <c r="W8" s="8">
        <f t="shared" si="4"/>
        <v>6.25E-2</v>
      </c>
      <c r="X8" s="8">
        <f t="shared" si="1"/>
        <v>-4.4093241016737728E-3</v>
      </c>
      <c r="Y8" s="8">
        <f t="shared" si="5"/>
        <v>3.125E-2</v>
      </c>
      <c r="Z8" s="8">
        <f t="shared" si="2"/>
        <v>2.7132490138843481E-2</v>
      </c>
      <c r="AA8" s="8">
        <f t="shared" si="6"/>
        <v>1.5867630387053876E-3</v>
      </c>
      <c r="AB8" s="8">
        <f t="shared" si="7"/>
        <v>-1.1963594270762853E-4</v>
      </c>
      <c r="AC8" s="8">
        <f t="shared" si="8"/>
        <v>6.25E-2</v>
      </c>
      <c r="AE8" s="8">
        <v>4</v>
      </c>
      <c r="AF8" s="8">
        <f t="shared" si="13"/>
        <v>1</v>
      </c>
      <c r="AG8" s="8">
        <v>-1.9733483031849701</v>
      </c>
      <c r="AH8" s="8">
        <f t="shared" si="14"/>
        <v>4.625</v>
      </c>
      <c r="AI8" s="8">
        <v>0.44277512789936058</v>
      </c>
      <c r="AJ8" s="8">
        <f t="shared" si="9"/>
        <v>2.8125</v>
      </c>
      <c r="AK8" s="8">
        <v>-0.72258738306907855</v>
      </c>
      <c r="AL8" s="8">
        <f t="shared" si="10"/>
        <v>1.4259165862822341</v>
      </c>
      <c r="AM8" s="8">
        <f t="shared" si="11"/>
        <v>-0.31994372095687551</v>
      </c>
      <c r="AN8" s="8">
        <f t="shared" si="12"/>
        <v>3.625</v>
      </c>
    </row>
    <row r="9" spans="2:40" x14ac:dyDescent="0.2">
      <c r="B9" s="15" t="s">
        <v>6</v>
      </c>
      <c r="C9" s="15"/>
      <c r="D9" s="15"/>
      <c r="F9" s="3" t="s">
        <v>57</v>
      </c>
      <c r="G9">
        <f xml:space="preserve"> $C$5 * G8</f>
        <v>138.2168463824992</v>
      </c>
      <c r="H9" t="s">
        <v>27</v>
      </c>
      <c r="J9" t="s">
        <v>49</v>
      </c>
      <c r="K9">
        <f>R9</f>
        <v>38.629664332235926</v>
      </c>
      <c r="L9" t="s">
        <v>30</v>
      </c>
      <c r="N9">
        <f>SQRT( ($C$16*$C$28)^2 + N6^2 )</f>
        <v>38.632484440999221</v>
      </c>
      <c r="O9">
        <f>SQRT( ($C$16*$C$28)^2 + O6^2 )</f>
        <v>38.629616611324025</v>
      </c>
      <c r="P9">
        <f>SQRT( ($C$16*$C$28)^2 + P6^2 )</f>
        <v>38.629665139692626</v>
      </c>
      <c r="Q9">
        <f>SQRT( ($C$16*$C$28)^2 + Q6^2 )</f>
        <v>38.629664318334221</v>
      </c>
      <c r="R9">
        <f>SQRT( ($C$16*$C$28)^2 + R6^2 )</f>
        <v>38.629664332235926</v>
      </c>
      <c r="T9" s="8">
        <v>5</v>
      </c>
      <c r="U9" s="8">
        <f t="shared" si="3"/>
        <v>3.125E-2</v>
      </c>
      <c r="V9" s="8">
        <f t="shared" si="0"/>
        <v>2.7132490138843481E-2</v>
      </c>
      <c r="W9" s="8">
        <f t="shared" si="4"/>
        <v>6.25E-2</v>
      </c>
      <c r="X9" s="8">
        <f t="shared" si="1"/>
        <v>-4.4093241016737728E-3</v>
      </c>
      <c r="Y9" s="8">
        <f t="shared" si="5"/>
        <v>4.6875E-2</v>
      </c>
      <c r="Z9" s="8">
        <f t="shared" si="2"/>
        <v>1.1384679396798963E-2</v>
      </c>
      <c r="AA9" s="8">
        <f t="shared" si="6"/>
        <v>3.0889470146754241E-4</v>
      </c>
      <c r="AB9" s="8">
        <f t="shared" si="7"/>
        <v>-5.0198741254134499E-5</v>
      </c>
      <c r="AC9" s="8">
        <f t="shared" si="8"/>
        <v>3.125E-2</v>
      </c>
      <c r="AE9" s="8">
        <v>5</v>
      </c>
      <c r="AF9" s="8">
        <f t="shared" si="13"/>
        <v>2.8125</v>
      </c>
      <c r="AG9" s="8">
        <v>-0.72258738306907855</v>
      </c>
      <c r="AH9" s="8">
        <f t="shared" si="14"/>
        <v>4.625</v>
      </c>
      <c r="AI9" s="8">
        <v>0.44277512789936058</v>
      </c>
      <c r="AJ9" s="8">
        <f t="shared" si="9"/>
        <v>3.71875</v>
      </c>
      <c r="AK9" s="8">
        <v>-0.12947496284495363</v>
      </c>
      <c r="AL9" s="8">
        <f t="shared" si="10"/>
        <v>9.3556974575101218E-2</v>
      </c>
      <c r="AM9" s="8">
        <f t="shared" si="11"/>
        <v>-5.7328293233439305E-2</v>
      </c>
      <c r="AN9" s="8">
        <f t="shared" si="12"/>
        <v>1.8125</v>
      </c>
    </row>
    <row r="10" spans="2:40" x14ac:dyDescent="0.2">
      <c r="B10" t="s">
        <v>7</v>
      </c>
      <c r="C10" s="2">
        <v>158</v>
      </c>
      <c r="D10" t="s">
        <v>14</v>
      </c>
      <c r="J10" t="s">
        <v>37</v>
      </c>
      <c r="K10">
        <f>R10</f>
        <v>0.995741442584968</v>
      </c>
      <c r="N10">
        <f xml:space="preserve"> $C$16 * $C$28 / N9</f>
        <v>0.99566875507317987</v>
      </c>
      <c r="O10">
        <f xml:space="preserve"> $C$16 * $C$28 / O9</f>
        <v>0.99574267266939098</v>
      </c>
      <c r="P10">
        <f xml:space="preserve"> $C$16 * $C$28 / P9</f>
        <v>0.99574142177147928</v>
      </c>
      <c r="Q10">
        <f xml:space="preserve"> $C$16 * $C$28 / Q9</f>
        <v>0.99574144294330669</v>
      </c>
      <c r="R10">
        <f xml:space="preserve"> $C$16 * $C$28 / R9</f>
        <v>0.995741442584968</v>
      </c>
      <c r="T10" s="8">
        <v>6</v>
      </c>
      <c r="U10" s="8">
        <f t="shared" si="3"/>
        <v>4.6875E-2</v>
      </c>
      <c r="V10" s="8">
        <f t="shared" si="0"/>
        <v>1.1384679396798963E-2</v>
      </c>
      <c r="W10" s="8">
        <f t="shared" si="4"/>
        <v>6.25E-2</v>
      </c>
      <c r="X10" s="8">
        <f t="shared" si="1"/>
        <v>-4.4093241016737728E-3</v>
      </c>
      <c r="Y10" s="8">
        <f t="shared" si="5"/>
        <v>5.46875E-2</v>
      </c>
      <c r="Z10" s="8">
        <f t="shared" si="2"/>
        <v>3.4932937176988671E-3</v>
      </c>
      <c r="AA10" s="8">
        <f t="shared" si="6"/>
        <v>3.9770029014853549E-5</v>
      </c>
      <c r="AB10" s="8">
        <f t="shared" si="7"/>
        <v>-1.5403064183675191E-5</v>
      </c>
      <c r="AC10" s="8">
        <f t="shared" si="8"/>
        <v>1.5625E-2</v>
      </c>
      <c r="AE10" s="8">
        <v>6</v>
      </c>
      <c r="AF10" s="8">
        <f t="shared" si="13"/>
        <v>3.71875</v>
      </c>
      <c r="AG10" s="8">
        <v>-0.12947496284495363</v>
      </c>
      <c r="AH10" s="8">
        <f t="shared" si="14"/>
        <v>4.625</v>
      </c>
      <c r="AI10" s="8">
        <v>0.44277512789936058</v>
      </c>
      <c r="AJ10" s="8">
        <f t="shared" si="9"/>
        <v>4.171875</v>
      </c>
      <c r="AK10" s="8">
        <v>0.15915752461541821</v>
      </c>
      <c r="AL10" s="8">
        <f t="shared" si="10"/>
        <v>-2.0606914586076067E-2</v>
      </c>
      <c r="AM10" s="8">
        <f t="shared" si="11"/>
        <v>7.0470993317737429E-2</v>
      </c>
      <c r="AN10" s="8">
        <f t="shared" si="12"/>
        <v>0.90625</v>
      </c>
    </row>
    <row r="11" spans="2:40" x14ac:dyDescent="0.2">
      <c r="B11" t="s">
        <v>8</v>
      </c>
      <c r="C11" s="2">
        <v>0.85</v>
      </c>
      <c r="F11" s="16" t="s">
        <v>101</v>
      </c>
      <c r="G11" s="17"/>
      <c r="H11" s="17"/>
      <c r="J11" t="s">
        <v>39</v>
      </c>
      <c r="K11">
        <f>R11</f>
        <v>9.2320998738856019E-2</v>
      </c>
      <c r="L11" t="s">
        <v>41</v>
      </c>
      <c r="N11">
        <f xml:space="preserve"> ACOS(N10)</f>
        <v>9.3106123932418239E-2</v>
      </c>
      <c r="O11">
        <f xml:space="preserve"> ACOS(O10)</f>
        <v>9.2307654837415987E-2</v>
      </c>
      <c r="P11">
        <f xml:space="preserve"> ACOS(P10)</f>
        <v>9.2321224506115351E-2</v>
      </c>
      <c r="Q11">
        <f xml:space="preserve"> ACOS(Q10)</f>
        <v>9.2320994851893712E-2</v>
      </c>
      <c r="R11">
        <f xml:space="preserve"> ACOS(R10)</f>
        <v>9.2320998738856019E-2</v>
      </c>
      <c r="T11" s="8">
        <v>7</v>
      </c>
      <c r="U11" s="8">
        <f t="shared" si="3"/>
        <v>5.46875E-2</v>
      </c>
      <c r="V11" s="8">
        <f t="shared" si="0"/>
        <v>3.4932937176988671E-3</v>
      </c>
      <c r="W11" s="8">
        <f t="shared" si="4"/>
        <v>6.25E-2</v>
      </c>
      <c r="X11" s="8">
        <f t="shared" si="1"/>
        <v>-4.4093241016737728E-3</v>
      </c>
      <c r="Y11" s="8">
        <f t="shared" si="5"/>
        <v>5.859375E-2</v>
      </c>
      <c r="Z11" s="8">
        <f t="shared" si="2"/>
        <v>-4.5663321332041484E-4</v>
      </c>
      <c r="AA11" s="8">
        <f t="shared" si="6"/>
        <v>-1.5951539353848518E-6</v>
      </c>
      <c r="AB11" s="8">
        <f t="shared" si="7"/>
        <v>2.0134438331184463E-6</v>
      </c>
      <c r="AC11" s="8">
        <f t="shared" si="8"/>
        <v>7.8125E-3</v>
      </c>
      <c r="AE11" s="8">
        <v>7</v>
      </c>
      <c r="AF11" s="8">
        <f t="shared" si="13"/>
        <v>3.71875</v>
      </c>
      <c r="AG11" s="8">
        <v>-0.12947496284495363</v>
      </c>
      <c r="AH11" s="8">
        <f t="shared" si="14"/>
        <v>4.171875</v>
      </c>
      <c r="AI11" s="8">
        <v>0.15915752461541821</v>
      </c>
      <c r="AJ11" s="8">
        <f t="shared" si="9"/>
        <v>3.9453125</v>
      </c>
      <c r="AK11" s="8">
        <v>1.5483880146629936E-2</v>
      </c>
      <c r="AL11" s="8">
        <f t="shared" si="10"/>
        <v>-2.0047748066806263E-3</v>
      </c>
      <c r="AM11" s="8">
        <f t="shared" si="11"/>
        <v>2.4643760355794395E-3</v>
      </c>
      <c r="AN11" s="8">
        <f t="shared" si="12"/>
        <v>0.453125</v>
      </c>
    </row>
    <row r="12" spans="2:40" x14ac:dyDescent="0.2">
      <c r="B12" t="s">
        <v>9</v>
      </c>
      <c r="C12" s="2">
        <v>0.7</v>
      </c>
      <c r="F12" t="s">
        <v>59</v>
      </c>
      <c r="G12">
        <f xml:space="preserve"> (G4 * $C$24 + G9 * ($C$23/$C$18)) / 3600</f>
        <v>26.641953222438072</v>
      </c>
      <c r="H12" t="s">
        <v>60</v>
      </c>
      <c r="J12" t="s">
        <v>62</v>
      </c>
      <c r="K12" s="2">
        <v>1</v>
      </c>
      <c r="T12" s="8">
        <v>8</v>
      </c>
      <c r="U12" s="8">
        <f t="shared" si="3"/>
        <v>5.46875E-2</v>
      </c>
      <c r="V12" s="8">
        <f t="shared" si="0"/>
        <v>3.4932937176988671E-3</v>
      </c>
      <c r="W12" s="8">
        <f t="shared" si="4"/>
        <v>5.859375E-2</v>
      </c>
      <c r="X12" s="8">
        <f t="shared" si="1"/>
        <v>-4.5663321332041484E-4</v>
      </c>
      <c r="Y12" s="8">
        <f t="shared" si="5"/>
        <v>5.6640625E-2</v>
      </c>
      <c r="Z12" s="8">
        <f t="shared" si="2"/>
        <v>1.5186785978816841E-3</v>
      </c>
      <c r="AA12" s="8">
        <f t="shared" si="6"/>
        <v>5.3051904051838115E-6</v>
      </c>
      <c r="AB12" s="8">
        <f t="shared" si="7"/>
        <v>-6.934790881516556E-7</v>
      </c>
      <c r="AC12" s="8">
        <f t="shared" si="8"/>
        <v>3.90625E-3</v>
      </c>
      <c r="AE12" s="8">
        <v>8</v>
      </c>
      <c r="AF12" s="8">
        <f t="shared" si="13"/>
        <v>3.71875</v>
      </c>
      <c r="AG12" s="8">
        <v>-0.12947496284495363</v>
      </c>
      <c r="AH12" s="8">
        <f t="shared" si="14"/>
        <v>3.9453125</v>
      </c>
      <c r="AI12" s="8">
        <v>1.5483880146629936E-2</v>
      </c>
      <c r="AJ12" s="8">
        <f t="shared" si="9"/>
        <v>3.83203125</v>
      </c>
      <c r="AK12" s="8">
        <v>-5.6832970775004821E-2</v>
      </c>
      <c r="AL12" s="8">
        <f t="shared" si="10"/>
        <v>7.3584467794620845E-3</v>
      </c>
      <c r="AM12" s="8">
        <f t="shared" si="11"/>
        <v>-8.7999490785709651E-4</v>
      </c>
      <c r="AN12" s="8">
        <f t="shared" si="12"/>
        <v>0.2265625</v>
      </c>
    </row>
    <row r="13" spans="2:40" x14ac:dyDescent="0.2">
      <c r="B13" t="s">
        <v>97</v>
      </c>
      <c r="C13" s="2">
        <v>1.5</v>
      </c>
      <c r="F13" t="s">
        <v>102</v>
      </c>
      <c r="G13">
        <f>$C$24 + $C$23/$C$18</f>
        <v>552.70594524094372</v>
      </c>
      <c r="H13" t="s">
        <v>22</v>
      </c>
      <c r="T13" s="8">
        <v>9</v>
      </c>
      <c r="U13" s="8">
        <f t="shared" si="3"/>
        <v>5.6640625E-2</v>
      </c>
      <c r="V13" s="8">
        <f t="shared" si="0"/>
        <v>1.5186785978816841E-3</v>
      </c>
      <c r="W13" s="8">
        <f t="shared" si="4"/>
        <v>5.859375E-2</v>
      </c>
      <c r="X13" s="8">
        <f t="shared" si="1"/>
        <v>-4.5663321332041484E-4</v>
      </c>
      <c r="Y13" s="8">
        <f t="shared" si="5"/>
        <v>5.76171875E-2</v>
      </c>
      <c r="Z13" s="8">
        <f t="shared" si="2"/>
        <v>5.311094281721801E-4</v>
      </c>
      <c r="AA13" s="8">
        <f t="shared" si="6"/>
        <v>8.0658452169826951E-7</v>
      </c>
      <c r="AB13" s="8">
        <f t="shared" si="7"/>
        <v>-2.4252220481103064E-7</v>
      </c>
      <c r="AC13" s="8">
        <f t="shared" si="8"/>
        <v>1.953125E-3</v>
      </c>
      <c r="AE13" s="8">
        <v>9</v>
      </c>
      <c r="AF13" s="8">
        <f t="shared" si="13"/>
        <v>3.83203125</v>
      </c>
      <c r="AG13" s="8">
        <v>-5.6832970775004821E-2</v>
      </c>
      <c r="AH13" s="8">
        <f t="shared" si="14"/>
        <v>3.9453125</v>
      </c>
      <c r="AI13" s="8">
        <v>1.5483880146629936E-2</v>
      </c>
      <c r="AJ13" s="8">
        <f t="shared" si="9"/>
        <v>3.888671875</v>
      </c>
      <c r="AK13" s="8">
        <v>-2.0634132714647091E-2</v>
      </c>
      <c r="AL13" s="8">
        <f t="shared" si="10"/>
        <v>1.172699061539109E-3</v>
      </c>
      <c r="AM13" s="8">
        <f t="shared" si="11"/>
        <v>-3.1949643788325137E-4</v>
      </c>
      <c r="AN13" s="8">
        <f t="shared" si="12"/>
        <v>0.11328125</v>
      </c>
    </row>
    <row r="14" spans="2:40" x14ac:dyDescent="0.2">
      <c r="T14" s="8">
        <v>10</v>
      </c>
      <c r="U14" s="8">
        <f t="shared" si="3"/>
        <v>5.76171875E-2</v>
      </c>
      <c r="V14" s="8">
        <f t="shared" si="0"/>
        <v>5.311094281721801E-4</v>
      </c>
      <c r="W14" s="8">
        <f t="shared" si="4"/>
        <v>5.859375E-2</v>
      </c>
      <c r="X14" s="8">
        <f t="shared" si="1"/>
        <v>-4.5663321332041484E-4</v>
      </c>
      <c r="Y14" s="8">
        <f t="shared" si="5"/>
        <v>5.810546875E-2</v>
      </c>
      <c r="Z14" s="8">
        <f t="shared" si="2"/>
        <v>3.7259747064768978E-5</v>
      </c>
      <c r="AA14" s="8">
        <f t="shared" si="6"/>
        <v>1.9789002957409516E-8</v>
      </c>
      <c r="AB14" s="8">
        <f t="shared" si="7"/>
        <v>-1.7014038029691352E-8</v>
      </c>
      <c r="AC14" s="8">
        <f t="shared" si="8"/>
        <v>9.765625E-4</v>
      </c>
      <c r="AE14" s="8">
        <v>10</v>
      </c>
      <c r="AF14" s="8">
        <f t="shared" si="13"/>
        <v>3.888671875</v>
      </c>
      <c r="AG14" s="8">
        <v>-2.0634132714647091E-2</v>
      </c>
      <c r="AH14" s="8">
        <f t="shared" si="14"/>
        <v>3.9453125</v>
      </c>
      <c r="AI14" s="8">
        <v>1.5483880146629936E-2</v>
      </c>
      <c r="AJ14" s="8">
        <f t="shared" si="9"/>
        <v>3.9169921875</v>
      </c>
      <c r="AK14" s="8">
        <v>-2.5650536191816897E-3</v>
      </c>
      <c r="AL14" s="8">
        <f t="shared" si="10"/>
        <v>5.2927656798380823E-5</v>
      </c>
      <c r="AM14" s="8">
        <f t="shared" si="11"/>
        <v>-3.9716982809088633E-5</v>
      </c>
      <c r="AN14" s="8">
        <f t="shared" si="12"/>
        <v>5.6640625E-2</v>
      </c>
    </row>
    <row r="15" spans="2:40" x14ac:dyDescent="0.2">
      <c r="B15" s="15" t="s">
        <v>10</v>
      </c>
      <c r="C15" s="15"/>
      <c r="D15" s="15"/>
      <c r="F15" s="16" t="s">
        <v>92</v>
      </c>
      <c r="G15" s="16"/>
      <c r="H15" s="16"/>
      <c r="J15" s="16" t="s">
        <v>40</v>
      </c>
      <c r="K15" s="17"/>
      <c r="L15" s="17"/>
      <c r="T15" s="8">
        <v>11</v>
      </c>
      <c r="U15" s="8">
        <f t="shared" si="3"/>
        <v>5.810546875E-2</v>
      </c>
      <c r="V15" s="8">
        <f t="shared" si="0"/>
        <v>3.7259747064768978E-5</v>
      </c>
      <c r="W15" s="8">
        <f t="shared" si="4"/>
        <v>5.859375E-2</v>
      </c>
      <c r="X15" s="8">
        <f t="shared" si="1"/>
        <v>-4.5663321332041484E-4</v>
      </c>
      <c r="Y15" s="8">
        <f t="shared" si="5"/>
        <v>5.8349609375E-2</v>
      </c>
      <c r="Z15" s="8">
        <f t="shared" si="2"/>
        <v>-2.0968132879188583E-4</v>
      </c>
      <c r="AA15" s="8">
        <f t="shared" si="6"/>
        <v>-7.8126732749903268E-9</v>
      </c>
      <c r="AB15" s="8">
        <f t="shared" si="7"/>
        <v>9.5747458939533244E-8</v>
      </c>
      <c r="AC15" s="8">
        <f t="shared" si="8"/>
        <v>4.8828125E-4</v>
      </c>
      <c r="AE15" s="8">
        <v>11</v>
      </c>
      <c r="AF15" s="8">
        <f t="shared" si="13"/>
        <v>3.9169921875</v>
      </c>
      <c r="AG15" s="8">
        <v>-2.5650536191816897E-3</v>
      </c>
      <c r="AH15" s="8">
        <f t="shared" si="14"/>
        <v>3.9453125</v>
      </c>
      <c r="AI15" s="8">
        <v>1.5483880146629936E-2</v>
      </c>
      <c r="AJ15" s="8">
        <f t="shared" si="9"/>
        <v>3.93115234375</v>
      </c>
      <c r="AK15" s="8">
        <v>6.4619290131306961E-3</v>
      </c>
      <c r="AL15" s="8">
        <f t="shared" si="10"/>
        <v>-1.6575194402026056E-5</v>
      </c>
      <c r="AM15" s="8">
        <f t="shared" si="11"/>
        <v>1.0005573435534637E-4</v>
      </c>
      <c r="AN15" s="8">
        <f t="shared" si="12"/>
        <v>2.83203125E-2</v>
      </c>
    </row>
    <row r="16" spans="2:40" x14ac:dyDescent="0.2">
      <c r="B16" s="11" t="s">
        <v>12</v>
      </c>
      <c r="C16" s="11">
        <f>AJ34</f>
        <v>3.9210150549188256</v>
      </c>
      <c r="D16" s="11" t="s">
        <v>15</v>
      </c>
      <c r="F16" t="s">
        <v>93</v>
      </c>
      <c r="G16">
        <f xml:space="preserve"> G12 / ($C$10 * $C$11 * $C$12)</f>
        <v>0.2833948858891403</v>
      </c>
      <c r="H16" t="s">
        <v>15</v>
      </c>
      <c r="J16" t="s">
        <v>29</v>
      </c>
      <c r="K16">
        <f>K9/$C$5</f>
        <v>6.4382773887059876</v>
      </c>
      <c r="L16" t="s">
        <v>30</v>
      </c>
      <c r="T16" s="8">
        <v>12</v>
      </c>
      <c r="U16" s="8">
        <f t="shared" si="3"/>
        <v>5.810546875E-2</v>
      </c>
      <c r="V16" s="8">
        <f t="shared" si="0"/>
        <v>3.7259747064768978E-5</v>
      </c>
      <c r="W16" s="8">
        <f t="shared" si="4"/>
        <v>5.8349609375E-2</v>
      </c>
      <c r="X16" s="8">
        <f t="shared" si="1"/>
        <v>-2.0968132879188583E-4</v>
      </c>
      <c r="Y16" s="8">
        <f t="shared" si="5"/>
        <v>5.82275390625E-2</v>
      </c>
      <c r="Z16" s="8">
        <f t="shared" si="2"/>
        <v>-8.6209439081427752E-5</v>
      </c>
      <c r="AA16" s="8">
        <f t="shared" si="6"/>
        <v>-3.2121418947696078E-9</v>
      </c>
      <c r="AB16" s="8">
        <f t="shared" si="7"/>
        <v>1.8076509740996905E-8</v>
      </c>
      <c r="AC16" s="8">
        <f t="shared" si="8"/>
        <v>2.44140625E-4</v>
      </c>
      <c r="AE16" s="8">
        <v>12</v>
      </c>
      <c r="AF16" s="8">
        <f t="shared" si="13"/>
        <v>3.9169921875</v>
      </c>
      <c r="AG16" s="8">
        <v>-2.5650536191816897E-3</v>
      </c>
      <c r="AH16" s="8">
        <f t="shared" si="14"/>
        <v>3.93115234375</v>
      </c>
      <c r="AI16" s="8">
        <v>6.4619290131306961E-3</v>
      </c>
      <c r="AJ16" s="8">
        <f t="shared" si="9"/>
        <v>3.924072265625</v>
      </c>
      <c r="AK16" s="8">
        <v>1.9490660934033954E-3</v>
      </c>
      <c r="AL16" s="8">
        <f t="shared" si="10"/>
        <v>-4.9994590369086972E-6</v>
      </c>
      <c r="AM16" s="8">
        <f t="shared" si="11"/>
        <v>1.2594726737472704E-5</v>
      </c>
      <c r="AN16" s="8">
        <f t="shared" si="12"/>
        <v>1.416015625E-2</v>
      </c>
    </row>
    <row r="17" spans="2:40" x14ac:dyDescent="0.2">
      <c r="B17" t="s">
        <v>11</v>
      </c>
      <c r="C17" s="2">
        <v>0.213201906416426</v>
      </c>
      <c r="D17" t="s">
        <v>16</v>
      </c>
      <c r="F17" s="3" t="s">
        <v>94</v>
      </c>
      <c r="G17">
        <f xml:space="preserve"> $C$5 * (0.1870854 * (2*$C$17)^2 - 0.0201654 * (2*$C$17))</f>
        <v>0.15250382140602342</v>
      </c>
      <c r="H17" t="s">
        <v>15</v>
      </c>
      <c r="J17" t="s">
        <v>43</v>
      </c>
      <c r="K17">
        <f xml:space="preserve"> C18 * COS(K11) / ($C$19 * $C$17)</f>
        <v>210.92302902822641</v>
      </c>
      <c r="L17" t="s">
        <v>44</v>
      </c>
      <c r="T17" s="8">
        <v>13</v>
      </c>
      <c r="U17" s="8">
        <f t="shared" si="3"/>
        <v>5.810546875E-2</v>
      </c>
      <c r="V17" s="8">
        <f t="shared" si="0"/>
        <v>3.7259747064768978E-5</v>
      </c>
      <c r="W17" s="8">
        <f t="shared" si="4"/>
        <v>5.82275390625E-2</v>
      </c>
      <c r="X17" s="8">
        <f t="shared" si="1"/>
        <v>-8.6209439081427752E-5</v>
      </c>
      <c r="Y17" s="8">
        <f t="shared" si="5"/>
        <v>5.816650390625E-2</v>
      </c>
      <c r="Z17" s="8">
        <f t="shared" si="2"/>
        <v>-2.4474507975658089E-5</v>
      </c>
      <c r="AA17" s="8">
        <f t="shared" si="6"/>
        <v>-9.1191397670769135E-10</v>
      </c>
      <c r="AB17" s="8">
        <f t="shared" si="7"/>
        <v>2.1099336043754135E-9</v>
      </c>
      <c r="AC17" s="8">
        <f t="shared" si="8"/>
        <v>1.220703125E-4</v>
      </c>
      <c r="AE17" s="8">
        <v>13</v>
      </c>
      <c r="AF17" s="8">
        <f t="shared" si="13"/>
        <v>3.9169921875</v>
      </c>
      <c r="AG17" s="8">
        <v>-2.5650536191816897E-3</v>
      </c>
      <c r="AH17" s="8">
        <f t="shared" si="14"/>
        <v>3.924072265625</v>
      </c>
      <c r="AI17" s="8">
        <v>1.9490660934033954E-3</v>
      </c>
      <c r="AJ17" s="8">
        <f t="shared" si="9"/>
        <v>3.9205322265625</v>
      </c>
      <c r="AK17" s="8">
        <v>-3.0783651173171833E-4</v>
      </c>
      <c r="AL17" s="8">
        <f t="shared" si="10"/>
        <v>7.8961715853371081E-7</v>
      </c>
      <c r="AM17" s="8">
        <f t="shared" si="11"/>
        <v>-5.9999370732786879E-7</v>
      </c>
      <c r="AN17" s="8">
        <f t="shared" si="12"/>
        <v>7.080078125E-3</v>
      </c>
    </row>
    <row r="18" spans="2:40" x14ac:dyDescent="0.2">
      <c r="B18" t="s">
        <v>13</v>
      </c>
      <c r="C18" s="2">
        <v>15.9894625481055</v>
      </c>
      <c r="D18" t="s">
        <v>17</v>
      </c>
      <c r="F18" t="s">
        <v>95</v>
      </c>
      <c r="G18">
        <f xml:space="preserve"> 0.412 * $C$13 * (G4/745.7) * 0.453592</f>
        <v>8.2528707425764652E-2</v>
      </c>
      <c r="H18" t="s">
        <v>15</v>
      </c>
      <c r="J18" t="s">
        <v>45</v>
      </c>
      <c r="K18">
        <f xml:space="preserve"> K16 / (PI() * $C$27 * K17^2 * $C$17^4)</f>
        <v>1.8200000022671456E-2</v>
      </c>
      <c r="T18" s="8">
        <v>14</v>
      </c>
      <c r="U18" s="8">
        <f t="shared" si="3"/>
        <v>5.810546875E-2</v>
      </c>
      <c r="V18" s="8">
        <f t="shared" si="0"/>
        <v>3.7259747064768978E-5</v>
      </c>
      <c r="W18" s="8">
        <f t="shared" si="4"/>
        <v>5.816650390625E-2</v>
      </c>
      <c r="X18" s="8">
        <f t="shared" si="1"/>
        <v>-2.4474507975658089E-5</v>
      </c>
      <c r="Y18" s="8">
        <f t="shared" si="5"/>
        <v>5.8135986328125E-2</v>
      </c>
      <c r="Z18" s="8">
        <f t="shared" si="2"/>
        <v>6.3927040636069243E-6</v>
      </c>
      <c r="AA18" s="8">
        <f t="shared" si="6"/>
        <v>2.3819053646991482E-10</v>
      </c>
      <c r="AB18" s="8">
        <f t="shared" si="7"/>
        <v>-1.5645828659076955E-10</v>
      </c>
      <c r="AC18" s="8">
        <f t="shared" si="8"/>
        <v>6.103515625E-5</v>
      </c>
      <c r="AE18" s="8">
        <v>14</v>
      </c>
      <c r="AF18" s="8">
        <f t="shared" si="13"/>
        <v>3.9205322265625</v>
      </c>
      <c r="AG18" s="8">
        <v>-3.0783651173171833E-4</v>
      </c>
      <c r="AH18" s="8">
        <f t="shared" si="14"/>
        <v>3.924072265625</v>
      </c>
      <c r="AI18" s="8">
        <v>1.9490660934033954E-3</v>
      </c>
      <c r="AJ18" s="8">
        <f t="shared" si="9"/>
        <v>3.92230224609375</v>
      </c>
      <c r="AK18" s="8">
        <v>8.2065521127772101E-4</v>
      </c>
      <c r="AL18" s="8">
        <f t="shared" si="10"/>
        <v>-2.5262763757418993E-7</v>
      </c>
      <c r="AM18" s="8">
        <f t="shared" si="11"/>
        <v>1.5995112466762057E-6</v>
      </c>
      <c r="AN18" s="8">
        <f t="shared" si="12"/>
        <v>3.5400390625E-3</v>
      </c>
    </row>
    <row r="19" spans="2:40" x14ac:dyDescent="0.2">
      <c r="B19" t="s">
        <v>42</v>
      </c>
      <c r="C19" s="2">
        <v>0.35405062516243602</v>
      </c>
      <c r="F19" t="s">
        <v>96</v>
      </c>
      <c r="G19">
        <f xml:space="preserve"> 0.591*$C$13 * (G4/745.7) * 0.453592</f>
        <v>0.11838462642870609</v>
      </c>
      <c r="H19" t="s">
        <v>15</v>
      </c>
      <c r="J19" t="s">
        <v>47</v>
      </c>
      <c r="K19" s="2">
        <v>1.2E-2</v>
      </c>
      <c r="T19" s="8">
        <v>15</v>
      </c>
      <c r="U19" s="8">
        <f t="shared" si="3"/>
        <v>5.8135986328125E-2</v>
      </c>
      <c r="V19" s="8">
        <f t="shared" si="0"/>
        <v>6.3927040636069243E-6</v>
      </c>
      <c r="W19" s="8">
        <f t="shared" si="4"/>
        <v>5.816650390625E-2</v>
      </c>
      <c r="X19" s="8">
        <f t="shared" si="1"/>
        <v>-2.4474507975658089E-5</v>
      </c>
      <c r="Y19" s="8">
        <f t="shared" si="5"/>
        <v>5.81512451171875E-2</v>
      </c>
      <c r="Z19" s="8">
        <f t="shared" si="2"/>
        <v>-9.0408808276210006E-6</v>
      </c>
      <c r="AA19" s="8">
        <f t="shared" si="6"/>
        <v>-5.7795675605318702E-11</v>
      </c>
      <c r="AB19" s="8">
        <f t="shared" si="7"/>
        <v>2.2127110992258449E-10</v>
      </c>
      <c r="AC19" s="8">
        <f t="shared" si="8"/>
        <v>3.0517578125E-5</v>
      </c>
      <c r="AE19" s="8">
        <v>15</v>
      </c>
      <c r="AF19" s="8">
        <f t="shared" si="13"/>
        <v>3.9205322265625</v>
      </c>
      <c r="AG19" s="8">
        <v>-3.0783651173171833E-4</v>
      </c>
      <c r="AH19" s="8">
        <f t="shared" si="14"/>
        <v>3.92230224609375</v>
      </c>
      <c r="AI19" s="8">
        <v>8.2065521127772101E-4</v>
      </c>
      <c r="AJ19" s="8">
        <f t="shared" si="9"/>
        <v>3.921417236328125</v>
      </c>
      <c r="AK19" s="8">
        <v>2.5641879430793324E-4</v>
      </c>
      <c r="AL19" s="8">
        <f t="shared" si="10"/>
        <v>-7.8935067182207166E-8</v>
      </c>
      <c r="AM19" s="8">
        <f t="shared" si="11"/>
        <v>2.1043141981835543E-7</v>
      </c>
      <c r="AN19" s="8">
        <f t="shared" si="12"/>
        <v>1.77001953125E-3</v>
      </c>
    </row>
    <row r="20" spans="2:40" x14ac:dyDescent="0.2">
      <c r="F20" t="s">
        <v>98</v>
      </c>
      <c r="G20">
        <f xml:space="preserve"> 0.2*$C$16 + 0.5</f>
        <v>1.2842030109837652</v>
      </c>
      <c r="H20" t="s">
        <v>15</v>
      </c>
      <c r="J20" t="s">
        <v>46</v>
      </c>
      <c r="K20">
        <f xml:space="preserve"> ($C$6 * $K$19 / 8) * (1 + 4.65 * $C$19^2) * (PI() * $C$27 * K17^3 * $C$17^5)</f>
        <v>4.9101826802614212</v>
      </c>
      <c r="L20" t="s">
        <v>27</v>
      </c>
      <c r="T20" s="8">
        <v>16</v>
      </c>
      <c r="U20" s="8">
        <f t="shared" si="3"/>
        <v>5.8135986328125E-2</v>
      </c>
      <c r="V20" s="8">
        <f t="shared" si="0"/>
        <v>6.3927040636069243E-6</v>
      </c>
      <c r="W20" s="8">
        <f t="shared" si="4"/>
        <v>5.81512451171875E-2</v>
      </c>
      <c r="X20" s="8">
        <f t="shared" si="1"/>
        <v>-9.0408808276210006E-6</v>
      </c>
      <c r="Y20" s="8">
        <f t="shared" si="5"/>
        <v>5.814361572265625E-2</v>
      </c>
      <c r="Z20" s="8">
        <f t="shared" si="2"/>
        <v>-1.3240830997324204E-6</v>
      </c>
      <c r="AA20" s="8">
        <f t="shared" si="6"/>
        <v>-8.4644714122126967E-12</v>
      </c>
      <c r="AB20" s="8">
        <f t="shared" si="7"/>
        <v>1.1970877510547825E-11</v>
      </c>
      <c r="AC20" s="8">
        <f t="shared" si="8"/>
        <v>1.52587890625E-5</v>
      </c>
      <c r="AE20" s="8">
        <v>16</v>
      </c>
      <c r="AF20" s="8">
        <f t="shared" si="13"/>
        <v>3.9205322265625</v>
      </c>
      <c r="AG20" s="8">
        <v>-3.0783651173171833E-4</v>
      </c>
      <c r="AH20" s="8">
        <f t="shared" si="14"/>
        <v>3.921417236328125</v>
      </c>
      <c r="AI20" s="8">
        <v>2.5641879430793324E-4</v>
      </c>
      <c r="AJ20" s="8">
        <f t="shared" si="9"/>
        <v>3.9209747314453125</v>
      </c>
      <c r="AK20" s="8">
        <v>-2.5706277936077271E-5</v>
      </c>
      <c r="AL20" s="8">
        <f t="shared" si="10"/>
        <v>7.9133309294480623E-9</v>
      </c>
      <c r="AM20" s="8">
        <f t="shared" si="11"/>
        <v>-6.5915727945135607E-9</v>
      </c>
      <c r="AN20" s="8">
        <f t="shared" si="12"/>
        <v>8.85009765625E-4</v>
      </c>
    </row>
    <row r="21" spans="2:40" x14ac:dyDescent="0.2">
      <c r="B21" s="15" t="s">
        <v>18</v>
      </c>
      <c r="C21" s="15"/>
      <c r="D21" s="15"/>
      <c r="F21" s="11" t="s">
        <v>99</v>
      </c>
      <c r="G21" s="11">
        <f>$C$16 - ($C$22 + G16 + G17 + G18 + G19 + G20)</f>
        <v>2.7854261119841794E-9</v>
      </c>
      <c r="H21" s="11" t="s">
        <v>15</v>
      </c>
      <c r="J21" t="s">
        <v>48</v>
      </c>
      <c r="K21" s="9">
        <f>Y34</f>
        <v>5.8142306748777628E-2</v>
      </c>
      <c r="T21" s="8">
        <v>17</v>
      </c>
      <c r="U21" s="8">
        <f t="shared" si="3"/>
        <v>5.8135986328125E-2</v>
      </c>
      <c r="V21" s="8">
        <f t="shared" si="0"/>
        <v>6.3927040636069243E-6</v>
      </c>
      <c r="W21" s="8">
        <f t="shared" si="4"/>
        <v>5.814361572265625E-2</v>
      </c>
      <c r="X21" s="8">
        <f t="shared" si="1"/>
        <v>-1.3240830997324204E-6</v>
      </c>
      <c r="Y21" s="8">
        <f t="shared" si="5"/>
        <v>5.8139801025390625E-2</v>
      </c>
      <c r="Z21" s="8">
        <f t="shared" si="2"/>
        <v>2.5343118025267231E-6</v>
      </c>
      <c r="AA21" s="8">
        <f t="shared" si="6"/>
        <v>1.6201105358459572E-11</v>
      </c>
      <c r="AB21" s="8">
        <f t="shared" si="7"/>
        <v>-3.3556394271780414E-12</v>
      </c>
      <c r="AC21" s="8">
        <f>W21-U21</f>
        <v>7.62939453125E-6</v>
      </c>
      <c r="AE21" s="8">
        <v>17</v>
      </c>
      <c r="AF21" s="8">
        <f t="shared" si="13"/>
        <v>3.9209747314453125</v>
      </c>
      <c r="AG21" s="8">
        <v>-2.5706277936077271E-5</v>
      </c>
      <c r="AH21" s="8">
        <f t="shared" si="14"/>
        <v>3.921417236328125</v>
      </c>
      <c r="AI21" s="8">
        <v>2.5641879430793324E-4</v>
      </c>
      <c r="AJ21" s="8">
        <f t="shared" si="9"/>
        <v>3.9211959838867188</v>
      </c>
      <c r="AK21" s="8">
        <v>1.1535756266001229E-4</v>
      </c>
      <c r="AL21" s="8">
        <f t="shared" si="10"/>
        <v>-2.9654135677667252E-9</v>
      </c>
      <c r="AM21" s="8">
        <f t="shared" si="11"/>
        <v>2.9579847131582212E-8</v>
      </c>
      <c r="AN21" s="8">
        <f t="shared" si="12"/>
        <v>4.425048828125E-4</v>
      </c>
    </row>
    <row r="22" spans="2:40" x14ac:dyDescent="0.2">
      <c r="B22" t="s">
        <v>21</v>
      </c>
      <c r="C22" s="2">
        <v>2</v>
      </c>
      <c r="D22" t="s">
        <v>15</v>
      </c>
      <c r="F22" t="s">
        <v>100</v>
      </c>
      <c r="G22" s="10" t="str">
        <f>IF(ABS(G21)&lt;0.00001, "TRUE", "FALSE")</f>
        <v>TRUE</v>
      </c>
      <c r="J22" t="s">
        <v>50</v>
      </c>
      <c r="K22">
        <f xml:space="preserve"> K17 * $C$17 * K21 - $C$18 * SIN(K11)</f>
        <v>1.1405454350732063</v>
      </c>
      <c r="L22" t="s">
        <v>17</v>
      </c>
      <c r="T22" s="8">
        <v>18</v>
      </c>
      <c r="U22" s="8">
        <f t="shared" si="3"/>
        <v>5.8139801025390625E-2</v>
      </c>
      <c r="V22" s="8">
        <f t="shared" si="0"/>
        <v>2.5343118025267231E-6</v>
      </c>
      <c r="W22" s="8">
        <f t="shared" si="4"/>
        <v>5.814361572265625E-2</v>
      </c>
      <c r="X22" s="8">
        <f t="shared" si="1"/>
        <v>-1.3240830997324204E-6</v>
      </c>
      <c r="Y22" s="8">
        <f t="shared" si="5"/>
        <v>5.8141708374023438E-2</v>
      </c>
      <c r="Z22" s="8">
        <f t="shared" si="2"/>
        <v>6.0511468154278436E-7</v>
      </c>
      <c r="AA22" s="8">
        <f t="shared" si="6"/>
        <v>1.5335492793160778E-12</v>
      </c>
      <c r="AB22" s="8">
        <f t="shared" si="7"/>
        <v>-8.012221232307664E-13</v>
      </c>
      <c r="AC22" s="8">
        <f t="shared" si="8"/>
        <v>3.814697265625E-6</v>
      </c>
      <c r="AE22" s="8">
        <v>18</v>
      </c>
      <c r="AF22" s="8">
        <f t="shared" si="13"/>
        <v>3.9209747314453125</v>
      </c>
      <c r="AG22" s="8">
        <v>-2.5706277936077271E-5</v>
      </c>
      <c r="AH22" s="8">
        <f t="shared" si="14"/>
        <v>3.9211959838867188</v>
      </c>
      <c r="AI22" s="8">
        <v>1.1535756266001229E-4</v>
      </c>
      <c r="AJ22" s="8">
        <f t="shared" si="9"/>
        <v>3.9210853576660156</v>
      </c>
      <c r="AK22" s="8">
        <v>4.4825748716448288E-5</v>
      </c>
      <c r="AL22" s="8">
        <f t="shared" si="10"/>
        <v>-1.1523031551977786E-9</v>
      </c>
      <c r="AM22" s="8">
        <f t="shared" si="11"/>
        <v>5.1709891163396488E-9</v>
      </c>
      <c r="AN22" s="8">
        <f t="shared" si="12"/>
        <v>2.2125244140625E-4</v>
      </c>
    </row>
    <row r="23" spans="2:40" x14ac:dyDescent="0.2">
      <c r="B23" t="s">
        <v>19</v>
      </c>
      <c r="C23" s="2">
        <v>5000</v>
      </c>
      <c r="D23" t="s">
        <v>16</v>
      </c>
      <c r="J23" t="s">
        <v>51</v>
      </c>
      <c r="K23">
        <f xml:space="preserve"> (1/$C$7) - K20 * SQRT( (2*$C$27*PI()*$C$17^2) / K16^3 )</f>
        <v>1.1555495326651821</v>
      </c>
      <c r="T23" s="8">
        <v>19</v>
      </c>
      <c r="U23" s="8">
        <f t="shared" si="3"/>
        <v>5.8141708374023438E-2</v>
      </c>
      <c r="V23" s="8">
        <f t="shared" si="0"/>
        <v>6.0511468154278436E-7</v>
      </c>
      <c r="W23" s="8">
        <f t="shared" si="4"/>
        <v>5.814361572265625E-2</v>
      </c>
      <c r="X23" s="8">
        <f t="shared" si="1"/>
        <v>-1.3240830997324204E-6</v>
      </c>
      <c r="Y23" s="8">
        <f t="shared" si="5"/>
        <v>5.8142662048339844E-2</v>
      </c>
      <c r="Z23" s="8">
        <f t="shared" si="2"/>
        <v>-3.5948412656361395E-7</v>
      </c>
      <c r="AA23" s="8">
        <f t="shared" si="6"/>
        <v>-2.1752912276522724E-13</v>
      </c>
      <c r="AB23" s="8">
        <f t="shared" si="7"/>
        <v>4.7598685660495174E-13</v>
      </c>
      <c r="AC23" s="8">
        <f t="shared" si="8"/>
        <v>1.9073486328125E-6</v>
      </c>
      <c r="AE23" s="8">
        <v>19</v>
      </c>
      <c r="AF23" s="8">
        <f t="shared" si="13"/>
        <v>3.9209747314453125</v>
      </c>
      <c r="AG23" s="8">
        <v>-2.5706277936077271E-5</v>
      </c>
      <c r="AH23" s="8">
        <f t="shared" si="14"/>
        <v>3.9210853576660156</v>
      </c>
      <c r="AI23" s="8">
        <v>4.4825748716448288E-5</v>
      </c>
      <c r="AJ23" s="8">
        <f t="shared" si="9"/>
        <v>3.9210300445556641</v>
      </c>
      <c r="AK23" s="8">
        <v>9.560640946482124E-6</v>
      </c>
      <c r="AL23" s="8">
        <f t="shared" si="10"/>
        <v>-2.4576849341731034E-10</v>
      </c>
      <c r="AM23" s="8">
        <f t="shared" si="11"/>
        <v>4.2856288863519404E-10</v>
      </c>
      <c r="AN23" s="8">
        <f t="shared" si="12"/>
        <v>1.10626220703125E-4</v>
      </c>
    </row>
    <row r="24" spans="2:40" x14ac:dyDescent="0.2">
      <c r="B24" t="s">
        <v>20</v>
      </c>
      <c r="C24" s="2">
        <v>240</v>
      </c>
      <c r="D24" t="s">
        <v>22</v>
      </c>
      <c r="F24" s="15" t="s">
        <v>106</v>
      </c>
      <c r="G24" s="15"/>
      <c r="H24" s="15"/>
      <c r="J24" t="s">
        <v>55</v>
      </c>
      <c r="K24" s="2">
        <v>1.1499999999999999</v>
      </c>
      <c r="T24" s="8">
        <v>20</v>
      </c>
      <c r="U24" s="8">
        <f t="shared" si="3"/>
        <v>5.8141708374023438E-2</v>
      </c>
      <c r="V24" s="8">
        <f t="shared" si="0"/>
        <v>6.0511468154278436E-7</v>
      </c>
      <c r="W24" s="8">
        <f t="shared" si="4"/>
        <v>5.8142662048339844E-2</v>
      </c>
      <c r="X24" s="8">
        <f t="shared" si="1"/>
        <v>-3.5948412656361395E-7</v>
      </c>
      <c r="Y24" s="8">
        <f t="shared" si="5"/>
        <v>5.8142185211181641E-2</v>
      </c>
      <c r="Z24" s="8">
        <f t="shared" si="2"/>
        <v>1.2281529812585568E-7</v>
      </c>
      <c r="AA24" s="8">
        <f t="shared" si="6"/>
        <v>7.4317340014009278E-14</v>
      </c>
      <c r="AB24" s="8">
        <f t="shared" si="7"/>
        <v>-4.4150150175423081E-14</v>
      </c>
      <c r="AC24" s="8">
        <f t="shared" si="8"/>
        <v>9.5367431640625E-7</v>
      </c>
      <c r="AE24" s="8">
        <v>20</v>
      </c>
      <c r="AF24" s="8">
        <f t="shared" si="13"/>
        <v>3.9209747314453125</v>
      </c>
      <c r="AG24" s="8">
        <v>-2.5706277936077271E-5</v>
      </c>
      <c r="AH24" s="8">
        <f t="shared" si="14"/>
        <v>3.9210300445556641</v>
      </c>
      <c r="AI24" s="8">
        <v>9.560640946482124E-6</v>
      </c>
      <c r="AJ24" s="8">
        <f t="shared" si="9"/>
        <v>3.9210023880004883</v>
      </c>
      <c r="AK24" s="8">
        <v>-8.0736908119050099E-6</v>
      </c>
      <c r="AL24" s="8">
        <f t="shared" si="10"/>
        <v>2.0754453998078353E-10</v>
      </c>
      <c r="AM24" s="8">
        <f t="shared" si="11"/>
        <v>-7.7189658965535543E-11</v>
      </c>
      <c r="AN24" s="8">
        <f t="shared" si="12"/>
        <v>5.53131103515625E-5</v>
      </c>
    </row>
    <row r="25" spans="2:40" x14ac:dyDescent="0.2">
      <c r="F25" t="s">
        <v>21</v>
      </c>
      <c r="G25">
        <f>ROUND($C$22/$C$16*100, 2)</f>
        <v>51.01</v>
      </c>
      <c r="H25" t="s">
        <v>107</v>
      </c>
      <c r="J25" t="s">
        <v>52</v>
      </c>
      <c r="K25">
        <f xml:space="preserve"> (1/$C$31) * LN( EXP($C$31*K23) + EXP($C$31*$K$24) )</f>
        <v>1.1759950291409857</v>
      </c>
      <c r="T25" s="8">
        <v>21</v>
      </c>
      <c r="U25" s="8">
        <f>IF(AA24&gt;0, Y24, U24)</f>
        <v>5.8142185211181641E-2</v>
      </c>
      <c r="V25" s="8">
        <f t="shared" si="0"/>
        <v>1.2281529812585568E-7</v>
      </c>
      <c r="W25" s="8">
        <f>IF(AB24&gt;0, Y24, W24)</f>
        <v>5.8142662048339844E-2</v>
      </c>
      <c r="X25" s="8">
        <f t="shared" si="1"/>
        <v>-3.5948412656361395E-7</v>
      </c>
      <c r="Y25" s="8">
        <f t="shared" si="5"/>
        <v>5.8142423629760742E-2</v>
      </c>
      <c r="Z25" s="8">
        <f t="shared" si="2"/>
        <v>-1.1833440906328097E-7</v>
      </c>
      <c r="AA25" s="8">
        <f t="shared" si="6"/>
        <v>-1.4533275727653809E-14</v>
      </c>
      <c r="AB25" s="8">
        <f t="shared" si="7"/>
        <v>4.2539341684534959E-14</v>
      </c>
      <c r="AC25" s="8">
        <f t="shared" si="8"/>
        <v>4.76837158203125E-7</v>
      </c>
      <c r="AE25" s="8">
        <v>21</v>
      </c>
      <c r="AF25" s="8">
        <f t="shared" si="13"/>
        <v>3.9210023880004883</v>
      </c>
      <c r="AG25" s="8">
        <v>-8.0736908119050099E-6</v>
      </c>
      <c r="AH25" s="8">
        <f t="shared" si="14"/>
        <v>3.9210300445556641</v>
      </c>
      <c r="AI25" s="8">
        <v>9.560640946482124E-6</v>
      </c>
      <c r="AJ25" s="8">
        <f t="shared" si="9"/>
        <v>3.9210162162780762</v>
      </c>
      <c r="AK25" s="8">
        <v>7.425977619490709E-7</v>
      </c>
      <c r="AL25" s="8">
        <f t="shared" si="10"/>
        <v>-5.9955047275894372E-12</v>
      </c>
      <c r="AM25" s="8">
        <f t="shared" si="11"/>
        <v>7.0997105696562721E-12</v>
      </c>
      <c r="AN25" s="8">
        <f t="shared" si="12"/>
        <v>2.765655517578125E-5</v>
      </c>
    </row>
    <row r="26" spans="2:40" x14ac:dyDescent="0.2">
      <c r="B26" s="15" t="s">
        <v>24</v>
      </c>
      <c r="C26" s="15"/>
      <c r="D26" s="15"/>
      <c r="F26" t="s">
        <v>93</v>
      </c>
      <c r="G26">
        <f>ROUND(G16/$C$16*100, 2)</f>
        <v>7.23</v>
      </c>
      <c r="H26" t="s">
        <v>107</v>
      </c>
      <c r="T26" s="8">
        <v>22</v>
      </c>
      <c r="U26" s="8">
        <f>IF(AA25&gt;0, Y25, U25)</f>
        <v>5.8142185211181641E-2</v>
      </c>
      <c r="V26" s="8">
        <f t="shared" si="0"/>
        <v>1.2281529812585568E-7</v>
      </c>
      <c r="W26" s="8">
        <f>IF(AB25&gt;0, Y25, W25)</f>
        <v>5.8142423629760742E-2</v>
      </c>
      <c r="X26" s="8">
        <f t="shared" si="1"/>
        <v>-1.1833440906328097E-7</v>
      </c>
      <c r="Y26" s="8">
        <f t="shared" si="5"/>
        <v>5.8142304420471191E-2</v>
      </c>
      <c r="Z26" s="8">
        <f t="shared" si="2"/>
        <v>2.2404458219216217E-9</v>
      </c>
      <c r="AA26" s="8">
        <f t="shared" si="6"/>
        <v>2.7516102155413175E-16</v>
      </c>
      <c r="AB26" s="8">
        <f t="shared" si="7"/>
        <v>-2.651218323753919E-16</v>
      </c>
      <c r="AC26" s="8">
        <f t="shared" si="8"/>
        <v>2.384185791015625E-7</v>
      </c>
      <c r="AE26" s="8">
        <v>22</v>
      </c>
      <c r="AF26" s="8">
        <f t="shared" si="13"/>
        <v>3.9210023880004883</v>
      </c>
      <c r="AG26" s="8">
        <v>-8.0736908119050099E-6</v>
      </c>
      <c r="AH26" s="8">
        <f t="shared" si="14"/>
        <v>3.9210162162780762</v>
      </c>
      <c r="AI26" s="8">
        <v>7.425977619490709E-7</v>
      </c>
      <c r="AJ26" s="8">
        <f t="shared" si="9"/>
        <v>3.9210093021392822</v>
      </c>
      <c r="AK26" s="8">
        <v>-3.6655461088663799E-6</v>
      </c>
      <c r="AL26" s="8">
        <f t="shared" si="10"/>
        <v>2.9594485939768653E-11</v>
      </c>
      <c r="AM26" s="8">
        <f t="shared" si="11"/>
        <v>-2.722026336765299E-12</v>
      </c>
      <c r="AN26" s="8">
        <f t="shared" si="12"/>
        <v>1.3828277587890625E-5</v>
      </c>
    </row>
    <row r="27" spans="2:40" x14ac:dyDescent="0.2">
      <c r="B27" t="s">
        <v>26</v>
      </c>
      <c r="C27" s="2">
        <v>1.2250000000000001</v>
      </c>
      <c r="D27" t="s">
        <v>83</v>
      </c>
      <c r="F27" s="3" t="s">
        <v>94</v>
      </c>
      <c r="G27">
        <f>ROUND(G17/$C$16*100, 2)</f>
        <v>3.89</v>
      </c>
      <c r="H27" t="s">
        <v>107</v>
      </c>
      <c r="T27" s="8">
        <v>23</v>
      </c>
      <c r="U27" s="8">
        <f t="shared" si="3"/>
        <v>5.8142304420471191E-2</v>
      </c>
      <c r="V27" s="8">
        <f t="shared" si="0"/>
        <v>2.2404458219216217E-9</v>
      </c>
      <c r="W27" s="8">
        <f t="shared" si="4"/>
        <v>5.8142423629760742E-2</v>
      </c>
      <c r="X27" s="8">
        <f t="shared" si="1"/>
        <v>-1.1833440906328097E-7</v>
      </c>
      <c r="Y27" s="8">
        <f t="shared" si="5"/>
        <v>5.8142364025115967E-2</v>
      </c>
      <c r="Z27" s="8">
        <f t="shared" si="2"/>
        <v>-5.8046981298021105E-8</v>
      </c>
      <c r="AA27" s="8">
        <f t="shared" si="6"/>
        <v>-1.3005111672431389E-16</v>
      </c>
      <c r="AB27" s="8">
        <f t="shared" si="7"/>
        <v>6.8689552298086495E-15</v>
      </c>
      <c r="AC27" s="8">
        <f t="shared" si="8"/>
        <v>1.1920928955078125E-7</v>
      </c>
      <c r="AE27" s="8">
        <v>23</v>
      </c>
      <c r="AF27" s="8">
        <f t="shared" si="13"/>
        <v>3.9210093021392822</v>
      </c>
      <c r="AG27" s="8">
        <v>-3.6655461088663799E-6</v>
      </c>
      <c r="AH27" s="8">
        <f t="shared" si="14"/>
        <v>3.9210162162780762</v>
      </c>
      <c r="AI27" s="8">
        <v>7.425977619490709E-7</v>
      </c>
      <c r="AJ27" s="8">
        <f t="shared" si="9"/>
        <v>3.9210127592086792</v>
      </c>
      <c r="AK27" s="8">
        <v>-1.461474069763824E-6</v>
      </c>
      <c r="AL27" s="8">
        <f t="shared" si="10"/>
        <v>5.3571005896318975E-12</v>
      </c>
      <c r="AM27" s="8">
        <f t="shared" si="11"/>
        <v>-1.0852873733532161E-12</v>
      </c>
      <c r="AN27" s="8">
        <f t="shared" si="12"/>
        <v>6.9141387939453125E-6</v>
      </c>
    </row>
    <row r="28" spans="2:40" x14ac:dyDescent="0.2">
      <c r="B28" t="s">
        <v>25</v>
      </c>
      <c r="C28" s="2">
        <v>9.81</v>
      </c>
      <c r="D28" t="s">
        <v>82</v>
      </c>
      <c r="F28" t="s">
        <v>95</v>
      </c>
      <c r="G28">
        <f>ROUND(G18/$C$16*100, 2)</f>
        <v>2.1</v>
      </c>
      <c r="H28" t="s">
        <v>107</v>
      </c>
      <c r="T28" s="8">
        <v>24</v>
      </c>
      <c r="U28" s="8">
        <f t="shared" si="3"/>
        <v>5.8142304420471191E-2</v>
      </c>
      <c r="V28" s="8">
        <f t="shared" si="0"/>
        <v>2.2404458219216217E-9</v>
      </c>
      <c r="W28" s="8">
        <f t="shared" si="4"/>
        <v>5.8142364025115967E-2</v>
      </c>
      <c r="X28" s="8">
        <f t="shared" si="1"/>
        <v>-5.8046981298021105E-8</v>
      </c>
      <c r="Y28" s="8">
        <f t="shared" si="5"/>
        <v>5.8142334222793579E-2</v>
      </c>
      <c r="Z28" s="8">
        <f t="shared" si="2"/>
        <v>-2.7903267654783015E-8</v>
      </c>
      <c r="AA28" s="8">
        <f t="shared" si="6"/>
        <v>-6.2515759435119339E-17</v>
      </c>
      <c r="AB28" s="8">
        <f t="shared" si="7"/>
        <v>1.6197004557108668E-15</v>
      </c>
      <c r="AC28" s="8">
        <f t="shared" si="8"/>
        <v>5.9604644775390625E-8</v>
      </c>
      <c r="AE28" s="8">
        <v>24</v>
      </c>
      <c r="AF28" s="8">
        <f t="shared" si="13"/>
        <v>3.9210127592086792</v>
      </c>
      <c r="AG28" s="8">
        <v>-1.461474069763824E-6</v>
      </c>
      <c r="AH28" s="8">
        <f t="shared" si="14"/>
        <v>3.9210162162780762</v>
      </c>
      <c r="AI28" s="8">
        <v>7.425977619490709E-7</v>
      </c>
      <c r="AJ28" s="8">
        <f t="shared" si="9"/>
        <v>3.9210144877433777</v>
      </c>
      <c r="AK28" s="8">
        <v>-3.5855916369342822E-7</v>
      </c>
      <c r="AL28" s="8">
        <f t="shared" si="10"/>
        <v>5.2402492021414769E-13</v>
      </c>
      <c r="AM28" s="8">
        <f t="shared" si="11"/>
        <v>-2.6626523248507033E-13</v>
      </c>
      <c r="AN28" s="8">
        <f t="shared" si="12"/>
        <v>3.4570693969726562E-6</v>
      </c>
    </row>
    <row r="29" spans="2:40" x14ac:dyDescent="0.2">
      <c r="F29" t="s">
        <v>96</v>
      </c>
      <c r="G29">
        <f>ROUND(G19/$C$16*100, 2)</f>
        <v>3.02</v>
      </c>
      <c r="H29" t="s">
        <v>107</v>
      </c>
      <c r="T29" s="8">
        <v>25</v>
      </c>
      <c r="U29" s="8">
        <f t="shared" si="3"/>
        <v>5.8142304420471191E-2</v>
      </c>
      <c r="V29" s="8">
        <f t="shared" si="0"/>
        <v>2.2404458219216217E-9</v>
      </c>
      <c r="W29" s="8">
        <f t="shared" si="4"/>
        <v>5.8142334222793579E-2</v>
      </c>
      <c r="X29" s="8">
        <f t="shared" si="1"/>
        <v>-2.7903267654783015E-8</v>
      </c>
      <c r="Y29" s="8">
        <f t="shared" si="5"/>
        <v>5.8142319321632385E-2</v>
      </c>
      <c r="Z29" s="8">
        <f t="shared" si="2"/>
        <v>-1.2831410892144568E-8</v>
      </c>
      <c r="AA29" s="8">
        <f t="shared" si="6"/>
        <v>-2.8748080922664884E-17</v>
      </c>
      <c r="AB29" s="8">
        <f t="shared" si="7"/>
        <v>3.58038292512008E-16</v>
      </c>
      <c r="AC29" s="8">
        <f t="shared" si="8"/>
        <v>2.9802322387695312E-8</v>
      </c>
      <c r="AE29" s="8">
        <v>25</v>
      </c>
      <c r="AF29" s="8">
        <f t="shared" si="13"/>
        <v>3.9210144877433777</v>
      </c>
      <c r="AG29" s="8">
        <v>-3.5855916369342822E-7</v>
      </c>
      <c r="AH29" s="8">
        <f t="shared" si="14"/>
        <v>3.9210162162780762</v>
      </c>
      <c r="AI29" s="8">
        <v>7.425977619490709E-7</v>
      </c>
      <c r="AJ29" s="8">
        <f t="shared" si="9"/>
        <v>3.9210153520107269</v>
      </c>
      <c r="AK29" s="8">
        <v>1.9289826980184444E-7</v>
      </c>
      <c r="AL29" s="8">
        <f t="shared" si="10"/>
        <v>-6.916544229805862E-14</v>
      </c>
      <c r="AM29" s="8">
        <f t="shared" si="11"/>
        <v>1.4324582343869774E-13</v>
      </c>
      <c r="AN29" s="8">
        <f t="shared" si="12"/>
        <v>1.7285346984863281E-6</v>
      </c>
    </row>
    <row r="30" spans="2:40" x14ac:dyDescent="0.2">
      <c r="B30" s="15" t="s">
        <v>53</v>
      </c>
      <c r="C30" s="15"/>
      <c r="D30" s="15"/>
      <c r="F30" t="s">
        <v>98</v>
      </c>
      <c r="G30">
        <f>ROUND(G20/$C$16*100, 2)</f>
        <v>32.75</v>
      </c>
      <c r="H30" t="s">
        <v>107</v>
      </c>
      <c r="T30" s="8">
        <v>26</v>
      </c>
      <c r="U30" s="8">
        <f t="shared" si="3"/>
        <v>5.8142304420471191E-2</v>
      </c>
      <c r="V30" s="8">
        <f t="shared" si="0"/>
        <v>2.2404458219216217E-9</v>
      </c>
      <c r="W30" s="8">
        <f t="shared" si="4"/>
        <v>5.8142319321632385E-2</v>
      </c>
      <c r="X30" s="8">
        <f t="shared" si="1"/>
        <v>-1.2831410892144568E-8</v>
      </c>
      <c r="Y30" s="8">
        <f t="shared" si="5"/>
        <v>5.8142311871051788E-2</v>
      </c>
      <c r="Z30" s="8">
        <f t="shared" si="2"/>
        <v>-5.2954825316420262E-9</v>
      </c>
      <c r="AA30" s="8">
        <f t="shared" si="6"/>
        <v>-1.186424171307631E-17</v>
      </c>
      <c r="AB30" s="8">
        <f t="shared" si="7"/>
        <v>6.7948512235672786E-17</v>
      </c>
      <c r="AC30" s="8">
        <f t="shared" si="8"/>
        <v>1.4901161193847656E-8</v>
      </c>
      <c r="AE30" s="8">
        <v>26</v>
      </c>
      <c r="AF30" s="8">
        <f t="shared" si="13"/>
        <v>3.9210144877433777</v>
      </c>
      <c r="AG30" s="8">
        <v>-3.5855916369342822E-7</v>
      </c>
      <c r="AH30" s="8">
        <f t="shared" si="14"/>
        <v>3.9210153520107269</v>
      </c>
      <c r="AI30" s="8">
        <v>1.9289826980184444E-7</v>
      </c>
      <c r="AJ30" s="8">
        <f t="shared" si="9"/>
        <v>3.9210149198770523</v>
      </c>
      <c r="AK30" s="8">
        <v>-8.2830445169435052E-8</v>
      </c>
      <c r="AL30" s="8">
        <f t="shared" si="10"/>
        <v>2.9699615148306995E-14</v>
      </c>
      <c r="AM30" s="8">
        <f t="shared" si="11"/>
        <v>-1.5977849560100565E-14</v>
      </c>
      <c r="AN30" s="8">
        <f t="shared" si="12"/>
        <v>8.6426734924316406E-7</v>
      </c>
    </row>
    <row r="31" spans="2:40" x14ac:dyDescent="0.2">
      <c r="B31" t="s">
        <v>54</v>
      </c>
      <c r="C31" s="2">
        <v>30</v>
      </c>
      <c r="F31" s="3" t="s">
        <v>108</v>
      </c>
      <c r="G31">
        <f>SUM(G25:G30)</f>
        <v>99.999999999999986</v>
      </c>
      <c r="H31" t="s">
        <v>107</v>
      </c>
      <c r="T31" s="8">
        <v>27</v>
      </c>
      <c r="U31" s="8">
        <f t="shared" si="3"/>
        <v>5.8142304420471191E-2</v>
      </c>
      <c r="V31" s="8">
        <f t="shared" si="0"/>
        <v>2.2404458219216217E-9</v>
      </c>
      <c r="W31" s="8">
        <f t="shared" si="4"/>
        <v>5.8142311871051788E-2</v>
      </c>
      <c r="X31" s="8">
        <f t="shared" si="1"/>
        <v>-5.2954825316420262E-9</v>
      </c>
      <c r="Y31" s="8">
        <f t="shared" si="5"/>
        <v>5.814230814576149E-2</v>
      </c>
      <c r="Z31" s="8">
        <f t="shared" si="2"/>
        <v>-1.5275183548602023E-9</v>
      </c>
      <c r="AA31" s="8">
        <f t="shared" si="6"/>
        <v>-3.4223221160551294E-18</v>
      </c>
      <c r="AB31" s="8">
        <f t="shared" si="7"/>
        <v>8.0889467649247661E-18</v>
      </c>
      <c r="AC31" s="8">
        <f t="shared" si="8"/>
        <v>7.4505805969238281E-9</v>
      </c>
      <c r="AE31" s="8">
        <v>27</v>
      </c>
      <c r="AF31" s="8">
        <f t="shared" si="13"/>
        <v>3.9210149198770523</v>
      </c>
      <c r="AG31" s="8">
        <v>-8.2830445169435052E-8</v>
      </c>
      <c r="AH31" s="8">
        <f t="shared" si="14"/>
        <v>3.9210153520107269</v>
      </c>
      <c r="AI31" s="8">
        <v>1.9289826980184444E-7</v>
      </c>
      <c r="AJ31" s="8">
        <f t="shared" si="9"/>
        <v>3.9210151359438896</v>
      </c>
      <c r="AK31" s="8">
        <v>5.415494808147514E-8</v>
      </c>
      <c r="AL31" s="8">
        <f t="shared" si="10"/>
        <v>-4.485678457716229E-15</v>
      </c>
      <c r="AM31" s="8">
        <f t="shared" si="11"/>
        <v>1.0446395786125269E-14</v>
      </c>
      <c r="AN31" s="8">
        <f t="shared" si="12"/>
        <v>4.3213367462158203E-7</v>
      </c>
    </row>
    <row r="32" spans="2:40" x14ac:dyDescent="0.2">
      <c r="T32" s="8">
        <v>28</v>
      </c>
      <c r="U32" s="8">
        <f t="shared" si="3"/>
        <v>5.8142304420471191E-2</v>
      </c>
      <c r="V32" s="8">
        <f t="shared" si="0"/>
        <v>2.2404458219216217E-9</v>
      </c>
      <c r="W32" s="8">
        <f t="shared" si="4"/>
        <v>5.814230814576149E-2</v>
      </c>
      <c r="X32" s="8">
        <f t="shared" si="1"/>
        <v>-1.5275183548602023E-9</v>
      </c>
      <c r="Y32" s="8">
        <f t="shared" si="5"/>
        <v>5.8142306283116341E-2</v>
      </c>
      <c r="Z32" s="8">
        <f t="shared" si="2"/>
        <v>3.564637335307097E-10</v>
      </c>
      <c r="AA32" s="8">
        <f t="shared" si="6"/>
        <v>7.9863768245546083E-19</v>
      </c>
      <c r="AB32" s="8">
        <f t="shared" si="7"/>
        <v>-5.4450489581015521E-19</v>
      </c>
      <c r="AC32" s="8">
        <f t="shared" si="8"/>
        <v>3.7252902984619141E-9</v>
      </c>
      <c r="AE32" s="8">
        <v>28</v>
      </c>
      <c r="AF32" s="8">
        <f t="shared" si="13"/>
        <v>3.9210149198770523</v>
      </c>
      <c r="AG32" s="8">
        <v>-8.2830445169435052E-8</v>
      </c>
      <c r="AH32" s="8">
        <f t="shared" si="14"/>
        <v>3.9210151359438896</v>
      </c>
      <c r="AI32" s="8">
        <v>5.415494808147514E-8</v>
      </c>
      <c r="AJ32" s="8">
        <f t="shared" si="9"/>
        <v>3.921015027910471</v>
      </c>
      <c r="AK32" s="8">
        <v>-1.4337747877846141E-8</v>
      </c>
      <c r="AL32" s="8">
        <f t="shared" si="10"/>
        <v>1.1876020394491185E-15</v>
      </c>
      <c r="AM32" s="8">
        <f t="shared" si="11"/>
        <v>-7.7645999193003814E-16</v>
      </c>
      <c r="AN32" s="8">
        <f t="shared" si="12"/>
        <v>2.1606683731079102E-7</v>
      </c>
    </row>
    <row r="33" spans="6:40" x14ac:dyDescent="0.2">
      <c r="T33" s="8">
        <v>29</v>
      </c>
      <c r="U33" s="8">
        <f t="shared" si="3"/>
        <v>5.8142306283116341E-2</v>
      </c>
      <c r="V33" s="8">
        <f t="shared" si="0"/>
        <v>3.564637335307097E-10</v>
      </c>
      <c r="W33" s="8">
        <f t="shared" si="4"/>
        <v>5.814230814576149E-2</v>
      </c>
      <c r="X33" s="8">
        <f t="shared" si="1"/>
        <v>-1.5275183548602023E-9</v>
      </c>
      <c r="Y33" s="8">
        <f t="shared" si="5"/>
        <v>5.8142307214438915E-2</v>
      </c>
      <c r="Z33" s="8">
        <f t="shared" si="2"/>
        <v>-5.8552730719529933E-10</v>
      </c>
      <c r="AA33" s="8">
        <f t="shared" si="6"/>
        <v>-2.0871925000701918E-19</v>
      </c>
      <c r="AB33" s="8">
        <f t="shared" si="7"/>
        <v>8.94403709012688E-19</v>
      </c>
      <c r="AC33" s="8">
        <f t="shared" si="8"/>
        <v>1.862645149230957E-9</v>
      </c>
      <c r="AE33" s="8">
        <v>29</v>
      </c>
      <c r="AF33" s="8">
        <f t="shared" si="13"/>
        <v>3.921015027910471</v>
      </c>
      <c r="AG33" s="8">
        <v>-1.4337747877846141E-8</v>
      </c>
      <c r="AH33" s="8">
        <f t="shared" si="14"/>
        <v>3.9210151359438896</v>
      </c>
      <c r="AI33" s="8">
        <v>5.415494808147514E-8</v>
      </c>
      <c r="AJ33" s="8">
        <f t="shared" si="9"/>
        <v>3.9210150819271803</v>
      </c>
      <c r="AK33" s="8">
        <v>1.99086001018145E-8</v>
      </c>
      <c r="AL33" s="8">
        <f t="shared" si="10"/>
        <v>-2.8544448886067831E-16</v>
      </c>
      <c r="AM33" s="8">
        <f t="shared" si="11"/>
        <v>1.0781492048886149E-15</v>
      </c>
      <c r="AN33" s="8">
        <f t="shared" si="12"/>
        <v>1.0803341865539551E-7</v>
      </c>
    </row>
    <row r="34" spans="6:40" x14ac:dyDescent="0.2">
      <c r="F34" s="3"/>
      <c r="T34" s="8">
        <v>30</v>
      </c>
      <c r="U34" s="8">
        <f t="shared" si="3"/>
        <v>5.8142306283116341E-2</v>
      </c>
      <c r="V34" s="8">
        <f t="shared" si="0"/>
        <v>3.564637335307097E-10</v>
      </c>
      <c r="W34" s="8">
        <f t="shared" si="4"/>
        <v>5.8142307214438915E-2</v>
      </c>
      <c r="X34" s="8">
        <f t="shared" si="1"/>
        <v>-5.8552730719529933E-10</v>
      </c>
      <c r="Y34" s="8">
        <f t="shared" si="5"/>
        <v>5.8142306748777628E-2</v>
      </c>
      <c r="Z34" s="8">
        <f t="shared" si="2"/>
        <v>-1.1453178683229481E-10</v>
      </c>
      <c r="AA34" s="8">
        <f t="shared" si="6"/>
        <v>-4.0826428342183185E-20</v>
      </c>
      <c r="AB34" s="8">
        <f t="shared" si="7"/>
        <v>6.7061488732179624E-20</v>
      </c>
      <c r="AC34" s="8">
        <f t="shared" si="8"/>
        <v>9.3132257461547852E-10</v>
      </c>
      <c r="AE34" s="8">
        <v>30</v>
      </c>
      <c r="AF34" s="8">
        <f t="shared" si="13"/>
        <v>3.921015027910471</v>
      </c>
      <c r="AG34" s="8">
        <v>-1.4337747877846141E-8</v>
      </c>
      <c r="AH34" s="8">
        <f t="shared" si="14"/>
        <v>3.9210150819271803</v>
      </c>
      <c r="AI34" s="8">
        <v>1.99086001018145E-8</v>
      </c>
      <c r="AJ34" s="13">
        <f t="shared" si="9"/>
        <v>3.9210150549188256</v>
      </c>
      <c r="AK34" s="8">
        <v>2.7854261119841794E-9</v>
      </c>
      <c r="AL34" s="8">
        <f t="shared" si="10"/>
        <v>-3.9936737325998396E-17</v>
      </c>
      <c r="AM34" s="8">
        <f t="shared" si="11"/>
        <v>5.5453934576645001E-17</v>
      </c>
      <c r="AN34" s="8">
        <f t="shared" si="12"/>
        <v>5.4016709327697754E-8</v>
      </c>
    </row>
    <row r="35" spans="6:40" x14ac:dyDescent="0.2">
      <c r="F35" s="3"/>
    </row>
    <row r="36" spans="6:40" x14ac:dyDescent="0.2">
      <c r="AJ36" s="8"/>
    </row>
  </sheetData>
  <mergeCells count="16">
    <mergeCell ref="F3:H3"/>
    <mergeCell ref="J3:L3"/>
    <mergeCell ref="N3:R3"/>
    <mergeCell ref="F7:H7"/>
    <mergeCell ref="J8:L8"/>
    <mergeCell ref="B30:D30"/>
    <mergeCell ref="F24:H24"/>
    <mergeCell ref="F11:H11"/>
    <mergeCell ref="J15:L15"/>
    <mergeCell ref="F15:H15"/>
    <mergeCell ref="B1:D1"/>
    <mergeCell ref="B9:D9"/>
    <mergeCell ref="B15:D15"/>
    <mergeCell ref="B21:D21"/>
    <mergeCell ref="B26:D26"/>
    <mergeCell ref="B3:D3"/>
  </mergeCells>
  <conditionalFormatting sqref="G22">
    <cfRule type="containsText" dxfId="11" priority="1" operator="containsText" text="FALSE">
      <formula>NOT(ISERROR(SEARCH("FALSE",G22)))</formula>
    </cfRule>
    <cfRule type="containsText" dxfId="10" priority="2" operator="containsText" text="TRUE">
      <formula>NOT(ISERROR(SEARCH("TRUE",G22)))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NOT(ISERROR(SEARCH("YES",G22)))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1B79-3625-D347-9401-9B8A24FB7146}">
  <dimension ref="B1:AJ40"/>
  <sheetViews>
    <sheetView tabSelected="1" workbookViewId="0">
      <selection activeCell="D7" sqref="D7"/>
    </sheetView>
  </sheetViews>
  <sheetFormatPr baseColWidth="10" defaultRowHeight="16" x14ac:dyDescent="0.2"/>
  <cols>
    <col min="1" max="1" width="3.6640625" customWidth="1"/>
    <col min="2" max="2" width="20" customWidth="1"/>
    <col min="3" max="3" width="9" customWidth="1"/>
    <col min="4" max="4" width="7" customWidth="1"/>
    <col min="5" max="5" width="3.83203125" customWidth="1"/>
    <col min="6" max="6" width="14.33203125" customWidth="1"/>
    <col min="7" max="7" width="12.83203125" bestFit="1" customWidth="1"/>
    <col min="8" max="8" width="3.83203125" customWidth="1"/>
    <col min="9" max="9" width="3.5" customWidth="1"/>
    <col min="10" max="10" width="11.6640625" customWidth="1"/>
    <col min="11" max="11" width="10.83203125" customWidth="1"/>
    <col min="12" max="12" width="6.5" customWidth="1"/>
    <col min="13" max="14" width="3.6640625" customWidth="1"/>
    <col min="15" max="15" width="3.5" customWidth="1"/>
    <col min="16" max="16" width="5.33203125" customWidth="1"/>
    <col min="17" max="17" width="6.5" customWidth="1"/>
    <col min="18" max="18" width="6.6640625" customWidth="1"/>
    <col min="19" max="19" width="6.33203125" customWidth="1"/>
    <col min="20" max="20" width="6.83203125" customWidth="1"/>
    <col min="21" max="21" width="15.1640625" customWidth="1"/>
    <col min="22" max="22" width="7.5" customWidth="1"/>
    <col min="23" max="23" width="8.83203125" customWidth="1"/>
    <col min="24" max="24" width="9.33203125" customWidth="1"/>
    <col min="29" max="29" width="12.83203125" bestFit="1" customWidth="1"/>
    <col min="31" max="31" width="12.83203125" bestFit="1" customWidth="1"/>
    <col min="33" max="33" width="12.83203125" bestFit="1" customWidth="1"/>
  </cols>
  <sheetData>
    <row r="1" spans="2:36" x14ac:dyDescent="0.2">
      <c r="B1" s="14" t="s">
        <v>110</v>
      </c>
      <c r="C1" s="14"/>
      <c r="D1" s="14"/>
    </row>
    <row r="2" spans="2:36" x14ac:dyDescent="0.2">
      <c r="P2" s="1" t="s">
        <v>73</v>
      </c>
      <c r="AA2" s="1" t="s">
        <v>109</v>
      </c>
    </row>
    <row r="3" spans="2:36" x14ac:dyDescent="0.2">
      <c r="B3" s="16" t="s">
        <v>0</v>
      </c>
      <c r="C3" s="17"/>
      <c r="D3" s="17"/>
      <c r="F3" s="16" t="s">
        <v>28</v>
      </c>
      <c r="G3" s="17"/>
      <c r="H3" s="17"/>
      <c r="J3" s="15" t="s">
        <v>32</v>
      </c>
      <c r="K3" s="15"/>
      <c r="L3" s="15"/>
      <c r="M3" s="4"/>
      <c r="N3" s="4"/>
      <c r="P3" s="7" t="s">
        <v>63</v>
      </c>
      <c r="Q3" s="7" t="s">
        <v>64</v>
      </c>
      <c r="R3" s="7" t="s">
        <v>66</v>
      </c>
      <c r="S3" s="7" t="s">
        <v>65</v>
      </c>
      <c r="T3" s="7" t="s">
        <v>67</v>
      </c>
      <c r="U3" s="7" t="s">
        <v>68</v>
      </c>
      <c r="V3" s="7" t="s">
        <v>69</v>
      </c>
      <c r="W3" s="7" t="s">
        <v>71</v>
      </c>
      <c r="X3" s="7" t="s">
        <v>72</v>
      </c>
      <c r="Y3" s="7" t="s">
        <v>70</v>
      </c>
      <c r="AA3" s="7" t="s">
        <v>63</v>
      </c>
      <c r="AB3" s="7" t="s">
        <v>64</v>
      </c>
      <c r="AC3" s="7" t="s">
        <v>66</v>
      </c>
      <c r="AD3" s="7" t="s">
        <v>65</v>
      </c>
      <c r="AE3" s="7" t="s">
        <v>67</v>
      </c>
      <c r="AF3" s="7" t="s">
        <v>68</v>
      </c>
      <c r="AG3" s="7" t="s">
        <v>69</v>
      </c>
      <c r="AH3" s="7" t="s">
        <v>71</v>
      </c>
      <c r="AI3" s="7" t="s">
        <v>72</v>
      </c>
      <c r="AJ3" s="7" t="s">
        <v>70</v>
      </c>
    </row>
    <row r="4" spans="2:36" x14ac:dyDescent="0.2">
      <c r="B4" t="s">
        <v>1</v>
      </c>
      <c r="C4" s="2" t="s">
        <v>74</v>
      </c>
      <c r="F4" t="s">
        <v>23</v>
      </c>
      <c r="G4">
        <f xml:space="preserve"> 1/$C$9 * SQRT( ($C$23*$C$37)^3 / (2*$C$36*PI()*$C$24^2*$C$5) )</f>
        <v>272.55384219533602</v>
      </c>
      <c r="H4" t="s">
        <v>27</v>
      </c>
      <c r="J4" t="s">
        <v>86</v>
      </c>
      <c r="K4">
        <f xml:space="preserve"> $C$23 * $C$37</f>
        <v>43.161285388106485</v>
      </c>
      <c r="L4" t="s">
        <v>30</v>
      </c>
      <c r="P4" s="8">
        <v>0</v>
      </c>
      <c r="Q4" s="8">
        <v>0</v>
      </c>
      <c r="R4" s="8">
        <f xml:space="preserve"> $K$15 * TAN($K$12) + $K$16 / (2 * SQRT($K$15^2 + Q4^2)) - Q4</f>
        <v>0.64750932398757122</v>
      </c>
      <c r="S4" s="8">
        <v>1</v>
      </c>
      <c r="T4" s="8">
        <f xml:space="preserve"> $K$15 * TAN($K$12) + $K$16 / (2 * SQRT($K$15^2 + S4^2)) - S4</f>
        <v>-0.57929182305885907</v>
      </c>
      <c r="U4" s="8">
        <f>(Q4+S4)/2</f>
        <v>0.5</v>
      </c>
      <c r="V4" s="8">
        <f xml:space="preserve"> $K$15 * TAN($K$12) + $K$16 / (2 * SQRT($K$15^2 + U4^2)) - U4</f>
        <v>-7.0844803943252932E-2</v>
      </c>
      <c r="W4" s="8">
        <f>R4*V4</f>
        <v>-4.5872671109327724E-2</v>
      </c>
      <c r="X4" s="8">
        <f>T4*V4</f>
        <v>4.1039815630534437E-2</v>
      </c>
      <c r="Y4" s="8">
        <f>S4-Q4</f>
        <v>1</v>
      </c>
      <c r="AA4" s="8">
        <v>0</v>
      </c>
      <c r="AB4" s="8"/>
      <c r="AC4" s="8">
        <f>G23</f>
        <v>-9.0737541924568177E-9</v>
      </c>
      <c r="AD4" s="8"/>
      <c r="AE4" s="8">
        <f>G23</f>
        <v>-9.0737541924568177E-9</v>
      </c>
      <c r="AF4" s="8"/>
      <c r="AG4" s="8">
        <f>G23</f>
        <v>-9.0737541924568177E-9</v>
      </c>
      <c r="AH4" s="8"/>
      <c r="AI4" s="8"/>
      <c r="AJ4" s="8"/>
    </row>
    <row r="5" spans="2:36" x14ac:dyDescent="0.2">
      <c r="B5" t="s">
        <v>3</v>
      </c>
      <c r="C5" s="2">
        <v>4</v>
      </c>
      <c r="F5" t="s">
        <v>29</v>
      </c>
      <c r="G5">
        <f>$C$23*$C$37/$C$5</f>
        <v>10.790321347026621</v>
      </c>
      <c r="H5" t="s">
        <v>30</v>
      </c>
      <c r="J5" t="s">
        <v>84</v>
      </c>
      <c r="K5">
        <f>0.5 * $C$36 * $C$26^2</f>
        <v>551.24999999998909</v>
      </c>
      <c r="L5" t="s">
        <v>85</v>
      </c>
      <c r="P5" s="8">
        <v>1</v>
      </c>
      <c r="Q5" s="8">
        <f xml:space="preserve"> IF(W4&gt;0, U4, Q4)</f>
        <v>0</v>
      </c>
      <c r="R5" s="8">
        <f t="shared" ref="R5:R34" si="0" xml:space="preserve"> $K$15 * TAN($K$12) + $K$16 / (2 * SQRT($K$15^2 + Q5^2)) - Q5</f>
        <v>0.64750932398757122</v>
      </c>
      <c r="S5" s="8">
        <f xml:space="preserve"> IF(X4&gt;0, U4, S4)</f>
        <v>0.5</v>
      </c>
      <c r="T5" s="8">
        <f t="shared" ref="T5:T34" si="1" xml:space="preserve"> $K$15 * TAN($K$12) + $K$16 / (2 * SQRT($K$15^2 + S5^2)) - S5</f>
        <v>-7.0844803943252932E-2</v>
      </c>
      <c r="U5" s="8">
        <f>(Q5+S5)/2</f>
        <v>0.25</v>
      </c>
      <c r="V5" s="8">
        <f t="shared" ref="V5:V34" si="2" xml:space="preserve"> $K$15 * TAN($K$12) + $K$16 / (2 * SQRT($K$15^2 + U5^2)) - U5</f>
        <v>0.19582236987904716</v>
      </c>
      <c r="W5" s="8">
        <f t="shared" ref="W5:W34" si="3">R5*V5</f>
        <v>0.12679681034202595</v>
      </c>
      <c r="X5" s="8">
        <f t="shared" ref="X5:X34" si="4">T5*V5</f>
        <v>-1.3872997401784255E-2</v>
      </c>
      <c r="Y5" s="8">
        <f t="shared" ref="Y5:Y34" si="5">S5-Q5</f>
        <v>0.5</v>
      </c>
      <c r="AA5" s="8">
        <v>1</v>
      </c>
      <c r="AB5" s="12">
        <v>1</v>
      </c>
      <c r="AC5" s="8">
        <f t="dataTable" ref="AC5:AC34" dt2D="0" dtr="0" r1="C23" ca="1"/>
        <v>-2.2498871399777762</v>
      </c>
      <c r="AD5" s="12">
        <v>40</v>
      </c>
      <c r="AE5" s="8">
        <f t="dataTable" ref="AE5:AE34" dt2D="0" dtr="0" r1="C23"/>
        <v>3.9777749209738857</v>
      </c>
      <c r="AF5" s="8">
        <f>(AB5+AD5)/2</f>
        <v>20.5</v>
      </c>
      <c r="AG5" s="8">
        <f t="dataTable" ref="AG5:AG34" dt2D="0" dtr="0" r1="C23" ca="1"/>
        <v>6.6470425154970396</v>
      </c>
      <c r="AH5" s="8">
        <f>AC5*AG5</f>
        <v>-14.955095474502318</v>
      </c>
      <c r="AI5" s="8">
        <f>AE5*AG5</f>
        <v>26.440439016791295</v>
      </c>
      <c r="AJ5" s="8">
        <f>AD5-AB5</f>
        <v>39</v>
      </c>
    </row>
    <row r="6" spans="2:36" x14ac:dyDescent="0.2">
      <c r="B6" t="s">
        <v>75</v>
      </c>
      <c r="C6" s="2">
        <v>2</v>
      </c>
      <c r="J6" t="s">
        <v>87</v>
      </c>
      <c r="K6">
        <f>K4/(K5*$C$27)</f>
        <v>0.59999999801331605</v>
      </c>
      <c r="P6" s="8">
        <v>2</v>
      </c>
      <c r="Q6" s="8">
        <f t="shared" ref="Q6:Q34" si="6" xml:space="preserve"> IF(W5&gt;0, U5, Q5)</f>
        <v>0.25</v>
      </c>
      <c r="R6" s="8">
        <f t="shared" si="0"/>
        <v>0.19582236987904716</v>
      </c>
      <c r="S6" s="8">
        <f t="shared" ref="S6:S34" si="7" xml:space="preserve"> IF(X5&gt;0, U5, S5)</f>
        <v>0.5</v>
      </c>
      <c r="T6" s="8">
        <f t="shared" si="1"/>
        <v>-7.0844803943252932E-2</v>
      </c>
      <c r="U6" s="8">
        <f t="shared" ref="U6:U34" si="8">(Q6+S6)/2</f>
        <v>0.375</v>
      </c>
      <c r="V6" s="8">
        <f t="shared" si="2"/>
        <v>5.9752233770700214E-2</v>
      </c>
      <c r="W6" s="8">
        <f t="shared" si="3"/>
        <v>1.170082402254535E-2</v>
      </c>
      <c r="X6" s="8">
        <f t="shared" si="4"/>
        <v>-4.2331352866566739E-3</v>
      </c>
      <c r="Y6" s="8">
        <f t="shared" si="5"/>
        <v>0.25</v>
      </c>
      <c r="AA6" s="8">
        <v>2</v>
      </c>
      <c r="AB6" s="8">
        <f xml:space="preserve"> IF(AH5&gt;0, AF5, AB5)</f>
        <v>1</v>
      </c>
      <c r="AC6" s="8">
        <v>-2.2498871399777762</v>
      </c>
      <c r="AD6" s="8">
        <f xml:space="preserve"> IF(AI5&gt;0, AF5, AD5)</f>
        <v>20.5</v>
      </c>
      <c r="AE6" s="8">
        <v>6.6470425154970396</v>
      </c>
      <c r="AF6" s="8">
        <f t="shared" ref="AF6:AF34" si="9">(AB6+AD6)/2</f>
        <v>10.75</v>
      </c>
      <c r="AG6" s="8">
        <v>3.3928340666996331</v>
      </c>
      <c r="AH6" s="8">
        <f t="shared" ref="AH6:AH34" si="10">AC6*AG6</f>
        <v>-7.633493734746005</v>
      </c>
      <c r="AI6" s="8">
        <f t="shared" ref="AI6:AI34" si="11">AE6*AG6</f>
        <v>22.552312289379181</v>
      </c>
      <c r="AJ6" s="8">
        <f t="shared" ref="AJ6:AJ34" si="12">AD6-AB6</f>
        <v>19.5</v>
      </c>
    </row>
    <row r="7" spans="2:36" x14ac:dyDescent="0.2">
      <c r="B7" t="s">
        <v>4</v>
      </c>
      <c r="C7" s="2">
        <v>0.13</v>
      </c>
      <c r="F7" s="16" t="s">
        <v>31</v>
      </c>
      <c r="G7" s="17"/>
      <c r="H7" s="17"/>
      <c r="J7" t="s">
        <v>88</v>
      </c>
      <c r="K7">
        <f xml:space="preserve"> $C$12 + K6^2 / (PI()*$C$14*$C$13)</f>
        <v>6.3573241305689018E-2</v>
      </c>
      <c r="P7" s="8">
        <v>3</v>
      </c>
      <c r="Q7" s="8">
        <f t="shared" si="6"/>
        <v>0.375</v>
      </c>
      <c r="R7" s="8">
        <f t="shared" si="0"/>
        <v>5.9752233770700214E-2</v>
      </c>
      <c r="S7" s="8">
        <f t="shared" si="7"/>
        <v>0.5</v>
      </c>
      <c r="T7" s="8">
        <f xml:space="preserve"> $K$15 * TAN($K$12) + $K$16 / (2 * SQRT($K$15^2 + S7^2)) - S7</f>
        <v>-7.0844803943252932E-2</v>
      </c>
      <c r="U7" s="8">
        <f t="shared" si="8"/>
        <v>0.4375</v>
      </c>
      <c r="V7" s="8">
        <f t="shared" si="2"/>
        <v>-5.9419702608171088E-3</v>
      </c>
      <c r="W7" s="8">
        <f t="shared" si="3"/>
        <v>-3.550459960828924E-4</v>
      </c>
      <c r="X7" s="8">
        <f t="shared" si="4"/>
        <v>4.2095771816422754E-4</v>
      </c>
      <c r="Y7" s="8">
        <f t="shared" si="5"/>
        <v>0.125</v>
      </c>
      <c r="AA7" s="8">
        <v>3</v>
      </c>
      <c r="AB7" s="8">
        <f t="shared" ref="AB7:AB34" si="13" xml:space="preserve"> IF(AH6&gt;0, AF6, AB6)</f>
        <v>1</v>
      </c>
      <c r="AC7" s="8">
        <v>-2.2498871399777762</v>
      </c>
      <c r="AD7" s="8">
        <f xml:space="preserve"> IF(AI6&gt;0, AF6, AD6)</f>
        <v>10.75</v>
      </c>
      <c r="AE7" s="8">
        <v>3.3928340666996331</v>
      </c>
      <c r="AF7" s="8">
        <f t="shared" si="9"/>
        <v>5.875</v>
      </c>
      <c r="AG7" s="8">
        <v>0.87544461349367264</v>
      </c>
      <c r="AH7" s="8">
        <f t="shared" si="10"/>
        <v>-1.9696515776622288</v>
      </c>
      <c r="AI7" s="8">
        <f t="shared" si="11"/>
        <v>2.9702383081700257</v>
      </c>
      <c r="AJ7" s="8">
        <f t="shared" si="12"/>
        <v>9.75</v>
      </c>
    </row>
    <row r="8" spans="2:36" x14ac:dyDescent="0.2">
      <c r="B8" t="s">
        <v>76</v>
      </c>
      <c r="C8" s="2">
        <v>0.13</v>
      </c>
      <c r="F8" s="3" t="s">
        <v>56</v>
      </c>
      <c r="G8">
        <f xml:space="preserve"> K18 + K13 * (K23*K20 + $C$26 * SIN(K12) )</f>
        <v>74.19142713086022</v>
      </c>
      <c r="H8" t="s">
        <v>27</v>
      </c>
      <c r="J8" t="s">
        <v>89</v>
      </c>
      <c r="K8">
        <f xml:space="preserve"> K5 * $C$27 * K7</f>
        <v>4.573171366878749</v>
      </c>
      <c r="M8" s="1"/>
      <c r="N8" s="1"/>
      <c r="P8" s="8">
        <v>4</v>
      </c>
      <c r="Q8" s="8">
        <f t="shared" si="6"/>
        <v>0.375</v>
      </c>
      <c r="R8" s="8">
        <f t="shared" si="0"/>
        <v>5.9752233770700214E-2</v>
      </c>
      <c r="S8" s="8">
        <f t="shared" si="7"/>
        <v>0.4375</v>
      </c>
      <c r="T8" s="8">
        <f t="shared" si="1"/>
        <v>-5.9419702608171088E-3</v>
      </c>
      <c r="U8" s="8">
        <f t="shared" si="8"/>
        <v>0.40625</v>
      </c>
      <c r="V8" s="8">
        <f t="shared" si="2"/>
        <v>2.6783724397114683E-2</v>
      </c>
      <c r="W8" s="8">
        <f t="shared" si="3"/>
        <v>1.6003873614264031E-3</v>
      </c>
      <c r="X8" s="8">
        <f t="shared" si="4"/>
        <v>-1.591480938415771E-4</v>
      </c>
      <c r="Y8" s="8">
        <f t="shared" si="5"/>
        <v>6.25E-2</v>
      </c>
      <c r="AA8" s="8">
        <v>4</v>
      </c>
      <c r="AB8" s="8">
        <f t="shared" si="13"/>
        <v>1</v>
      </c>
      <c r="AC8" s="8">
        <v>-2.2498871399777762</v>
      </c>
      <c r="AD8" s="8">
        <f t="shared" ref="AD8:AD34" si="14" xml:space="preserve"> IF(AI7&gt;0, AF7, AD7)</f>
        <v>5.875</v>
      </c>
      <c r="AE8" s="8">
        <v>0.87544461349367264</v>
      </c>
      <c r="AF8" s="8">
        <f t="shared" si="9"/>
        <v>3.4375</v>
      </c>
      <c r="AG8" s="8">
        <v>-0.60153118658627847</v>
      </c>
      <c r="AH8" s="8">
        <f t="shared" si="10"/>
        <v>1.35337728099604</v>
      </c>
      <c r="AI8" s="8">
        <f t="shared" si="11"/>
        <v>-0.5266072371454148</v>
      </c>
      <c r="AJ8" s="8">
        <f t="shared" si="12"/>
        <v>4.875</v>
      </c>
    </row>
    <row r="9" spans="2:36" x14ac:dyDescent="0.2">
      <c r="B9" t="s">
        <v>5</v>
      </c>
      <c r="C9" s="2">
        <v>0.75</v>
      </c>
      <c r="F9" s="3" t="s">
        <v>57</v>
      </c>
      <c r="G9">
        <f xml:space="preserve"> $C$6 * G8</f>
        <v>148.38285426172044</v>
      </c>
      <c r="H9" t="s">
        <v>27</v>
      </c>
      <c r="P9" s="8">
        <v>5</v>
      </c>
      <c r="Q9" s="8">
        <f t="shared" si="6"/>
        <v>0.40625</v>
      </c>
      <c r="R9" s="8">
        <f t="shared" si="0"/>
        <v>2.6783724397114683E-2</v>
      </c>
      <c r="S9" s="8">
        <f t="shared" si="7"/>
        <v>0.4375</v>
      </c>
      <c r="T9" s="8">
        <f xml:space="preserve"> $K$15 * TAN($K$12) + $K$16 / (2 * SQRT($K$15^2 + S9^2)) - S9</f>
        <v>-5.9419702608171088E-3</v>
      </c>
      <c r="U9" s="8">
        <f t="shared" si="8"/>
        <v>0.421875</v>
      </c>
      <c r="V9" s="8">
        <f t="shared" si="2"/>
        <v>1.0393847059845418E-2</v>
      </c>
      <c r="W9" s="8">
        <f t="shared" si="3"/>
        <v>2.7838593507666044E-4</v>
      </c>
      <c r="X9" s="8">
        <f t="shared" si="4"/>
        <v>-6.1759930125082819E-5</v>
      </c>
      <c r="Y9" s="8">
        <f t="shared" si="5"/>
        <v>3.125E-2</v>
      </c>
      <c r="AA9" s="8">
        <v>5</v>
      </c>
      <c r="AB9" s="8">
        <f t="shared" si="13"/>
        <v>3.4375</v>
      </c>
      <c r="AC9" s="8">
        <v>-0.60153118658627847</v>
      </c>
      <c r="AD9" s="8">
        <f t="shared" si="14"/>
        <v>5.875</v>
      </c>
      <c r="AE9" s="8">
        <v>0.87544461349367264</v>
      </c>
      <c r="AF9" s="8">
        <f t="shared" si="9"/>
        <v>4.65625</v>
      </c>
      <c r="AG9" s="8">
        <v>0.15620639716001783</v>
      </c>
      <c r="AH9" s="8">
        <f t="shared" si="10"/>
        <v>-9.396301943603301E-2</v>
      </c>
      <c r="AI9" s="8">
        <f t="shared" si="11"/>
        <v>0.13675004898699092</v>
      </c>
      <c r="AJ9" s="8">
        <f t="shared" si="12"/>
        <v>2.4375</v>
      </c>
    </row>
    <row r="10" spans="2:36" x14ac:dyDescent="0.2">
      <c r="P10" s="8">
        <v>6</v>
      </c>
      <c r="Q10" s="8">
        <f t="shared" si="6"/>
        <v>0.421875</v>
      </c>
      <c r="R10" s="8">
        <f t="shared" si="0"/>
        <v>1.0393847059845418E-2</v>
      </c>
      <c r="S10" s="8">
        <f t="shared" si="7"/>
        <v>0.4375</v>
      </c>
      <c r="T10" s="8">
        <f t="shared" si="1"/>
        <v>-5.9419702608171088E-3</v>
      </c>
      <c r="U10" s="8">
        <f t="shared" si="8"/>
        <v>0.4296875</v>
      </c>
      <c r="V10" s="8">
        <f t="shared" si="2"/>
        <v>2.2195442467059512E-3</v>
      </c>
      <c r="W10" s="8">
        <f t="shared" si="3"/>
        <v>2.3069603442821464E-5</v>
      </c>
      <c r="X10" s="8">
        <f t="shared" si="4"/>
        <v>-1.3188465906494474E-5</v>
      </c>
      <c r="Y10" s="8">
        <f t="shared" si="5"/>
        <v>1.5625E-2</v>
      </c>
      <c r="AA10" s="8">
        <v>6</v>
      </c>
      <c r="AB10" s="8">
        <f t="shared" si="13"/>
        <v>3.4375</v>
      </c>
      <c r="AC10" s="8">
        <v>-0.60153118658627847</v>
      </c>
      <c r="AD10" s="8">
        <f t="shared" si="14"/>
        <v>4.65625</v>
      </c>
      <c r="AE10" s="8">
        <v>0.15620639716001783</v>
      </c>
      <c r="AF10" s="8">
        <f t="shared" si="9"/>
        <v>4.046875</v>
      </c>
      <c r="AG10" s="8">
        <v>-0.21768251674963324</v>
      </c>
      <c r="AH10" s="8">
        <f t="shared" si="10"/>
        <v>0.13094282259949433</v>
      </c>
      <c r="AI10" s="8">
        <f t="shared" si="11"/>
        <v>-3.4003401666185443E-2</v>
      </c>
      <c r="AJ10" s="8">
        <f t="shared" si="12"/>
        <v>1.21875</v>
      </c>
    </row>
    <row r="11" spans="2:36" x14ac:dyDescent="0.2">
      <c r="B11" s="16" t="s">
        <v>77</v>
      </c>
      <c r="C11" s="17"/>
      <c r="D11" s="17"/>
      <c r="F11" s="16" t="s">
        <v>101</v>
      </c>
      <c r="G11" s="17"/>
      <c r="H11" s="17"/>
      <c r="J11" s="16" t="s">
        <v>40</v>
      </c>
      <c r="K11" s="19"/>
      <c r="L11" s="19"/>
      <c r="P11" s="8">
        <v>7</v>
      </c>
      <c r="Q11" s="8">
        <f t="shared" si="6"/>
        <v>0.4296875</v>
      </c>
      <c r="R11" s="8">
        <f t="shared" si="0"/>
        <v>2.2195442467059512E-3</v>
      </c>
      <c r="S11" s="8">
        <f t="shared" si="7"/>
        <v>0.4375</v>
      </c>
      <c r="T11" s="8">
        <f t="shared" si="1"/>
        <v>-5.9419702608171088E-3</v>
      </c>
      <c r="U11" s="8">
        <f t="shared" si="8"/>
        <v>0.43359375</v>
      </c>
      <c r="V11" s="8">
        <f t="shared" si="2"/>
        <v>-1.8627689404249748E-3</v>
      </c>
      <c r="W11" s="8">
        <f t="shared" si="3"/>
        <v>-4.1344980846627933E-6</v>
      </c>
      <c r="X11" s="8">
        <f t="shared" si="4"/>
        <v>1.1068517646778997E-5</v>
      </c>
      <c r="Y11" s="8">
        <f t="shared" si="5"/>
        <v>7.8125E-3</v>
      </c>
      <c r="AA11" s="8">
        <v>7</v>
      </c>
      <c r="AB11" s="8">
        <f t="shared" si="13"/>
        <v>4.046875</v>
      </c>
      <c r="AC11" s="8">
        <v>-0.21768251674963324</v>
      </c>
      <c r="AD11" s="8">
        <f t="shared" si="14"/>
        <v>4.65625</v>
      </c>
      <c r="AE11" s="8">
        <v>0.15620639716001783</v>
      </c>
      <c r="AF11" s="8">
        <f t="shared" si="9"/>
        <v>4.3515625</v>
      </c>
      <c r="AG11" s="8">
        <v>-2.9517985021608517E-2</v>
      </c>
      <c r="AH11" s="8">
        <f t="shared" si="10"/>
        <v>6.425549268881719E-3</v>
      </c>
      <c r="AI11" s="8">
        <f t="shared" si="11"/>
        <v>-4.6108980916488374E-3</v>
      </c>
      <c r="AJ11" s="8">
        <f t="shared" si="12"/>
        <v>0.609375</v>
      </c>
    </row>
    <row r="12" spans="2:36" x14ac:dyDescent="0.2">
      <c r="B12" t="s">
        <v>47</v>
      </c>
      <c r="C12" s="2">
        <v>3.9699999999999999E-2</v>
      </c>
      <c r="F12" t="s">
        <v>59</v>
      </c>
      <c r="G12">
        <f xml:space="preserve"> (G4 * $C$33 + G9 * ($C$32/$C$26)) / 3600</f>
        <v>25.039832732546564</v>
      </c>
      <c r="H12" t="s">
        <v>60</v>
      </c>
      <c r="J12" t="s">
        <v>39</v>
      </c>
      <c r="K12">
        <f xml:space="preserve"> 85/180 * PI()</f>
        <v>1.48352986419518</v>
      </c>
      <c r="L12" t="s">
        <v>41</v>
      </c>
      <c r="P12" s="8">
        <v>8</v>
      </c>
      <c r="Q12" s="8">
        <f t="shared" si="6"/>
        <v>0.4296875</v>
      </c>
      <c r="R12" s="8">
        <f t="shared" si="0"/>
        <v>2.2195442467059512E-3</v>
      </c>
      <c r="S12" s="8">
        <f t="shared" si="7"/>
        <v>0.43359375</v>
      </c>
      <c r="T12" s="8">
        <f t="shared" si="1"/>
        <v>-1.8627689404249748E-3</v>
      </c>
      <c r="U12" s="8">
        <f t="shared" si="8"/>
        <v>0.431640625</v>
      </c>
      <c r="V12" s="8">
        <f t="shared" si="2"/>
        <v>1.779934625792956E-4</v>
      </c>
      <c r="W12" s="8">
        <f t="shared" si="3"/>
        <v>3.9506436581914655E-7</v>
      </c>
      <c r="X12" s="8">
        <f t="shared" si="4"/>
        <v>-3.3156069369140685E-7</v>
      </c>
      <c r="Y12" s="8">
        <f t="shared" si="5"/>
        <v>3.90625E-3</v>
      </c>
      <c r="AA12" s="8">
        <v>8</v>
      </c>
      <c r="AB12" s="8">
        <f t="shared" si="13"/>
        <v>4.3515625</v>
      </c>
      <c r="AC12" s="8">
        <v>-2.9517985021608517E-2</v>
      </c>
      <c r="AD12" s="8">
        <f t="shared" si="14"/>
        <v>4.65625</v>
      </c>
      <c r="AE12" s="8">
        <v>0.15620639716001783</v>
      </c>
      <c r="AF12" s="8">
        <f t="shared" si="9"/>
        <v>4.50390625</v>
      </c>
      <c r="AG12" s="8">
        <v>6.3646505653693453E-2</v>
      </c>
      <c r="AH12" s="8">
        <f t="shared" si="10"/>
        <v>-1.8787166005634452E-3</v>
      </c>
      <c r="AI12" s="8">
        <f t="shared" si="11"/>
        <v>9.9419913399881599E-3</v>
      </c>
      <c r="AJ12" s="8">
        <f t="shared" si="12"/>
        <v>0.3046875</v>
      </c>
    </row>
    <row r="13" spans="2:36" x14ac:dyDescent="0.2">
      <c r="B13" t="s">
        <v>78</v>
      </c>
      <c r="C13" s="2">
        <v>6</v>
      </c>
      <c r="F13" t="s">
        <v>102</v>
      </c>
      <c r="G13">
        <f xml:space="preserve"> $C$33 + $C$32 / $C$26</f>
        <v>406.66666666666833</v>
      </c>
      <c r="H13" t="s">
        <v>22</v>
      </c>
      <c r="J13" t="s">
        <v>29</v>
      </c>
      <c r="K13">
        <f xml:space="preserve"> K8 / $C$6</f>
        <v>2.2865856834393745</v>
      </c>
      <c r="L13" t="s">
        <v>30</v>
      </c>
      <c r="P13" s="8">
        <v>9</v>
      </c>
      <c r="Q13" s="8">
        <f t="shared" si="6"/>
        <v>0.431640625</v>
      </c>
      <c r="R13" s="8">
        <f t="shared" si="0"/>
        <v>1.779934625792956E-4</v>
      </c>
      <c r="S13" s="8">
        <f t="shared" si="7"/>
        <v>0.43359375</v>
      </c>
      <c r="T13" s="8">
        <f t="shared" si="1"/>
        <v>-1.8627689404249748E-3</v>
      </c>
      <c r="U13" s="8">
        <f t="shared" si="8"/>
        <v>0.4326171875</v>
      </c>
      <c r="V13" s="8">
        <f t="shared" si="2"/>
        <v>-8.4248562844158048E-4</v>
      </c>
      <c r="W13" s="8">
        <f t="shared" si="3"/>
        <v>-1.4995693417961079E-7</v>
      </c>
      <c r="X13" s="8">
        <f t="shared" si="4"/>
        <v>1.5693560614153919E-6</v>
      </c>
      <c r="Y13" s="8">
        <f t="shared" si="5"/>
        <v>1.953125E-3</v>
      </c>
      <c r="AA13" s="8">
        <v>9</v>
      </c>
      <c r="AB13" s="8">
        <f t="shared" si="13"/>
        <v>4.3515625</v>
      </c>
      <c r="AC13" s="8">
        <v>-2.9517985021608517E-2</v>
      </c>
      <c r="AD13" s="8">
        <f t="shared" si="14"/>
        <v>4.50390625</v>
      </c>
      <c r="AE13" s="8">
        <v>6.3646505653693453E-2</v>
      </c>
      <c r="AF13" s="8">
        <f t="shared" si="9"/>
        <v>4.427734375</v>
      </c>
      <c r="AG13" s="8">
        <v>1.7140159029052526E-2</v>
      </c>
      <c r="AH13" s="8">
        <f t="shared" si="10"/>
        <v>-5.0594295748756049E-4</v>
      </c>
      <c r="AI13" s="8">
        <f t="shared" si="11"/>
        <v>1.0909112285477965E-3</v>
      </c>
      <c r="AJ13" s="8">
        <f t="shared" si="12"/>
        <v>0.15234375</v>
      </c>
    </row>
    <row r="14" spans="2:36" x14ac:dyDescent="0.2">
      <c r="B14" t="s">
        <v>79</v>
      </c>
      <c r="C14" s="2">
        <v>0.8</v>
      </c>
      <c r="J14" t="s">
        <v>43</v>
      </c>
      <c r="K14">
        <f xml:space="preserve"> PI() * $C$26 / ($C$25 * $C$28)</f>
        <v>888.29674174433251</v>
      </c>
      <c r="L14" t="s">
        <v>44</v>
      </c>
      <c r="P14" s="8">
        <v>10</v>
      </c>
      <c r="Q14" s="8">
        <f t="shared" si="6"/>
        <v>0.431640625</v>
      </c>
      <c r="R14" s="8">
        <f t="shared" si="0"/>
        <v>1.779934625792956E-4</v>
      </c>
      <c r="S14" s="8">
        <f t="shared" si="7"/>
        <v>0.4326171875</v>
      </c>
      <c r="T14" s="8">
        <f t="shared" si="1"/>
        <v>-8.4248562844158048E-4</v>
      </c>
      <c r="U14" s="8">
        <f t="shared" si="8"/>
        <v>0.43212890625</v>
      </c>
      <c r="V14" s="8">
        <f t="shared" si="2"/>
        <v>-3.3227063711938065E-4</v>
      </c>
      <c r="W14" s="8">
        <f t="shared" si="3"/>
        <v>-5.9142001214307189E-8</v>
      </c>
      <c r="X14" s="8">
        <f t="shared" si="4"/>
        <v>2.7993323652620575E-7</v>
      </c>
      <c r="Y14" s="8">
        <f t="shared" si="5"/>
        <v>9.765625E-4</v>
      </c>
      <c r="AA14" s="8">
        <v>10</v>
      </c>
      <c r="AB14" s="8">
        <f t="shared" si="13"/>
        <v>4.3515625</v>
      </c>
      <c r="AC14" s="8">
        <v>-2.9517985021608517E-2</v>
      </c>
      <c r="AD14" s="8">
        <f t="shared" si="14"/>
        <v>4.427734375</v>
      </c>
      <c r="AE14" s="8">
        <v>1.7140159029052526E-2</v>
      </c>
      <c r="AF14" s="8">
        <f t="shared" si="9"/>
        <v>4.3896484375</v>
      </c>
      <c r="AG14" s="8">
        <v>-6.1698965877967638E-3</v>
      </c>
      <c r="AH14" s="8">
        <f t="shared" si="10"/>
        <v>1.8212291506345836E-4</v>
      </c>
      <c r="AI14" s="8">
        <f t="shared" si="11"/>
        <v>-1.0575300870764507E-4</v>
      </c>
      <c r="AJ14" s="8">
        <f t="shared" si="12"/>
        <v>7.6171875E-2</v>
      </c>
    </row>
    <row r="15" spans="2:36" x14ac:dyDescent="0.2">
      <c r="J15" t="s">
        <v>91</v>
      </c>
      <c r="K15">
        <f xml:space="preserve"> $C$26 * COS(K12) / ( K14 * $C$25)</f>
        <v>3.6065294920551577E-2</v>
      </c>
      <c r="P15" s="8">
        <v>11</v>
      </c>
      <c r="Q15" s="8">
        <f t="shared" si="6"/>
        <v>0.431640625</v>
      </c>
      <c r="R15" s="8">
        <f t="shared" si="0"/>
        <v>1.779934625792956E-4</v>
      </c>
      <c r="S15" s="8">
        <f t="shared" si="7"/>
        <v>0.43212890625</v>
      </c>
      <c r="T15" s="8">
        <f t="shared" si="1"/>
        <v>-3.3227063711938065E-4</v>
      </c>
      <c r="U15" s="8">
        <f t="shared" si="8"/>
        <v>0.431884765625</v>
      </c>
      <c r="V15" s="8">
        <f t="shared" si="2"/>
        <v>-7.7144736082890297E-5</v>
      </c>
      <c r="W15" s="8">
        <f t="shared" si="3"/>
        <v>-1.3731258695159569E-8</v>
      </c>
      <c r="X15" s="8">
        <f t="shared" si="4"/>
        <v>2.5632930608668432E-8</v>
      </c>
      <c r="Y15" s="8">
        <f t="shared" si="5"/>
        <v>4.8828125E-4</v>
      </c>
      <c r="AA15" s="8">
        <v>11</v>
      </c>
      <c r="AB15" s="8">
        <f t="shared" si="13"/>
        <v>4.3896484375</v>
      </c>
      <c r="AC15" s="8">
        <v>-6.1698965877967638E-3</v>
      </c>
      <c r="AD15" s="8">
        <f t="shared" si="14"/>
        <v>4.427734375</v>
      </c>
      <c r="AE15" s="8">
        <v>1.7140159029052526E-2</v>
      </c>
      <c r="AF15" s="8">
        <f t="shared" si="9"/>
        <v>4.40869140625</v>
      </c>
      <c r="AG15" s="8">
        <v>5.4898802181924111E-3</v>
      </c>
      <c r="AH15" s="8">
        <f t="shared" si="10"/>
        <v>-3.3871993225638313E-5</v>
      </c>
      <c r="AI15" s="8">
        <f t="shared" si="11"/>
        <v>9.4097419990267503E-5</v>
      </c>
      <c r="AJ15" s="8">
        <f t="shared" si="12"/>
        <v>3.80859375E-2</v>
      </c>
    </row>
    <row r="16" spans="2:36" x14ac:dyDescent="0.2">
      <c r="B16" s="16" t="s">
        <v>6</v>
      </c>
      <c r="C16" s="17"/>
      <c r="D16" s="17"/>
      <c r="F16" s="16" t="s">
        <v>92</v>
      </c>
      <c r="G16" s="16"/>
      <c r="H16" s="16"/>
      <c r="J16" t="s">
        <v>45</v>
      </c>
      <c r="K16">
        <f xml:space="preserve"> K13 / (PI() * $C$36 * K14^2 * $C$25^4)</f>
        <v>1.6970965728291619E-2</v>
      </c>
      <c r="P16" s="8">
        <v>12</v>
      </c>
      <c r="Q16" s="8">
        <f t="shared" si="6"/>
        <v>0.431640625</v>
      </c>
      <c r="R16" s="8">
        <f t="shared" si="0"/>
        <v>1.779934625792956E-4</v>
      </c>
      <c r="S16" s="8">
        <f t="shared" si="7"/>
        <v>0.431884765625</v>
      </c>
      <c r="T16" s="8">
        <f t="shared" si="1"/>
        <v>-7.7144736082890297E-5</v>
      </c>
      <c r="U16" s="8">
        <f t="shared" si="8"/>
        <v>0.4317626953125</v>
      </c>
      <c r="V16" s="8">
        <f t="shared" si="2"/>
        <v>5.0422824759255302E-5</v>
      </c>
      <c r="W16" s="8">
        <f t="shared" si="3"/>
        <v>8.9749331719288892E-9</v>
      </c>
      <c r="X16" s="8">
        <f t="shared" si="4"/>
        <v>-3.8898555086065767E-9</v>
      </c>
      <c r="Y16" s="8">
        <f t="shared" si="5"/>
        <v>2.44140625E-4</v>
      </c>
      <c r="AA16" s="8">
        <v>12</v>
      </c>
      <c r="AB16" s="8">
        <f t="shared" si="13"/>
        <v>4.3896484375</v>
      </c>
      <c r="AC16" s="8">
        <v>-6.1698965877967638E-3</v>
      </c>
      <c r="AD16" s="8">
        <f t="shared" si="14"/>
        <v>4.40869140625</v>
      </c>
      <c r="AE16" s="8">
        <v>5.4898802181924111E-3</v>
      </c>
      <c r="AF16" s="8">
        <f t="shared" si="9"/>
        <v>4.399169921875</v>
      </c>
      <c r="AG16" s="8">
        <v>-3.3882041677024688E-4</v>
      </c>
      <c r="AH16" s="8">
        <f t="shared" si="10"/>
        <v>2.0904869333066235E-6</v>
      </c>
      <c r="AI16" s="8">
        <f t="shared" si="11"/>
        <v>-1.8600835035466867E-6</v>
      </c>
      <c r="AJ16" s="8">
        <f t="shared" si="12"/>
        <v>1.904296875E-2</v>
      </c>
    </row>
    <row r="17" spans="2:36" x14ac:dyDescent="0.2">
      <c r="B17" t="s">
        <v>7</v>
      </c>
      <c r="C17" s="2">
        <v>158</v>
      </c>
      <c r="D17" t="s">
        <v>14</v>
      </c>
      <c r="F17" t="s">
        <v>93</v>
      </c>
      <c r="G17">
        <f xml:space="preserve"> G12 / ($C$17 * $C$18 * $C$19)</f>
        <v>0.2663528638713602</v>
      </c>
      <c r="H17" t="s">
        <v>15</v>
      </c>
      <c r="J17" t="s">
        <v>47</v>
      </c>
      <c r="K17" s="2">
        <v>1.2E-2</v>
      </c>
      <c r="P17" s="8">
        <v>13</v>
      </c>
      <c r="Q17" s="8">
        <f t="shared" si="6"/>
        <v>0.4317626953125</v>
      </c>
      <c r="R17" s="8">
        <f t="shared" si="0"/>
        <v>5.0422824759255302E-5</v>
      </c>
      <c r="S17" s="8">
        <f t="shared" si="7"/>
        <v>0.431884765625</v>
      </c>
      <c r="T17" s="8">
        <f t="shared" si="1"/>
        <v>-7.7144736082890297E-5</v>
      </c>
      <c r="U17" s="8">
        <f t="shared" si="8"/>
        <v>0.43182373046875</v>
      </c>
      <c r="V17" s="8">
        <f t="shared" si="2"/>
        <v>-1.3361340123252408E-5</v>
      </c>
      <c r="W17" s="8">
        <f t="shared" si="3"/>
        <v>-6.7371651158356283E-10</v>
      </c>
      <c r="X17" s="8">
        <f t="shared" si="4"/>
        <v>1.0307570575220399E-9</v>
      </c>
      <c r="Y17" s="8">
        <f t="shared" si="5"/>
        <v>1.220703125E-4</v>
      </c>
      <c r="AA17" s="8">
        <v>13</v>
      </c>
      <c r="AB17" s="8">
        <f t="shared" si="13"/>
        <v>4.399169921875</v>
      </c>
      <c r="AC17" s="8">
        <v>-3.3882041677024688E-4</v>
      </c>
      <c r="AD17" s="8">
        <f t="shared" si="14"/>
        <v>4.40869140625</v>
      </c>
      <c r="AE17" s="8">
        <v>5.4898802181924111E-3</v>
      </c>
      <c r="AF17" s="8">
        <f t="shared" si="9"/>
        <v>4.4039306640625</v>
      </c>
      <c r="AG17" s="8">
        <v>2.5758266291360243E-3</v>
      </c>
      <c r="AH17" s="8">
        <f t="shared" si="10"/>
        <v>-8.7274265201176789E-7</v>
      </c>
      <c r="AI17" s="8">
        <f t="shared" si="11"/>
        <v>1.4140979656787101E-5</v>
      </c>
      <c r="AJ17" s="8">
        <f t="shared" si="12"/>
        <v>9.521484375E-3</v>
      </c>
    </row>
    <row r="18" spans="2:36" x14ac:dyDescent="0.2">
      <c r="B18" t="s">
        <v>8</v>
      </c>
      <c r="C18" s="2">
        <v>0.85</v>
      </c>
      <c r="F18" s="3" t="s">
        <v>94</v>
      </c>
      <c r="G18">
        <f xml:space="preserve"> $C$5 * (0.1870854 * (2*$C$24)^2 - 0.0201654 * (2*$C$24)) + $C$6 * (0.1870854 * (2*$C$25)^2 - 0.0201654 * (2*$C$25))</f>
        <v>0.15014081404201085</v>
      </c>
      <c r="H18" t="s">
        <v>15</v>
      </c>
      <c r="J18" t="s">
        <v>46</v>
      </c>
      <c r="K18">
        <f xml:space="preserve"> ($C$8 * $K$17 / 8) * (1 + 4.65 * $K$15^2) * (PI() * $C$36 * K14^3 * $C$25^5)</f>
        <v>1.9162939707656681</v>
      </c>
      <c r="L18" t="s">
        <v>27</v>
      </c>
      <c r="P18" s="8">
        <v>14</v>
      </c>
      <c r="Q18" s="8">
        <f t="shared" si="6"/>
        <v>0.4317626953125</v>
      </c>
      <c r="R18" s="8">
        <f t="shared" si="0"/>
        <v>5.0422824759255302E-5</v>
      </c>
      <c r="S18" s="8">
        <f t="shared" si="7"/>
        <v>0.43182373046875</v>
      </c>
      <c r="T18" s="8">
        <f xml:space="preserve"> $K$15 * TAN($K$12) + $K$16 / (2 * SQRT($K$15^2 + S18^2)) - S18</f>
        <v>-1.3361340123252408E-5</v>
      </c>
      <c r="U18" s="8">
        <f t="shared" si="8"/>
        <v>0.431793212890625</v>
      </c>
      <c r="V18" s="8">
        <f t="shared" si="2"/>
        <v>1.85306461825685E-5</v>
      </c>
      <c r="W18" s="8">
        <f t="shared" si="3"/>
        <v>9.3436752513941466E-10</v>
      </c>
      <c r="X18" s="8">
        <f t="shared" si="4"/>
        <v>-2.4759426634894654E-10</v>
      </c>
      <c r="Y18" s="8">
        <f t="shared" si="5"/>
        <v>6.103515625E-5</v>
      </c>
      <c r="AA18" s="8">
        <v>14</v>
      </c>
      <c r="AB18" s="8">
        <f t="shared" si="13"/>
        <v>4.399169921875</v>
      </c>
      <c r="AC18" s="8">
        <v>-3.3882041677024688E-4</v>
      </c>
      <c r="AD18" s="8">
        <f t="shared" si="14"/>
        <v>4.4039306640625</v>
      </c>
      <c r="AE18" s="8">
        <v>2.5758266291360243E-3</v>
      </c>
      <c r="AF18" s="8">
        <f t="shared" si="9"/>
        <v>4.40155029296875</v>
      </c>
      <c r="AG18" s="8">
        <v>1.1185772985244924E-3</v>
      </c>
      <c r="AH18" s="8">
        <f t="shared" si="10"/>
        <v>-3.7899682647580537E-7</v>
      </c>
      <c r="AI18" s="8">
        <f t="shared" si="11"/>
        <v>2.8812611922864234E-6</v>
      </c>
      <c r="AJ18" s="8">
        <f t="shared" si="12"/>
        <v>4.7607421875E-3</v>
      </c>
    </row>
    <row r="19" spans="2:36" x14ac:dyDescent="0.2">
      <c r="B19" t="s">
        <v>9</v>
      </c>
      <c r="C19" s="2">
        <v>0.7</v>
      </c>
      <c r="F19" t="s">
        <v>95</v>
      </c>
      <c r="G19">
        <f xml:space="preserve"> 0.412 * $C$20 * (G4/745.7) * 0.453592 + 0.412 * $C$20 * (G9/745.7) * 0.453592</f>
        <v>0.15823644111030949</v>
      </c>
      <c r="H19" t="s">
        <v>15</v>
      </c>
      <c r="J19" t="s">
        <v>48</v>
      </c>
      <c r="K19" s="9">
        <f>U34</f>
        <v>0.43181094480678439</v>
      </c>
      <c r="P19" s="8">
        <v>15</v>
      </c>
      <c r="Q19" s="8">
        <f t="shared" si="6"/>
        <v>0.431793212890625</v>
      </c>
      <c r="R19" s="8">
        <f t="shared" si="0"/>
        <v>1.85306461825685E-5</v>
      </c>
      <c r="S19" s="8">
        <f t="shared" si="7"/>
        <v>0.43182373046875</v>
      </c>
      <c r="T19" s="8">
        <f t="shared" si="1"/>
        <v>-1.3361340123252408E-5</v>
      </c>
      <c r="U19" s="8">
        <f>(Q19+S19)/2</f>
        <v>0.4318084716796875</v>
      </c>
      <c r="V19" s="8">
        <f t="shared" si="2"/>
        <v>2.5846289983255666E-6</v>
      </c>
      <c r="W19" s="8">
        <f t="shared" si="3"/>
        <v>4.7894845481177503E-11</v>
      </c>
      <c r="X19" s="8">
        <f t="shared" si="4"/>
        <v>-3.4534107139049076E-11</v>
      </c>
      <c r="Y19" s="8">
        <f t="shared" si="5"/>
        <v>3.0517578125E-5</v>
      </c>
      <c r="AA19" s="8">
        <v>15</v>
      </c>
      <c r="AB19" s="8">
        <f t="shared" si="13"/>
        <v>4.399169921875</v>
      </c>
      <c r="AC19" s="8">
        <v>-3.3882041677024688E-4</v>
      </c>
      <c r="AD19" s="8">
        <f t="shared" si="14"/>
        <v>4.40155029296875</v>
      </c>
      <c r="AE19" s="8">
        <v>1.1185772985244924E-3</v>
      </c>
      <c r="AF19" s="8">
        <f t="shared" si="9"/>
        <v>4.400360107421875</v>
      </c>
      <c r="AG19" s="8">
        <v>3.8989699024316593E-4</v>
      </c>
      <c r="AH19" s="8">
        <f t="shared" si="10"/>
        <v>-1.3210506073165436E-7</v>
      </c>
      <c r="AI19" s="8">
        <f t="shared" si="11"/>
        <v>4.3612992204903094E-7</v>
      </c>
      <c r="AJ19" s="8">
        <f t="shared" si="12"/>
        <v>2.38037109375E-3</v>
      </c>
    </row>
    <row r="20" spans="2:36" x14ac:dyDescent="0.2">
      <c r="B20" t="s">
        <v>97</v>
      </c>
      <c r="C20" s="2">
        <v>1.5</v>
      </c>
      <c r="F20" t="s">
        <v>96</v>
      </c>
      <c r="G20">
        <f xml:space="preserve"> 0.591*$C$20 * (G4/745.7) * 0.453592 + 0.591*$C$20 * (G9/745.7) * 0.453592</f>
        <v>0.22698479780629341</v>
      </c>
      <c r="H20" t="s">
        <v>15</v>
      </c>
      <c r="J20" t="s">
        <v>50</v>
      </c>
      <c r="K20">
        <f xml:space="preserve"> K14 * $C$25 * K19 - ( $C$26 * SIN(K12) )</f>
        <v>1.4197150252018282</v>
      </c>
      <c r="L20" t="s">
        <v>17</v>
      </c>
      <c r="P20" s="8">
        <v>16</v>
      </c>
      <c r="Q20" s="8">
        <f t="shared" si="6"/>
        <v>0.4318084716796875</v>
      </c>
      <c r="R20" s="8">
        <f t="shared" si="0"/>
        <v>2.5846289983255666E-6</v>
      </c>
      <c r="S20" s="8">
        <f t="shared" si="7"/>
        <v>0.43182373046875</v>
      </c>
      <c r="T20" s="8">
        <f t="shared" si="1"/>
        <v>-1.3361340123252408E-5</v>
      </c>
      <c r="U20" s="8">
        <f t="shared" si="8"/>
        <v>0.43181610107421875</v>
      </c>
      <c r="V20" s="8">
        <f t="shared" si="2"/>
        <v>-5.3883615699912291E-6</v>
      </c>
      <c r="W20" s="8">
        <f t="shared" si="3"/>
        <v>-1.3926915567262408E-11</v>
      </c>
      <c r="X20" s="8">
        <f t="shared" si="4"/>
        <v>7.199573164371514E-11</v>
      </c>
      <c r="Y20" s="8">
        <f t="shared" si="5"/>
        <v>1.52587890625E-5</v>
      </c>
      <c r="AA20" s="8">
        <v>16</v>
      </c>
      <c r="AB20" s="8">
        <f t="shared" si="13"/>
        <v>4.399169921875</v>
      </c>
      <c r="AC20" s="8">
        <v>-3.3882041677024688E-4</v>
      </c>
      <c r="AD20" s="8">
        <f t="shared" si="14"/>
        <v>4.400360107421875</v>
      </c>
      <c r="AE20" s="8">
        <v>3.8989699024316593E-4</v>
      </c>
      <c r="AF20" s="8">
        <f t="shared" si="9"/>
        <v>4.3997650146484375</v>
      </c>
      <c r="AG20" s="8">
        <v>2.5543385653747919E-5</v>
      </c>
      <c r="AH20" s="8">
        <f t="shared" si="10"/>
        <v>-8.6546205729260148E-9</v>
      </c>
      <c r="AI20" s="8">
        <f t="shared" si="11"/>
        <v>9.9592891870167762E-9</v>
      </c>
      <c r="AJ20" s="8">
        <f t="shared" si="12"/>
        <v>1.190185546875E-3</v>
      </c>
    </row>
    <row r="21" spans="2:36" x14ac:dyDescent="0.2">
      <c r="F21" t="s">
        <v>98</v>
      </c>
      <c r="G21">
        <f xml:space="preserve"> 0.2*$C$23 + 0.5</f>
        <v>1.3799446562305093</v>
      </c>
      <c r="H21" t="s">
        <v>15</v>
      </c>
      <c r="J21" t="s">
        <v>51</v>
      </c>
      <c r="K21">
        <f xml:space="preserve"> 1/$C$9 - K18 * SQRT(2*$C$36*PI()*$C$25^2 / K13^3)</f>
        <v>1.2078434840532348</v>
      </c>
      <c r="P21" s="8">
        <v>17</v>
      </c>
      <c r="Q21" s="8">
        <f t="shared" si="6"/>
        <v>0.4318084716796875</v>
      </c>
      <c r="R21" s="8">
        <f t="shared" si="0"/>
        <v>2.5846289983255666E-6</v>
      </c>
      <c r="S21" s="8">
        <f t="shared" si="7"/>
        <v>0.43181610107421875</v>
      </c>
      <c r="T21" s="8">
        <f t="shared" si="1"/>
        <v>-5.3883615699912291E-6</v>
      </c>
      <c r="U21" s="8">
        <f t="shared" si="8"/>
        <v>0.43181228637695312</v>
      </c>
      <c r="V21" s="8">
        <f t="shared" si="2"/>
        <v>-1.401867787742539E-6</v>
      </c>
      <c r="W21" s="8">
        <f t="shared" si="3"/>
        <v>-3.6233081360178765E-12</v>
      </c>
      <c r="X21" s="8">
        <f t="shared" si="4"/>
        <v>7.5537705136805183E-12</v>
      </c>
      <c r="Y21" s="8">
        <f t="shared" si="5"/>
        <v>7.62939453125E-6</v>
      </c>
      <c r="AA21" s="8">
        <v>17</v>
      </c>
      <c r="AB21" s="8">
        <f t="shared" si="13"/>
        <v>4.399169921875</v>
      </c>
      <c r="AC21" s="8">
        <v>-3.3882041677024688E-4</v>
      </c>
      <c r="AD21" s="8">
        <f t="shared" si="14"/>
        <v>4.3997650146484375</v>
      </c>
      <c r="AE21" s="8">
        <v>2.5543385653747919E-5</v>
      </c>
      <c r="AF21" s="8">
        <f t="shared" si="9"/>
        <v>4.3994674682617188</v>
      </c>
      <c r="AG21" s="8">
        <v>-1.5663763630691108E-4</v>
      </c>
      <c r="AH21" s="8">
        <f t="shared" si="10"/>
        <v>5.3072029215413965E-8</v>
      </c>
      <c r="AI21" s="8">
        <f t="shared" si="11"/>
        <v>-4.0010555520789366E-9</v>
      </c>
      <c r="AJ21" s="8">
        <f t="shared" si="12"/>
        <v>5.950927734375E-4</v>
      </c>
    </row>
    <row r="22" spans="2:36" x14ac:dyDescent="0.2">
      <c r="B22" s="15" t="s">
        <v>10</v>
      </c>
      <c r="C22" s="15"/>
      <c r="D22" s="15"/>
      <c r="F22" t="s">
        <v>103</v>
      </c>
      <c r="G22">
        <f xml:space="preserve"> 2.2854 * $C$27 - 0.08017</f>
        <v>0.21806371716581713</v>
      </c>
      <c r="H22" t="s">
        <v>15</v>
      </c>
      <c r="J22" t="s">
        <v>55</v>
      </c>
      <c r="K22" s="2">
        <v>1.1499999999999999</v>
      </c>
      <c r="P22" s="8">
        <v>18</v>
      </c>
      <c r="Q22" s="8">
        <f t="shared" si="6"/>
        <v>0.4318084716796875</v>
      </c>
      <c r="R22" s="8">
        <f t="shared" si="0"/>
        <v>2.5846289983255666E-6</v>
      </c>
      <c r="S22" s="8">
        <f t="shared" si="7"/>
        <v>0.43181228637695312</v>
      </c>
      <c r="T22" s="8">
        <f t="shared" si="1"/>
        <v>-1.401867787742539E-6</v>
      </c>
      <c r="U22" s="8">
        <f t="shared" si="8"/>
        <v>0.43181037902832031</v>
      </c>
      <c r="V22" s="8">
        <f t="shared" si="2"/>
        <v>5.9138022978633131E-7</v>
      </c>
      <c r="W22" s="8">
        <f t="shared" si="3"/>
        <v>1.5284984909421889E-12</v>
      </c>
      <c r="X22" s="8">
        <f t="shared" si="4"/>
        <v>-8.2903689444523863E-13</v>
      </c>
      <c r="Y22" s="8">
        <f t="shared" si="5"/>
        <v>3.814697265625E-6</v>
      </c>
      <c r="AA22" s="8">
        <v>18</v>
      </c>
      <c r="AB22" s="8">
        <f t="shared" si="13"/>
        <v>4.3994674682617188</v>
      </c>
      <c r="AC22" s="8">
        <v>-1.5663763630691108E-4</v>
      </c>
      <c r="AD22" s="8">
        <f t="shared" si="14"/>
        <v>4.3997650146484375</v>
      </c>
      <c r="AE22" s="8">
        <v>2.5543385653747919E-5</v>
      </c>
      <c r="AF22" s="8">
        <f t="shared" si="9"/>
        <v>4.3996162414550781</v>
      </c>
      <c r="AG22" s="8">
        <v>-6.5546575946484609E-5</v>
      </c>
      <c r="AH22" s="8">
        <f t="shared" si="10"/>
        <v>1.0267060724268782E-8</v>
      </c>
      <c r="AI22" s="8">
        <f t="shared" si="11"/>
        <v>-1.6742814676837333E-9</v>
      </c>
      <c r="AJ22" s="8">
        <f t="shared" si="12"/>
        <v>2.9754638671875E-4</v>
      </c>
    </row>
    <row r="23" spans="2:36" x14ac:dyDescent="0.2">
      <c r="B23" s="11" t="s">
        <v>12</v>
      </c>
      <c r="C23" s="11">
        <f>AF34</f>
        <v>4.3997232811525464</v>
      </c>
      <c r="D23" s="11" t="s">
        <v>15</v>
      </c>
      <c r="F23" s="11" t="s">
        <v>99</v>
      </c>
      <c r="G23" s="11">
        <f>$C$23 - ($C$31 + G17 + G18 + G19 + G20 + G21 + G22)</f>
        <v>-9.0737541924568177E-9</v>
      </c>
      <c r="H23" s="11" t="s">
        <v>15</v>
      </c>
      <c r="J23" t="s">
        <v>52</v>
      </c>
      <c r="K23">
        <f xml:space="preserve"> (1/$C$40) * LN( EXP($C$40 * K21) + EXP($C$40 * K22) )</f>
        <v>1.2132572654235307</v>
      </c>
      <c r="P23" s="8">
        <v>19</v>
      </c>
      <c r="Q23" s="8">
        <f t="shared" si="6"/>
        <v>0.43181037902832031</v>
      </c>
      <c r="R23" s="8">
        <f t="shared" si="0"/>
        <v>5.9138022978633131E-7</v>
      </c>
      <c r="S23" s="8">
        <f t="shared" si="7"/>
        <v>0.43181228637695312</v>
      </c>
      <c r="T23" s="8">
        <f t="shared" si="1"/>
        <v>-1.401867787742539E-6</v>
      </c>
      <c r="U23" s="8">
        <f t="shared" si="8"/>
        <v>0.43181133270263672</v>
      </c>
      <c r="V23" s="8">
        <f t="shared" si="2"/>
        <v>-4.0524387284746055E-7</v>
      </c>
      <c r="W23" s="8">
        <f t="shared" si="3"/>
        <v>-2.3965321464403405E-13</v>
      </c>
      <c r="X23" s="8">
        <f t="shared" si="4"/>
        <v>5.6809833152488823E-13</v>
      </c>
      <c r="Y23" s="8">
        <f t="shared" si="5"/>
        <v>1.9073486328125E-6</v>
      </c>
      <c r="AA23" s="8">
        <v>19</v>
      </c>
      <c r="AB23" s="8">
        <f t="shared" si="13"/>
        <v>4.3996162414550781</v>
      </c>
      <c r="AC23" s="8">
        <v>-6.5546575946484609E-5</v>
      </c>
      <c r="AD23" s="8">
        <f t="shared" si="14"/>
        <v>4.3997650146484375</v>
      </c>
      <c r="AE23" s="8">
        <v>2.5543385653747919E-5</v>
      </c>
      <c r="AF23" s="8">
        <f t="shared" si="9"/>
        <v>4.3996906280517578</v>
      </c>
      <c r="AG23" s="8">
        <v>-2.0001787378376434E-5</v>
      </c>
      <c r="AH23" s="8">
        <f t="shared" si="10"/>
        <v>1.3110486754621883E-9</v>
      </c>
      <c r="AI23" s="8">
        <f t="shared" si="11"/>
        <v>-5.1091336877013677E-10</v>
      </c>
      <c r="AJ23" s="8">
        <f t="shared" si="12"/>
        <v>1.48773193359375E-4</v>
      </c>
    </row>
    <row r="24" spans="2:36" x14ac:dyDescent="0.2">
      <c r="B24" t="s">
        <v>11</v>
      </c>
      <c r="C24" s="2">
        <v>0.249999999999997</v>
      </c>
      <c r="D24" t="s">
        <v>16</v>
      </c>
      <c r="F24" t="s">
        <v>100</v>
      </c>
      <c r="G24" s="10" t="str">
        <f>IF(ABS(G23)&lt;0.00001, "TRUE", "FALSE")</f>
        <v>TRUE</v>
      </c>
      <c r="P24" s="8">
        <v>20</v>
      </c>
      <c r="Q24" s="8">
        <f t="shared" si="6"/>
        <v>0.43181037902832031</v>
      </c>
      <c r="R24" s="8">
        <f t="shared" si="0"/>
        <v>5.9138022978633131E-7</v>
      </c>
      <c r="S24" s="8">
        <f t="shared" si="7"/>
        <v>0.43181133270263672</v>
      </c>
      <c r="T24" s="8">
        <f t="shared" si="1"/>
        <v>-4.0524387284746055E-7</v>
      </c>
      <c r="U24" s="8">
        <f t="shared" si="8"/>
        <v>0.43181085586547852</v>
      </c>
      <c r="V24" s="8">
        <f t="shared" si="2"/>
        <v>9.3068155015973986E-8</v>
      </c>
      <c r="W24" s="8">
        <f t="shared" si="3"/>
        <v>5.5038666899136596E-14</v>
      </c>
      <c r="X24" s="8">
        <f t="shared" si="4"/>
        <v>-3.7715299577441112E-14</v>
      </c>
      <c r="Y24" s="8">
        <f t="shared" si="5"/>
        <v>9.5367431640625E-7</v>
      </c>
      <c r="AA24" s="8">
        <v>20</v>
      </c>
      <c r="AB24" s="8">
        <f t="shared" si="13"/>
        <v>4.3996906280517578</v>
      </c>
      <c r="AC24" s="8">
        <v>-2.0001787378376434E-5</v>
      </c>
      <c r="AD24" s="8">
        <f t="shared" si="14"/>
        <v>4.3997650146484375</v>
      </c>
      <c r="AE24" s="8">
        <v>2.5543385653747919E-5</v>
      </c>
      <c r="AF24" s="8">
        <f t="shared" si="9"/>
        <v>4.3997278213500977</v>
      </c>
      <c r="AG24" s="8">
        <v>2.7705533307553765E-6</v>
      </c>
      <c r="AH24" s="8">
        <f t="shared" si="10"/>
        <v>-5.541601864222168E-11</v>
      </c>
      <c r="AI24" s="8">
        <f t="shared" si="11"/>
        <v>7.0769312201760397E-11</v>
      </c>
      <c r="AJ24" s="8">
        <f t="shared" si="12"/>
        <v>7.43865966796875E-5</v>
      </c>
    </row>
    <row r="25" spans="2:36" x14ac:dyDescent="0.2">
      <c r="B25" t="s">
        <v>80</v>
      </c>
      <c r="C25" s="2">
        <v>8.1614947572086205E-2</v>
      </c>
      <c r="D25" t="s">
        <v>16</v>
      </c>
      <c r="P25" s="8">
        <v>21</v>
      </c>
      <c r="Q25" s="8">
        <f t="shared" si="6"/>
        <v>0.43181085586547852</v>
      </c>
      <c r="R25" s="8">
        <f t="shared" si="0"/>
        <v>9.3068155015973986E-8</v>
      </c>
      <c r="S25" s="8">
        <f t="shared" si="7"/>
        <v>0.43181133270263672</v>
      </c>
      <c r="T25" s="8">
        <f t="shared" si="1"/>
        <v>-4.0524387284746055E-7</v>
      </c>
      <c r="U25" s="8">
        <f t="shared" si="8"/>
        <v>0.43181109428405762</v>
      </c>
      <c r="V25" s="8">
        <f t="shared" si="2"/>
        <v>-1.5608786479992531E-7</v>
      </c>
      <c r="W25" s="8">
        <f t="shared" si="3"/>
        <v>-1.4526809597311839E-14</v>
      </c>
      <c r="X25" s="8">
        <f t="shared" si="4"/>
        <v>6.3253650836012543E-14</v>
      </c>
      <c r="Y25" s="8">
        <f t="shared" si="5"/>
        <v>4.76837158203125E-7</v>
      </c>
      <c r="AA25" s="8">
        <v>21</v>
      </c>
      <c r="AB25" s="8">
        <f t="shared" si="13"/>
        <v>4.3996906280517578</v>
      </c>
      <c r="AC25" s="8">
        <v>-2.0001787378376434E-5</v>
      </c>
      <c r="AD25" s="8">
        <f t="shared" si="14"/>
        <v>4.3997278213500977</v>
      </c>
      <c r="AE25" s="8">
        <v>2.7705533307553765E-6</v>
      </c>
      <c r="AF25" s="8">
        <f t="shared" si="9"/>
        <v>4.3997092247009277</v>
      </c>
      <c r="AG25" s="8">
        <v>-8.6156125593817023E-6</v>
      </c>
      <c r="AH25" s="8">
        <f t="shared" si="10"/>
        <v>1.7232765054722243E-10</v>
      </c>
      <c r="AI25" s="8">
        <f t="shared" si="11"/>
        <v>-2.3870014072892828E-11</v>
      </c>
      <c r="AJ25" s="8">
        <f t="shared" si="12"/>
        <v>3.719329833984375E-5</v>
      </c>
    </row>
    <row r="26" spans="2:36" x14ac:dyDescent="0.2">
      <c r="B26" t="s">
        <v>13</v>
      </c>
      <c r="C26" s="2">
        <v>29.999999999999702</v>
      </c>
      <c r="D26" t="s">
        <v>17</v>
      </c>
      <c r="J26" s="1"/>
      <c r="K26" s="1"/>
      <c r="P26" s="8">
        <v>22</v>
      </c>
      <c r="Q26" s="8">
        <f t="shared" si="6"/>
        <v>0.43181085586547852</v>
      </c>
      <c r="R26" s="8">
        <f t="shared" si="0"/>
        <v>9.3068155015973986E-8</v>
      </c>
      <c r="S26" s="8">
        <f t="shared" si="7"/>
        <v>0.43181109428405762</v>
      </c>
      <c r="T26" s="8">
        <f t="shared" si="1"/>
        <v>-1.5608786479992531E-7</v>
      </c>
      <c r="U26" s="8">
        <f t="shared" si="8"/>
        <v>0.43181097507476807</v>
      </c>
      <c r="V26" s="8">
        <f t="shared" si="2"/>
        <v>-3.1509856390776747E-8</v>
      </c>
      <c r="W26" s="8">
        <f t="shared" si="3"/>
        <v>-2.9325641991078887E-15</v>
      </c>
      <c r="X26" s="8">
        <f t="shared" si="4"/>
        <v>4.9183062041886234E-15</v>
      </c>
      <c r="Y26" s="8">
        <f t="shared" si="5"/>
        <v>2.384185791015625E-7</v>
      </c>
      <c r="AA26" s="8">
        <v>22</v>
      </c>
      <c r="AB26" s="8">
        <f t="shared" si="13"/>
        <v>4.3997092247009277</v>
      </c>
      <c r="AC26" s="8">
        <v>-8.6156125593817023E-6</v>
      </c>
      <c r="AD26" s="8">
        <f t="shared" si="14"/>
        <v>4.3997278213500977</v>
      </c>
      <c r="AE26" s="8">
        <v>2.7705533307553765E-6</v>
      </c>
      <c r="AF26" s="8">
        <f t="shared" si="9"/>
        <v>4.3997185230255127</v>
      </c>
      <c r="AG26" s="8">
        <v>-2.9225284983169786E-6</v>
      </c>
      <c r="AH26" s="8">
        <f t="shared" si="10"/>
        <v>2.5179373235250706E-11</v>
      </c>
      <c r="AI26" s="8">
        <f t="shared" si="11"/>
        <v>-8.0970210652396129E-12</v>
      </c>
      <c r="AJ26" s="8">
        <f t="shared" si="12"/>
        <v>1.8596649169921875E-5</v>
      </c>
    </row>
    <row r="27" spans="2:36" x14ac:dyDescent="0.2">
      <c r="B27" t="s">
        <v>81</v>
      </c>
      <c r="C27" s="2">
        <v>0.13049519434926801</v>
      </c>
      <c r="D27" t="s">
        <v>34</v>
      </c>
      <c r="F27" s="15" t="s">
        <v>106</v>
      </c>
      <c r="G27" s="15"/>
      <c r="H27" s="15"/>
      <c r="J27" s="1"/>
      <c r="K27" s="1"/>
      <c r="P27" s="8">
        <v>23</v>
      </c>
      <c r="Q27" s="8">
        <f t="shared" si="6"/>
        <v>0.43181085586547852</v>
      </c>
      <c r="R27" s="8">
        <f t="shared" si="0"/>
        <v>9.3068155015973986E-8</v>
      </c>
      <c r="S27" s="8">
        <f t="shared" si="7"/>
        <v>0.43181097507476807</v>
      </c>
      <c r="T27" s="8">
        <f xml:space="preserve"> $K$15 * TAN($K$12) + $K$16 / (2 * SQRT($K$15^2 + S27^2)) - S27</f>
        <v>-3.1509856390776747E-8</v>
      </c>
      <c r="U27" s="8">
        <f t="shared" si="8"/>
        <v>0.43181091547012329</v>
      </c>
      <c r="V27" s="8">
        <f t="shared" si="2"/>
        <v>3.0779148951776136E-8</v>
      </c>
      <c r="W27" s="8">
        <f t="shared" si="3"/>
        <v>2.8645586059036548E-15</v>
      </c>
      <c r="X27" s="8">
        <f t="shared" si="4"/>
        <v>-9.6984656330079262E-16</v>
      </c>
      <c r="Y27" s="8">
        <f t="shared" si="5"/>
        <v>1.1920928955078125E-7</v>
      </c>
      <c r="AA27" s="8">
        <v>23</v>
      </c>
      <c r="AB27" s="8">
        <f t="shared" si="13"/>
        <v>4.3997185230255127</v>
      </c>
      <c r="AC27" s="8">
        <v>-2.9225284983169786E-6</v>
      </c>
      <c r="AD27" s="8">
        <f t="shared" si="14"/>
        <v>4.3997278213500977</v>
      </c>
      <c r="AE27" s="8">
        <v>2.7705533307553765E-6</v>
      </c>
      <c r="AF27" s="8">
        <f t="shared" si="9"/>
        <v>4.3997231721878052</v>
      </c>
      <c r="AG27" s="8">
        <v>-7.5987305336866484E-8</v>
      </c>
      <c r="AH27" s="8">
        <f t="shared" si="10"/>
        <v>2.2207506535730613E-13</v>
      </c>
      <c r="AI27" s="8">
        <f t="shared" si="11"/>
        <v>-2.1052688189618124E-13</v>
      </c>
      <c r="AJ27" s="8">
        <f t="shared" si="12"/>
        <v>9.2983245849609375E-6</v>
      </c>
    </row>
    <row r="28" spans="2:36" x14ac:dyDescent="0.2">
      <c r="B28" t="s">
        <v>90</v>
      </c>
      <c r="C28" s="2">
        <v>1.2999999999999801</v>
      </c>
      <c r="F28" t="s">
        <v>21</v>
      </c>
      <c r="G28">
        <f xml:space="preserve"> ROUND($C$31/$C$23 * 100, 2)</f>
        <v>45.46</v>
      </c>
      <c r="H28" t="s">
        <v>107</v>
      </c>
      <c r="L28" s="1"/>
      <c r="P28" s="8">
        <v>24</v>
      </c>
      <c r="Q28" s="8">
        <f t="shared" si="6"/>
        <v>0.43181091547012329</v>
      </c>
      <c r="R28" s="8">
        <f t="shared" si="0"/>
        <v>3.0779148951776136E-8</v>
      </c>
      <c r="S28" s="8">
        <f t="shared" si="7"/>
        <v>0.43181097507476807</v>
      </c>
      <c r="T28" s="8">
        <f t="shared" si="1"/>
        <v>-3.1509856390776747E-8</v>
      </c>
      <c r="U28" s="8">
        <f t="shared" si="8"/>
        <v>0.43181094527244568</v>
      </c>
      <c r="V28" s="8">
        <f t="shared" si="2"/>
        <v>-3.6535380276703222E-10</v>
      </c>
      <c r="W28" s="8">
        <f t="shared" si="3"/>
        <v>-1.1245279115464325E-17</v>
      </c>
      <c r="X28" s="8">
        <f t="shared" si="4"/>
        <v>1.1512245857013357E-17</v>
      </c>
      <c r="Y28" s="8">
        <f t="shared" si="5"/>
        <v>5.9604644775390625E-8</v>
      </c>
      <c r="AA28" s="8">
        <v>24</v>
      </c>
      <c r="AB28" s="8">
        <f t="shared" si="13"/>
        <v>4.3997231721878052</v>
      </c>
      <c r="AC28" s="8">
        <v>-7.5987305336866484E-8</v>
      </c>
      <c r="AD28" s="8">
        <f t="shared" si="14"/>
        <v>4.3997278213500977</v>
      </c>
      <c r="AE28" s="8">
        <v>2.7705533307553765E-6</v>
      </c>
      <c r="AF28" s="8">
        <f t="shared" si="9"/>
        <v>4.3997254967689514</v>
      </c>
      <c r="AG28" s="8">
        <v>1.3472830815430825E-6</v>
      </c>
      <c r="AH28" s="8">
        <f t="shared" si="10"/>
        <v>-1.023764108924086E-13</v>
      </c>
      <c r="AI28" s="8">
        <f t="shared" si="11"/>
        <v>3.7327196290395544E-12</v>
      </c>
      <c r="AJ28" s="8">
        <f t="shared" si="12"/>
        <v>4.6491622924804688E-6</v>
      </c>
    </row>
    <row r="29" spans="2:36" x14ac:dyDescent="0.2">
      <c r="F29" t="s">
        <v>93</v>
      </c>
      <c r="G29">
        <f xml:space="preserve"> ROUND(G17/$C$23 * 100, 2)</f>
        <v>6.05</v>
      </c>
      <c r="H29" t="s">
        <v>107</v>
      </c>
      <c r="P29" s="8">
        <v>25</v>
      </c>
      <c r="Q29" s="8">
        <f t="shared" si="6"/>
        <v>0.43181091547012329</v>
      </c>
      <c r="R29" s="8">
        <f t="shared" si="0"/>
        <v>3.0779148951776136E-8</v>
      </c>
      <c r="S29" s="8">
        <f t="shared" si="7"/>
        <v>0.43181094527244568</v>
      </c>
      <c r="T29" s="8">
        <f t="shared" si="1"/>
        <v>-3.6535380276703222E-10</v>
      </c>
      <c r="U29" s="8">
        <f t="shared" si="8"/>
        <v>0.43181093037128448</v>
      </c>
      <c r="V29" s="8">
        <f t="shared" si="2"/>
        <v>1.5206897518993401E-8</v>
      </c>
      <c r="W29" s="8">
        <f t="shared" si="3"/>
        <v>4.6805536383149288E-16</v>
      </c>
      <c r="X29" s="8">
        <f t="shared" si="4"/>
        <v>-5.5558978368527866E-18</v>
      </c>
      <c r="Y29" s="8">
        <f t="shared" si="5"/>
        <v>2.9802322387695312E-8</v>
      </c>
      <c r="AA29" s="8">
        <v>25</v>
      </c>
      <c r="AB29" s="8">
        <f t="shared" si="13"/>
        <v>4.3997231721878052</v>
      </c>
      <c r="AC29" s="8">
        <v>-7.5987305336866484E-8</v>
      </c>
      <c r="AD29" s="8">
        <f t="shared" si="14"/>
        <v>4.3997254967689514</v>
      </c>
      <c r="AE29" s="8">
        <v>1.3472830815430825E-6</v>
      </c>
      <c r="AF29" s="8">
        <f t="shared" si="9"/>
        <v>4.3997243344783783</v>
      </c>
      <c r="AG29" s="8">
        <v>6.3564790586667641E-7</v>
      </c>
      <c r="AH29" s="8">
        <f t="shared" si="10"/>
        <v>-4.8301171509830905E-14</v>
      </c>
      <c r="AI29" s="8">
        <f t="shared" si="11"/>
        <v>8.56397669392463E-13</v>
      </c>
      <c r="AJ29" s="8">
        <f t="shared" si="12"/>
        <v>2.3245811462402344E-6</v>
      </c>
    </row>
    <row r="30" spans="2:36" x14ac:dyDescent="0.2">
      <c r="B30" s="15" t="s">
        <v>18</v>
      </c>
      <c r="C30" s="15"/>
      <c r="D30" s="15"/>
      <c r="F30" s="3" t="s">
        <v>94</v>
      </c>
      <c r="G30">
        <f xml:space="preserve"> ROUND(G18/$C$23 * 100, 2)</f>
        <v>3.41</v>
      </c>
      <c r="H30" t="s">
        <v>107</v>
      </c>
      <c r="P30" s="8">
        <v>26</v>
      </c>
      <c r="Q30" s="8">
        <f t="shared" si="6"/>
        <v>0.43181093037128448</v>
      </c>
      <c r="R30" s="8">
        <f t="shared" si="0"/>
        <v>1.5206897518993401E-8</v>
      </c>
      <c r="S30" s="8">
        <f t="shared" si="7"/>
        <v>0.43181094527244568</v>
      </c>
      <c r="T30" s="8">
        <f t="shared" si="1"/>
        <v>-3.6535380276703222E-10</v>
      </c>
      <c r="U30" s="8">
        <f t="shared" si="8"/>
        <v>0.43181093782186508</v>
      </c>
      <c r="V30" s="8">
        <f t="shared" si="2"/>
        <v>7.4207718858687599E-9</v>
      </c>
      <c r="W30" s="8">
        <f t="shared" si="3"/>
        <v>1.1284691758023363E-16</v>
      </c>
      <c r="X30" s="8">
        <f t="shared" si="4"/>
        <v>-2.7112072279688326E-18</v>
      </c>
      <c r="Y30" s="8">
        <f t="shared" si="5"/>
        <v>1.4901161193847656E-8</v>
      </c>
      <c r="AA30" s="8">
        <v>26</v>
      </c>
      <c r="AB30" s="8">
        <f t="shared" si="13"/>
        <v>4.3997231721878052</v>
      </c>
      <c r="AC30" s="8">
        <v>-7.5987305336866484E-8</v>
      </c>
      <c r="AD30" s="8">
        <f t="shared" si="14"/>
        <v>4.3997243344783783</v>
      </c>
      <c r="AE30" s="8">
        <v>6.3564790586667641E-7</v>
      </c>
      <c r="AF30" s="8">
        <f t="shared" si="9"/>
        <v>4.3997237533330917</v>
      </c>
      <c r="AG30" s="8">
        <v>2.7983030470579706E-7</v>
      </c>
      <c r="AH30" s="8">
        <f t="shared" si="10"/>
        <v>-2.1263550806187787E-14</v>
      </c>
      <c r="AI30" s="8">
        <f t="shared" si="11"/>
        <v>1.7787354718427387E-13</v>
      </c>
      <c r="AJ30" s="8">
        <f t="shared" si="12"/>
        <v>1.1622905731201172E-6</v>
      </c>
    </row>
    <row r="31" spans="2:36" x14ac:dyDescent="0.2">
      <c r="B31" t="s">
        <v>21</v>
      </c>
      <c r="C31" s="2">
        <v>2</v>
      </c>
      <c r="D31" t="s">
        <v>15</v>
      </c>
      <c r="F31" t="s">
        <v>95</v>
      </c>
      <c r="G31">
        <f t="shared" ref="G31:G34" si="15" xml:space="preserve"> ROUND(G19/$C$23 * 100, 2)</f>
        <v>3.6</v>
      </c>
      <c r="H31" t="s">
        <v>107</v>
      </c>
      <c r="P31" s="8">
        <v>27</v>
      </c>
      <c r="Q31" s="8">
        <f t="shared" si="6"/>
        <v>0.43181093782186508</v>
      </c>
      <c r="R31" s="8">
        <f t="shared" si="0"/>
        <v>7.4207718858687599E-9</v>
      </c>
      <c r="S31" s="8">
        <f t="shared" si="7"/>
        <v>0.43181094527244568</v>
      </c>
      <c r="T31" s="8">
        <f t="shared" si="1"/>
        <v>-3.6535380276703222E-10</v>
      </c>
      <c r="U31" s="8">
        <f t="shared" si="8"/>
        <v>0.43181094154715538</v>
      </c>
      <c r="V31" s="8">
        <f t="shared" si="2"/>
        <v>3.5277090137952882E-9</v>
      </c>
      <c r="W31" s="8">
        <f t="shared" si="3"/>
        <v>2.6178323871097884E-17</v>
      </c>
      <c r="X31" s="8">
        <f t="shared" si="4"/>
        <v>-1.2888619032456455E-18</v>
      </c>
      <c r="Y31" s="8">
        <f t="shared" si="5"/>
        <v>7.4505805969238281E-9</v>
      </c>
      <c r="AA31" s="8">
        <v>27</v>
      </c>
      <c r="AB31" s="8">
        <f t="shared" si="13"/>
        <v>4.3997231721878052</v>
      </c>
      <c r="AC31" s="8">
        <v>-7.5987305336866484E-8</v>
      </c>
      <c r="AD31" s="8">
        <f t="shared" si="14"/>
        <v>4.3997237533330917</v>
      </c>
      <c r="AE31" s="8">
        <v>2.7983030470579706E-7</v>
      </c>
      <c r="AF31" s="8">
        <f t="shared" si="9"/>
        <v>4.3997234627604485</v>
      </c>
      <c r="AG31" s="8">
        <v>1.0192150146082213E-7</v>
      </c>
      <c r="AH31" s="8">
        <f t="shared" si="10"/>
        <v>-7.7447402518953745E-15</v>
      </c>
      <c r="AI31" s="8">
        <f t="shared" si="11"/>
        <v>2.8520724809854195E-14</v>
      </c>
      <c r="AJ31" s="8">
        <f t="shared" si="12"/>
        <v>5.8114528656005859E-7</v>
      </c>
    </row>
    <row r="32" spans="2:36" x14ac:dyDescent="0.2">
      <c r="B32" t="s">
        <v>19</v>
      </c>
      <c r="C32" s="2">
        <v>5000</v>
      </c>
      <c r="D32" t="s">
        <v>16</v>
      </c>
      <c r="F32" t="s">
        <v>96</v>
      </c>
      <c r="G32">
        <f t="shared" si="15"/>
        <v>5.16</v>
      </c>
      <c r="H32" t="s">
        <v>107</v>
      </c>
      <c r="P32" s="8">
        <v>28</v>
      </c>
      <c r="Q32" s="8">
        <f t="shared" si="6"/>
        <v>0.43181094154715538</v>
      </c>
      <c r="R32" s="8">
        <f t="shared" si="0"/>
        <v>3.5277090137952882E-9</v>
      </c>
      <c r="S32" s="8">
        <f t="shared" si="7"/>
        <v>0.43181094527244568</v>
      </c>
      <c r="T32" s="8">
        <f t="shared" si="1"/>
        <v>-3.6535380276703222E-10</v>
      </c>
      <c r="U32" s="8">
        <f t="shared" si="8"/>
        <v>0.43181094340980053</v>
      </c>
      <c r="V32" s="8">
        <f t="shared" si="2"/>
        <v>1.5811776332697036E-9</v>
      </c>
      <c r="W32" s="8">
        <f t="shared" si="3"/>
        <v>5.5779345892970341E-18</v>
      </c>
      <c r="X32" s="8">
        <f t="shared" si="4"/>
        <v>-5.776892611652621E-19</v>
      </c>
      <c r="Y32" s="8">
        <f t="shared" si="5"/>
        <v>3.7252902984619141E-9</v>
      </c>
      <c r="AA32" s="8">
        <v>28</v>
      </c>
      <c r="AB32" s="8">
        <f t="shared" si="13"/>
        <v>4.3997231721878052</v>
      </c>
      <c r="AC32" s="8">
        <v>-7.5987305336866484E-8</v>
      </c>
      <c r="AD32" s="8">
        <f t="shared" si="14"/>
        <v>4.3997234627604485</v>
      </c>
      <c r="AE32" s="8">
        <v>1.0192150146082213E-7</v>
      </c>
      <c r="AF32" s="8">
        <f t="shared" si="9"/>
        <v>4.3997233174741268</v>
      </c>
      <c r="AG32" s="8">
        <v>1.3230762263560791E-8</v>
      </c>
      <c r="AH32" s="8">
        <f t="shared" si="10"/>
        <v>-1.0053699719606846E-15</v>
      </c>
      <c r="AI32" s="8">
        <f t="shared" si="11"/>
        <v>1.3484991553733015E-15</v>
      </c>
      <c r="AJ32" s="8">
        <f t="shared" si="12"/>
        <v>2.905726432800293E-7</v>
      </c>
    </row>
    <row r="33" spans="2:36" x14ac:dyDescent="0.2">
      <c r="B33" t="s">
        <v>20</v>
      </c>
      <c r="C33" s="2">
        <v>240</v>
      </c>
      <c r="D33" t="s">
        <v>22</v>
      </c>
      <c r="F33" t="s">
        <v>98</v>
      </c>
      <c r="G33">
        <f t="shared" si="15"/>
        <v>31.36</v>
      </c>
      <c r="H33" t="s">
        <v>107</v>
      </c>
      <c r="P33" s="8">
        <v>29</v>
      </c>
      <c r="Q33" s="8">
        <f t="shared" si="6"/>
        <v>0.43181094340980053</v>
      </c>
      <c r="R33" s="8">
        <f t="shared" si="0"/>
        <v>1.5811776332697036E-9</v>
      </c>
      <c r="S33" s="8">
        <f t="shared" si="7"/>
        <v>0.43181094527244568</v>
      </c>
      <c r="T33" s="8">
        <f t="shared" si="1"/>
        <v>-3.6535380276703222E-10</v>
      </c>
      <c r="U33" s="8">
        <f t="shared" si="8"/>
        <v>0.4318109443411231</v>
      </c>
      <c r="V33" s="8">
        <f t="shared" si="2"/>
        <v>6.0791188749576008E-10</v>
      </c>
      <c r="W33" s="8">
        <f t="shared" si="3"/>
        <v>9.6121667950706426E-19</v>
      </c>
      <c r="X33" s="8">
        <f t="shared" si="4"/>
        <v>-2.2210291984386021E-19</v>
      </c>
      <c r="Y33" s="8">
        <f t="shared" si="5"/>
        <v>1.862645149230957E-9</v>
      </c>
      <c r="AA33" s="8">
        <v>29</v>
      </c>
      <c r="AB33" s="8">
        <f t="shared" si="13"/>
        <v>4.3997231721878052</v>
      </c>
      <c r="AC33" s="8">
        <v>-7.5987305336866484E-8</v>
      </c>
      <c r="AD33" s="8">
        <f t="shared" si="14"/>
        <v>4.3997233174741268</v>
      </c>
      <c r="AE33" s="8">
        <v>1.3230762263560791E-8</v>
      </c>
      <c r="AF33" s="8">
        <f t="shared" si="9"/>
        <v>4.399723244830966</v>
      </c>
      <c r="AG33" s="8">
        <v>-3.1378270648474427E-8</v>
      </c>
      <c r="AH33" s="8">
        <f t="shared" si="10"/>
        <v>2.3843502327084618E-15</v>
      </c>
      <c r="AI33" s="8">
        <f t="shared" si="11"/>
        <v>-4.1515843919163265E-16</v>
      </c>
      <c r="AJ33" s="8">
        <f t="shared" si="12"/>
        <v>1.4528632164001465E-7</v>
      </c>
    </row>
    <row r="34" spans="2:36" x14ac:dyDescent="0.2">
      <c r="F34" t="s">
        <v>103</v>
      </c>
      <c r="G34">
        <f t="shared" si="15"/>
        <v>4.96</v>
      </c>
      <c r="H34" t="s">
        <v>107</v>
      </c>
      <c r="P34" s="8">
        <v>30</v>
      </c>
      <c r="Q34" s="8">
        <f t="shared" si="6"/>
        <v>0.4318109443411231</v>
      </c>
      <c r="R34" s="8">
        <f t="shared" si="0"/>
        <v>6.0791188749576008E-10</v>
      </c>
      <c r="S34" s="8">
        <f t="shared" si="7"/>
        <v>0.43181094527244568</v>
      </c>
      <c r="T34" s="8">
        <f t="shared" si="1"/>
        <v>-3.6535380276703222E-10</v>
      </c>
      <c r="U34" s="8">
        <f t="shared" si="8"/>
        <v>0.43181094480678439</v>
      </c>
      <c r="V34" s="8">
        <f t="shared" si="2"/>
        <v>1.2127904236436393E-10</v>
      </c>
      <c r="W34" s="8">
        <f t="shared" si="3"/>
        <v>7.3726971557398727E-20</v>
      </c>
      <c r="X34" s="8">
        <f t="shared" si="4"/>
        <v>-4.4309759323764365E-20</v>
      </c>
      <c r="Y34" s="8">
        <f t="shared" si="5"/>
        <v>9.3132257461547852E-10</v>
      </c>
      <c r="AA34" s="8">
        <v>30</v>
      </c>
      <c r="AB34" s="8">
        <f t="shared" si="13"/>
        <v>4.399723244830966</v>
      </c>
      <c r="AC34" s="8">
        <v>-3.1378270648474427E-8</v>
      </c>
      <c r="AD34" s="8">
        <f t="shared" si="14"/>
        <v>4.3997233174741268</v>
      </c>
      <c r="AE34" s="8">
        <v>1.3230762263560791E-8</v>
      </c>
      <c r="AF34" s="13">
        <f t="shared" si="9"/>
        <v>4.3997232811525464</v>
      </c>
      <c r="AG34" s="8">
        <v>-9.0737541924568177E-9</v>
      </c>
      <c r="AH34" s="8">
        <f t="shared" si="10"/>
        <v>2.8471871484863954E-16</v>
      </c>
      <c r="AI34" s="8">
        <f t="shared" si="11"/>
        <v>-1.2005268455838419E-16</v>
      </c>
      <c r="AJ34" s="8">
        <f t="shared" si="12"/>
        <v>7.2643160820007324E-8</v>
      </c>
    </row>
    <row r="35" spans="2:36" x14ac:dyDescent="0.2">
      <c r="B35" s="15" t="s">
        <v>24</v>
      </c>
      <c r="C35" s="15"/>
      <c r="D35" s="15"/>
      <c r="F35" s="3" t="s">
        <v>108</v>
      </c>
      <c r="G35">
        <f>SUM(G28:G34)</f>
        <v>100</v>
      </c>
      <c r="H35" t="s">
        <v>107</v>
      </c>
    </row>
    <row r="36" spans="2:36" x14ac:dyDescent="0.2">
      <c r="B36" t="s">
        <v>26</v>
      </c>
      <c r="C36" s="2">
        <v>1.2250000000000001</v>
      </c>
      <c r="D36" t="s">
        <v>83</v>
      </c>
      <c r="F36" s="3"/>
    </row>
    <row r="37" spans="2:36" x14ac:dyDescent="0.2">
      <c r="B37" t="s">
        <v>25</v>
      </c>
      <c r="C37" s="2">
        <v>9.81</v>
      </c>
      <c r="D37" t="s">
        <v>82</v>
      </c>
      <c r="F37" s="3"/>
    </row>
    <row r="39" spans="2:36" x14ac:dyDescent="0.2">
      <c r="B39" s="15" t="s">
        <v>53</v>
      </c>
      <c r="C39" s="15"/>
      <c r="D39" s="15"/>
    </row>
    <row r="40" spans="2:36" x14ac:dyDescent="0.2">
      <c r="B40" t="s">
        <v>54</v>
      </c>
      <c r="C40" s="2">
        <v>30</v>
      </c>
    </row>
  </sheetData>
  <mergeCells count="15">
    <mergeCell ref="J3:L3"/>
    <mergeCell ref="F7:H7"/>
    <mergeCell ref="B11:D11"/>
    <mergeCell ref="F11:H11"/>
    <mergeCell ref="J11:L11"/>
    <mergeCell ref="B30:D30"/>
    <mergeCell ref="B35:D35"/>
    <mergeCell ref="B39:D39"/>
    <mergeCell ref="B3:D3"/>
    <mergeCell ref="F3:H3"/>
    <mergeCell ref="B1:D1"/>
    <mergeCell ref="F27:H27"/>
    <mergeCell ref="B16:D16"/>
    <mergeCell ref="F16:H16"/>
    <mergeCell ref="B22:D22"/>
  </mergeCells>
  <conditionalFormatting sqref="G24">
    <cfRule type="containsText" dxfId="5" priority="1" operator="containsText" text="FALSE">
      <formula>NOT(ISERROR(SEARCH("FALSE",G24)))</formula>
    </cfRule>
    <cfRule type="containsText" dxfId="4" priority="2" operator="containsText" text="TRUE">
      <formula>NOT(ISERROR(SEARCH("TRUE",G24)))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NOT(ISERROR(SEARCH("YES",G24)))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3004-915B-BB4E-A4CA-946D2B14C7CA}">
  <dimension ref="B2:AC37"/>
  <sheetViews>
    <sheetView workbookViewId="0">
      <selection activeCell="F23" sqref="F23"/>
    </sheetView>
  </sheetViews>
  <sheetFormatPr baseColWidth="10" defaultRowHeight="16" x14ac:dyDescent="0.2"/>
  <cols>
    <col min="1" max="1" width="3.6640625" customWidth="1"/>
    <col min="2" max="2" width="20" customWidth="1"/>
    <col min="3" max="3" width="9" customWidth="1"/>
    <col min="4" max="4" width="6.6640625" customWidth="1"/>
    <col min="5" max="5" width="3.83203125" customWidth="1"/>
    <col min="6" max="6" width="14.33203125" customWidth="1"/>
    <col min="8" max="8" width="3.83203125" customWidth="1"/>
    <col min="9" max="9" width="3.5" customWidth="1"/>
    <col min="10" max="10" width="13.1640625" customWidth="1"/>
    <col min="12" max="12" width="5" customWidth="1"/>
    <col min="13" max="13" width="3.6640625" customWidth="1"/>
    <col min="19" max="19" width="3.5" customWidth="1"/>
    <col min="20" max="20" width="5.33203125" customWidth="1"/>
    <col min="21" max="21" width="6.5" customWidth="1"/>
    <col min="22" max="22" width="6.6640625" customWidth="1"/>
    <col min="23" max="23" width="6.33203125" customWidth="1"/>
    <col min="24" max="24" width="6.83203125" customWidth="1"/>
    <col min="25" max="25" width="15.1640625" customWidth="1"/>
    <col min="26" max="26" width="7.5" customWidth="1"/>
    <col min="27" max="27" width="8.83203125" customWidth="1"/>
    <col min="28" max="28" width="9.33203125" customWidth="1"/>
  </cols>
  <sheetData>
    <row r="2" spans="2:29" x14ac:dyDescent="0.2">
      <c r="T2" s="1" t="s">
        <v>73</v>
      </c>
    </row>
    <row r="3" spans="2:29" x14ac:dyDescent="0.2">
      <c r="B3" s="16" t="s">
        <v>0</v>
      </c>
      <c r="C3" s="17"/>
      <c r="D3" s="17"/>
      <c r="F3" s="16" t="s">
        <v>28</v>
      </c>
      <c r="G3" s="17"/>
      <c r="H3" s="17"/>
      <c r="J3" s="15" t="s">
        <v>32</v>
      </c>
      <c r="K3" s="15"/>
      <c r="L3" s="15"/>
      <c r="M3" s="4"/>
      <c r="N3" s="18" t="s">
        <v>61</v>
      </c>
      <c r="O3" s="18"/>
      <c r="P3" s="18"/>
      <c r="Q3" s="18"/>
      <c r="R3" s="18"/>
      <c r="T3" s="7" t="s">
        <v>63</v>
      </c>
      <c r="U3" s="7" t="s">
        <v>64</v>
      </c>
      <c r="V3" s="7" t="s">
        <v>66</v>
      </c>
      <c r="W3" s="7" t="s">
        <v>65</v>
      </c>
      <c r="X3" s="7" t="s">
        <v>67</v>
      </c>
      <c r="Y3" s="7" t="s">
        <v>68</v>
      </c>
      <c r="Z3" s="7" t="s">
        <v>69</v>
      </c>
      <c r="AA3" s="7" t="s">
        <v>71</v>
      </c>
      <c r="AB3" s="7" t="s">
        <v>72</v>
      </c>
      <c r="AC3" s="7" t="s">
        <v>70</v>
      </c>
    </row>
    <row r="4" spans="2:29" x14ac:dyDescent="0.2">
      <c r="B4" t="s">
        <v>1</v>
      </c>
      <c r="C4" s="2" t="s">
        <v>2</v>
      </c>
      <c r="F4" t="s">
        <v>23</v>
      </c>
      <c r="G4">
        <f xml:space="preserve"> 1/$C$7 * SQRT( (C16*C28)^3 / (2*C27*PI()*C17^2*C5) )</f>
        <v>337.00291295078978</v>
      </c>
      <c r="H4" t="s">
        <v>27</v>
      </c>
      <c r="J4" t="s">
        <v>33</v>
      </c>
      <c r="K4">
        <f>1.682*$C$17^2</f>
        <v>6.7280000000000006E-2</v>
      </c>
      <c r="L4" t="s">
        <v>34</v>
      </c>
      <c r="N4">
        <f>$K$4</f>
        <v>6.7280000000000006E-2</v>
      </c>
      <c r="O4">
        <f>$K$4</f>
        <v>6.7280000000000006E-2</v>
      </c>
      <c r="P4">
        <f>$K$4</f>
        <v>6.7280000000000006E-2</v>
      </c>
      <c r="Q4">
        <f>$K$4</f>
        <v>6.7280000000000006E-2</v>
      </c>
      <c r="R4">
        <f>$K$4</f>
        <v>6.7280000000000006E-2</v>
      </c>
      <c r="T4" s="8">
        <v>0</v>
      </c>
      <c r="U4" s="8">
        <v>0</v>
      </c>
      <c r="V4" s="8">
        <f t="shared" ref="V4:V34" si="0" xml:space="preserve"> $C$19 * TAN($K$11) + $K$18 / (2 * SQRT( $C$19^2 + U4^2 )) - U4</f>
        <v>8.7290985255607245E-2</v>
      </c>
      <c r="W4" s="8">
        <v>1</v>
      </c>
      <c r="X4" s="8">
        <f t="shared" ref="X4:X34" si="1" xml:space="preserve"> $C$19 * TAN($K$11) + $K$18 / (2 * SQRT( $C$19^2 + W4^2 )) - W4</f>
        <v>-0.96953197070896835</v>
      </c>
      <c r="Y4" s="8">
        <f>(U4+W4)/2</f>
        <v>0.5</v>
      </c>
      <c r="Z4" s="8">
        <f t="shared" ref="Z4:Z34" si="2" xml:space="preserve"> $C$19 * TAN($K$11) + $K$18 / (2 * SQRT( $C$19^2 + Y4^2 )) - Y4</f>
        <v>-0.45142045017159305</v>
      </c>
      <c r="AA4" s="8">
        <f>V4*Z4</f>
        <v>-3.9404935860008115E-2</v>
      </c>
      <c r="AB4" s="8">
        <f>X4*Z4</f>
        <v>0.43766655867319426</v>
      </c>
      <c r="AC4" s="8">
        <f>W4-U4</f>
        <v>1</v>
      </c>
    </row>
    <row r="5" spans="2:29" x14ac:dyDescent="0.2">
      <c r="B5" t="s">
        <v>3</v>
      </c>
      <c r="C5" s="2">
        <v>6</v>
      </c>
      <c r="F5" t="s">
        <v>29</v>
      </c>
      <c r="G5">
        <f>C16*C28/C5</f>
        <v>8.1750000000000007</v>
      </c>
      <c r="H5" t="s">
        <v>30</v>
      </c>
      <c r="J5" t="s">
        <v>35</v>
      </c>
      <c r="K5">
        <f>R5</f>
        <v>0.29980981565157883</v>
      </c>
      <c r="N5">
        <f>0.1+0.2*K12^3</f>
        <v>0.30000000000000004</v>
      </c>
      <c r="O5">
        <f>0.1+0.2*N10^3</f>
        <v>0.29980957447970319</v>
      </c>
      <c r="P5">
        <f>0.1+0.2*O10^3</f>
        <v>0.29980981595731049</v>
      </c>
      <c r="Q5">
        <f>0.1+0.2*P10^3</f>
        <v>0.29980981565119075</v>
      </c>
      <c r="R5">
        <f>0.1+0.2*Q10^3</f>
        <v>0.29980981565157883</v>
      </c>
      <c r="T5" s="8">
        <v>1</v>
      </c>
      <c r="U5" s="8">
        <f>IF(AA4&gt;0, Y4, U4)</f>
        <v>0</v>
      </c>
      <c r="V5" s="8">
        <f t="shared" si="0"/>
        <v>8.7290985255607245E-2</v>
      </c>
      <c r="W5" s="8">
        <f>IF(AB4&gt;0, Y4, W4)</f>
        <v>0.5</v>
      </c>
      <c r="X5" s="8">
        <f t="shared" si="1"/>
        <v>-0.45142045017159305</v>
      </c>
      <c r="Y5" s="8">
        <f>(U5+W5)/2</f>
        <v>0.25</v>
      </c>
      <c r="Z5" s="8">
        <f t="shared" si="2"/>
        <v>-0.18118977380792331</v>
      </c>
      <c r="AA5" s="8">
        <f>V5*Z5</f>
        <v>-1.5816233873934247E-2</v>
      </c>
      <c r="AB5" s="8">
        <f>X5*Z5</f>
        <v>8.1792769258861864E-2</v>
      </c>
      <c r="AC5" s="8">
        <f>W5-U5</f>
        <v>0.5</v>
      </c>
    </row>
    <row r="6" spans="2:29" x14ac:dyDescent="0.2">
      <c r="B6" t="s">
        <v>4</v>
      </c>
      <c r="C6" s="2">
        <v>0.13</v>
      </c>
      <c r="J6" t="s">
        <v>38</v>
      </c>
      <c r="K6">
        <f>R6</f>
        <v>1.2354862693185913</v>
      </c>
      <c r="L6" t="s">
        <v>30</v>
      </c>
      <c r="N6">
        <f>0.5 * $C$27 * $C$18^2 * N4 * N5</f>
        <v>1.2362700000000004</v>
      </c>
      <c r="O6">
        <f>0.5 * $C$27 * $C$18^2 * O4 * O5</f>
        <v>1.2354852754734091</v>
      </c>
      <c r="P6">
        <f>0.5 * $C$27 * $C$18^2 * P4 * P5</f>
        <v>1.235486270578481</v>
      </c>
      <c r="Q6">
        <f>0.5 * $C$27 * $C$18^2 * Q4 * Q5</f>
        <v>1.2354862693169921</v>
      </c>
      <c r="R6">
        <f>0.5 * $C$27 * $C$18^2 * R4 * R5</f>
        <v>1.2354862693185913</v>
      </c>
      <c r="T6" s="8">
        <v>2</v>
      </c>
      <c r="U6" s="8">
        <f t="shared" ref="U6:U34" si="3">IF(AA5&gt;0, Y5, U5)</f>
        <v>0</v>
      </c>
      <c r="V6" s="8">
        <f t="shared" si="0"/>
        <v>8.7290985255607245E-2</v>
      </c>
      <c r="W6" s="8">
        <f t="shared" ref="W6:W34" si="4">IF(AB5&gt;0, Y5, W5)</f>
        <v>0.25</v>
      </c>
      <c r="X6" s="8">
        <f t="shared" si="1"/>
        <v>-0.18118977380792331</v>
      </c>
      <c r="Y6" s="8">
        <f t="shared" ref="Y6:Y34" si="5">(U6+W6)/2</f>
        <v>0.125</v>
      </c>
      <c r="Z6" s="8">
        <f t="shared" si="2"/>
        <v>-4.3842437383759078E-2</v>
      </c>
      <c r="AA6" s="8">
        <f t="shared" ref="AA6:AA34" si="6">V6*Z6</f>
        <v>-3.8270495552355974E-3</v>
      </c>
      <c r="AB6" s="8">
        <f t="shared" ref="AB6:AB34" si="7">X6*Z6</f>
        <v>7.9438013127513477E-3</v>
      </c>
      <c r="AC6" s="8">
        <f t="shared" ref="AC6:AC34" si="8">W6-U6</f>
        <v>0.25</v>
      </c>
    </row>
    <row r="7" spans="2:29" x14ac:dyDescent="0.2">
      <c r="B7" t="s">
        <v>5</v>
      </c>
      <c r="C7" s="2">
        <v>0.75</v>
      </c>
      <c r="F7" s="16" t="s">
        <v>31</v>
      </c>
      <c r="G7" s="17"/>
      <c r="H7" s="17"/>
      <c r="T7" s="8">
        <v>3</v>
      </c>
      <c r="U7" s="8">
        <f t="shared" si="3"/>
        <v>0</v>
      </c>
      <c r="V7" s="8">
        <f t="shared" si="0"/>
        <v>8.7290985255607245E-2</v>
      </c>
      <c r="W7" s="8">
        <f t="shared" si="4"/>
        <v>0.125</v>
      </c>
      <c r="X7" s="8">
        <f t="shared" si="1"/>
        <v>-4.3842437383759078E-2</v>
      </c>
      <c r="Y7" s="8">
        <f t="shared" si="5"/>
        <v>6.25E-2</v>
      </c>
      <c r="Z7" s="8">
        <f t="shared" si="2"/>
        <v>2.3114999652739693E-2</v>
      </c>
      <c r="AA7" s="8">
        <f t="shared" si="6"/>
        <v>2.0177310938706669E-3</v>
      </c>
      <c r="AB7" s="8">
        <f t="shared" si="7"/>
        <v>-1.0134179249008529E-3</v>
      </c>
      <c r="AC7" s="8">
        <f t="shared" si="8"/>
        <v>0.125</v>
      </c>
    </row>
    <row r="8" spans="2:29" x14ac:dyDescent="0.2">
      <c r="F8" s="3" t="s">
        <v>56</v>
      </c>
      <c r="G8">
        <f xml:space="preserve"> K20 + K16 * (K25*K22 + $C$18 * SIN(K11))</f>
        <v>30.751023738341413</v>
      </c>
      <c r="H8" t="s">
        <v>27</v>
      </c>
      <c r="J8" s="16" t="s">
        <v>36</v>
      </c>
      <c r="K8" s="16"/>
      <c r="L8" s="16"/>
      <c r="M8" s="1"/>
      <c r="T8" s="8">
        <v>4</v>
      </c>
      <c r="U8" s="8">
        <f t="shared" si="3"/>
        <v>6.25E-2</v>
      </c>
      <c r="V8" s="8">
        <f t="shared" si="0"/>
        <v>2.3114999652739693E-2</v>
      </c>
      <c r="W8" s="8">
        <f t="shared" si="4"/>
        <v>0.125</v>
      </c>
      <c r="X8" s="8">
        <f t="shared" si="1"/>
        <v>-4.3842437383759078E-2</v>
      </c>
      <c r="Y8" s="8">
        <f t="shared" si="5"/>
        <v>9.375E-2</v>
      </c>
      <c r="Z8" s="8">
        <f t="shared" si="2"/>
        <v>-1.0088530676829965E-2</v>
      </c>
      <c r="AA8" s="8">
        <f t="shared" si="6"/>
        <v>-2.3319638309157839E-4</v>
      </c>
      <c r="AB8" s="8">
        <f t="shared" si="7"/>
        <v>4.4230577449305036E-4</v>
      </c>
      <c r="AC8" s="8">
        <f t="shared" si="8"/>
        <v>6.25E-2</v>
      </c>
    </row>
    <row r="9" spans="2:29" x14ac:dyDescent="0.2">
      <c r="F9" s="3" t="s">
        <v>57</v>
      </c>
      <c r="G9">
        <f xml:space="preserve"> $C$5 * G8</f>
        <v>184.50614243004847</v>
      </c>
      <c r="H9" t="s">
        <v>27</v>
      </c>
      <c r="J9" t="s">
        <v>49</v>
      </c>
      <c r="K9">
        <f>R9</f>
        <v>49.065557434127612</v>
      </c>
      <c r="L9" t="s">
        <v>30</v>
      </c>
      <c r="N9">
        <f>SQRT( ($C$16*$C$28)^2 + N6^2 )</f>
        <v>49.065577174969626</v>
      </c>
      <c r="O9">
        <f>SQRT( ($C$16*$C$28)^2 + O6^2 )</f>
        <v>49.065557409102283</v>
      </c>
      <c r="P9">
        <f>SQRT( ($C$16*$C$28)^2 + P6^2 )</f>
        <v>49.065557434159338</v>
      </c>
      <c r="Q9">
        <f>SQRT( ($C$16*$C$28)^2 + Q6^2 )</f>
        <v>49.06555743412757</v>
      </c>
      <c r="R9">
        <f>SQRT( ($C$16*$C$28)^2 + R6^2 )</f>
        <v>49.065557434127612</v>
      </c>
      <c r="T9" s="8">
        <v>5</v>
      </c>
      <c r="U9" s="8">
        <f t="shared" si="3"/>
        <v>6.25E-2</v>
      </c>
      <c r="V9" s="8">
        <f t="shared" si="0"/>
        <v>2.3114999652739693E-2</v>
      </c>
      <c r="W9" s="8">
        <f t="shared" si="4"/>
        <v>9.375E-2</v>
      </c>
      <c r="X9" s="8">
        <f t="shared" si="1"/>
        <v>-1.0088530676829965E-2</v>
      </c>
      <c r="Y9" s="8">
        <f t="shared" si="5"/>
        <v>7.8125E-2</v>
      </c>
      <c r="Z9" s="8">
        <f t="shared" si="2"/>
        <v>6.5924934168906379E-3</v>
      </c>
      <c r="AA9" s="8">
        <f t="shared" si="6"/>
        <v>1.523854830421158E-4</v>
      </c>
      <c r="AB9" s="8">
        <f t="shared" si="7"/>
        <v>-6.6508572073100799E-5</v>
      </c>
      <c r="AC9" s="8">
        <f t="shared" si="8"/>
        <v>3.125E-2</v>
      </c>
    </row>
    <row r="10" spans="2:29" x14ac:dyDescent="0.2">
      <c r="B10" s="16" t="s">
        <v>6</v>
      </c>
      <c r="C10" s="17"/>
      <c r="D10" s="17"/>
      <c r="J10" t="s">
        <v>37</v>
      </c>
      <c r="K10">
        <f>R10</f>
        <v>0.9996829255603894</v>
      </c>
      <c r="N10">
        <f xml:space="preserve"> $C$16 * $C$28 / N9</f>
        <v>0.99968252335208296</v>
      </c>
      <c r="O10">
        <f xml:space="preserve"> $C$16 * $C$28 / O9</f>
        <v>0.99968292607026632</v>
      </c>
      <c r="P10">
        <f xml:space="preserve"> $C$16 * $C$28 / P9</f>
        <v>0.99968292555974303</v>
      </c>
      <c r="Q10">
        <f xml:space="preserve"> $C$16 * $C$28 / Q9</f>
        <v>0.99968292556039029</v>
      </c>
      <c r="R10">
        <f xml:space="preserve"> $C$16 * $C$28 / R9</f>
        <v>0.9996829255603894</v>
      </c>
      <c r="T10" s="8">
        <v>6</v>
      </c>
      <c r="U10" s="8">
        <f t="shared" si="3"/>
        <v>7.8125E-2</v>
      </c>
      <c r="V10" s="8">
        <f t="shared" si="0"/>
        <v>6.5924934168906379E-3</v>
      </c>
      <c r="W10" s="8">
        <f t="shared" si="4"/>
        <v>9.375E-2</v>
      </c>
      <c r="X10" s="8">
        <f t="shared" si="1"/>
        <v>-1.0088530676829965E-2</v>
      </c>
      <c r="Y10" s="8">
        <f t="shared" si="5"/>
        <v>8.59375E-2</v>
      </c>
      <c r="Z10" s="8">
        <f t="shared" si="2"/>
        <v>-1.7294666160776878E-3</v>
      </c>
      <c r="AA10" s="8">
        <f t="shared" si="6"/>
        <v>-1.1401497281224286E-5</v>
      </c>
      <c r="AB10" s="8">
        <f t="shared" si="7"/>
        <v>1.7447777010853067E-5</v>
      </c>
      <c r="AC10" s="8">
        <f t="shared" si="8"/>
        <v>1.5625E-2</v>
      </c>
    </row>
    <row r="11" spans="2:29" x14ac:dyDescent="0.2">
      <c r="B11" t="s">
        <v>7</v>
      </c>
      <c r="C11" s="2">
        <v>158</v>
      </c>
      <c r="D11" t="s">
        <v>14</v>
      </c>
      <c r="F11" s="16" t="s">
        <v>58</v>
      </c>
      <c r="G11" s="17"/>
      <c r="H11" s="17"/>
      <c r="J11" t="s">
        <v>39</v>
      </c>
      <c r="K11">
        <f>R11</f>
        <v>2.5182978261551803E-2</v>
      </c>
      <c r="L11" t="s">
        <v>41</v>
      </c>
      <c r="N11">
        <f xml:space="preserve"> ACOS(N10)</f>
        <v>2.5198946323593985E-2</v>
      </c>
      <c r="O11">
        <f xml:space="preserve"> ACOS(O10)</f>
        <v>2.5182958012516243E-2</v>
      </c>
      <c r="P11">
        <f xml:space="preserve"> ACOS(P10)</f>
        <v>2.5182978287221491E-2</v>
      </c>
      <c r="Q11">
        <f xml:space="preserve"> ACOS(Q10)</f>
        <v>2.5182978261516498E-2</v>
      </c>
      <c r="R11">
        <f xml:space="preserve"> ACOS(R10)</f>
        <v>2.5182978261551803E-2</v>
      </c>
      <c r="T11" s="8">
        <v>7</v>
      </c>
      <c r="U11" s="8">
        <f t="shared" si="3"/>
        <v>7.8125E-2</v>
      </c>
      <c r="V11" s="8">
        <f t="shared" si="0"/>
        <v>6.5924934168906379E-3</v>
      </c>
      <c r="W11" s="8">
        <f t="shared" si="4"/>
        <v>8.59375E-2</v>
      </c>
      <c r="X11" s="8">
        <f t="shared" si="1"/>
        <v>-1.7294666160776878E-3</v>
      </c>
      <c r="Y11" s="8">
        <f t="shared" si="5"/>
        <v>8.203125E-2</v>
      </c>
      <c r="Z11" s="8">
        <f t="shared" si="2"/>
        <v>2.4363133796608261E-3</v>
      </c>
      <c r="AA11" s="8">
        <f t="shared" si="6"/>
        <v>1.6061379916896578E-5</v>
      </c>
      <c r="AB11" s="8">
        <f t="shared" si="7"/>
        <v>-4.2135226564268042E-6</v>
      </c>
      <c r="AC11" s="8">
        <f t="shared" si="8"/>
        <v>7.8125E-3</v>
      </c>
    </row>
    <row r="12" spans="2:29" x14ac:dyDescent="0.2">
      <c r="B12" t="s">
        <v>8</v>
      </c>
      <c r="C12" s="2">
        <v>0.85</v>
      </c>
      <c r="F12" t="s">
        <v>59</v>
      </c>
      <c r="G12">
        <f xml:space="preserve"> (G4 * $C$24 + G9 * ($C$23/$C$18)) / 3600</f>
        <v>22.979377925691676</v>
      </c>
      <c r="H12" t="s">
        <v>60</v>
      </c>
      <c r="J12" t="s">
        <v>62</v>
      </c>
      <c r="K12" s="2">
        <v>1</v>
      </c>
      <c r="T12" s="8">
        <v>8</v>
      </c>
      <c r="U12" s="8">
        <f t="shared" si="3"/>
        <v>8.203125E-2</v>
      </c>
      <c r="V12" s="8">
        <f t="shared" si="0"/>
        <v>2.4363133796608261E-3</v>
      </c>
      <c r="W12" s="8">
        <f t="shared" si="4"/>
        <v>8.59375E-2</v>
      </c>
      <c r="X12" s="8">
        <f t="shared" si="1"/>
        <v>-1.7294666160776878E-3</v>
      </c>
      <c r="Y12" s="8">
        <f t="shared" si="5"/>
        <v>8.3984375E-2</v>
      </c>
      <c r="Z12" s="8">
        <f t="shared" si="2"/>
        <v>3.5460334546769112E-4</v>
      </c>
      <c r="AA12" s="8">
        <f t="shared" si="6"/>
        <v>8.6392487503542601E-7</v>
      </c>
      <c r="AB12" s="8">
        <f t="shared" si="7"/>
        <v>-6.1327464793583509E-7</v>
      </c>
      <c r="AC12" s="8">
        <f t="shared" si="8"/>
        <v>3.90625E-3</v>
      </c>
    </row>
    <row r="13" spans="2:29" x14ac:dyDescent="0.2">
      <c r="B13" t="s">
        <v>9</v>
      </c>
      <c r="C13" s="2">
        <v>0.7</v>
      </c>
      <c r="T13" s="8">
        <v>9</v>
      </c>
      <c r="U13" s="8">
        <f t="shared" si="3"/>
        <v>8.3984375E-2</v>
      </c>
      <c r="V13" s="8">
        <f t="shared" si="0"/>
        <v>3.5460334546769112E-4</v>
      </c>
      <c r="W13" s="8">
        <f t="shared" si="4"/>
        <v>8.59375E-2</v>
      </c>
      <c r="X13" s="8">
        <f t="shared" si="1"/>
        <v>-1.7294666160776878E-3</v>
      </c>
      <c r="Y13" s="8">
        <f t="shared" si="5"/>
        <v>8.49609375E-2</v>
      </c>
      <c r="Z13" s="8">
        <f t="shared" si="2"/>
        <v>-6.8713916867470248E-4</v>
      </c>
      <c r="AA13" s="8">
        <f t="shared" si="6"/>
        <v>-2.4366184801393759E-7</v>
      </c>
      <c r="AB13" s="8">
        <f t="shared" si="7"/>
        <v>1.1883842528222733E-6</v>
      </c>
      <c r="AC13" s="8">
        <f t="shared" si="8"/>
        <v>1.953125E-3</v>
      </c>
    </row>
    <row r="14" spans="2:29" x14ac:dyDescent="0.2">
      <c r="T14" s="8">
        <v>10</v>
      </c>
      <c r="U14" s="8">
        <f t="shared" si="3"/>
        <v>8.3984375E-2</v>
      </c>
      <c r="V14" s="8">
        <f t="shared" si="0"/>
        <v>3.5460334546769112E-4</v>
      </c>
      <c r="W14" s="8">
        <f t="shared" si="4"/>
        <v>8.49609375E-2</v>
      </c>
      <c r="X14" s="8">
        <f t="shared" si="1"/>
        <v>-6.8713916867470248E-4</v>
      </c>
      <c r="Y14" s="8">
        <f t="shared" si="5"/>
        <v>8.447265625E-2</v>
      </c>
      <c r="Z14" s="8">
        <f t="shared" si="2"/>
        <v>-1.6619447854829272E-4</v>
      </c>
      <c r="AA14" s="8">
        <f t="shared" si="6"/>
        <v>-5.8933118091483026E-8</v>
      </c>
      <c r="AB14" s="8">
        <f t="shared" si="7"/>
        <v>1.1419873582799954E-7</v>
      </c>
      <c r="AC14" s="8">
        <f t="shared" si="8"/>
        <v>9.765625E-4</v>
      </c>
    </row>
    <row r="15" spans="2:29" x14ac:dyDescent="0.2">
      <c r="B15" s="16" t="s">
        <v>10</v>
      </c>
      <c r="C15" s="16"/>
      <c r="D15" s="16"/>
      <c r="J15" s="16" t="s">
        <v>40</v>
      </c>
      <c r="K15" s="17"/>
      <c r="L15" s="17"/>
      <c r="T15" s="8">
        <v>11</v>
      </c>
      <c r="U15" s="8">
        <f t="shared" si="3"/>
        <v>8.3984375E-2</v>
      </c>
      <c r="V15" s="8">
        <f t="shared" si="0"/>
        <v>3.5460334546769112E-4</v>
      </c>
      <c r="W15" s="8">
        <f t="shared" si="4"/>
        <v>8.447265625E-2</v>
      </c>
      <c r="X15" s="8">
        <f t="shared" si="1"/>
        <v>-1.6619447854829272E-4</v>
      </c>
      <c r="Y15" s="8">
        <f t="shared" si="5"/>
        <v>8.4228515625E-2</v>
      </c>
      <c r="Z15" s="8">
        <f t="shared" si="2"/>
        <v>9.4222831199294865E-5</v>
      </c>
      <c r="AA15" s="8">
        <f t="shared" si="6"/>
        <v>3.3411731162707504E-8</v>
      </c>
      <c r="AB15" s="8">
        <f t="shared" si="7"/>
        <v>-1.5659314298510616E-8</v>
      </c>
      <c r="AC15" s="8">
        <f t="shared" si="8"/>
        <v>4.8828125E-4</v>
      </c>
    </row>
    <row r="16" spans="2:29" x14ac:dyDescent="0.2">
      <c r="B16" t="s">
        <v>12</v>
      </c>
      <c r="C16" s="2">
        <v>5</v>
      </c>
      <c r="D16" t="s">
        <v>15</v>
      </c>
      <c r="J16" t="s">
        <v>29</v>
      </c>
      <c r="K16">
        <f>K9/$C$5</f>
        <v>8.177592905687936</v>
      </c>
      <c r="L16" t="s">
        <v>30</v>
      </c>
      <c r="T16" s="8">
        <v>12</v>
      </c>
      <c r="U16" s="8">
        <f t="shared" si="3"/>
        <v>8.4228515625E-2</v>
      </c>
      <c r="V16" s="8">
        <f t="shared" si="0"/>
        <v>9.4222831199294865E-5</v>
      </c>
      <c r="W16" s="8">
        <f t="shared" si="4"/>
        <v>8.447265625E-2</v>
      </c>
      <c r="X16" s="8">
        <f t="shared" si="1"/>
        <v>-1.6619447854829272E-4</v>
      </c>
      <c r="Y16" s="8">
        <f t="shared" si="5"/>
        <v>8.43505859375E-2</v>
      </c>
      <c r="Z16" s="8">
        <f t="shared" si="2"/>
        <v>-3.5981229170728435E-5</v>
      </c>
      <c r="AA16" s="8">
        <f t="shared" si="6"/>
        <v>-3.3902532824966897E-9</v>
      </c>
      <c r="AB16" s="8">
        <f t="shared" si="7"/>
        <v>5.9798816195558309E-9</v>
      </c>
      <c r="AC16" s="8">
        <f t="shared" si="8"/>
        <v>2.44140625E-4</v>
      </c>
    </row>
    <row r="17" spans="2:29" x14ac:dyDescent="0.2">
      <c r="B17" t="s">
        <v>11</v>
      </c>
      <c r="C17" s="2">
        <v>0.2</v>
      </c>
      <c r="D17" t="s">
        <v>16</v>
      </c>
      <c r="F17" s="1"/>
      <c r="J17" t="s">
        <v>43</v>
      </c>
      <c r="K17">
        <f xml:space="preserve"> C18 * COS(K11) / ($C$19 * $C$17)</f>
        <v>166.61382092673156</v>
      </c>
      <c r="L17" t="s">
        <v>44</v>
      </c>
      <c r="T17" s="8">
        <v>13</v>
      </c>
      <c r="U17" s="8">
        <f t="shared" si="3"/>
        <v>8.4228515625E-2</v>
      </c>
      <c r="V17" s="8">
        <f t="shared" si="0"/>
        <v>9.4222831199294865E-5</v>
      </c>
      <c r="W17" s="8">
        <f t="shared" si="4"/>
        <v>8.43505859375E-2</v>
      </c>
      <c r="X17" s="8">
        <f t="shared" si="1"/>
        <v>-3.5981229170728435E-5</v>
      </c>
      <c r="Y17" s="8">
        <f t="shared" si="5"/>
        <v>8.428955078125E-2</v>
      </c>
      <c r="Z17" s="8">
        <f t="shared" si="2"/>
        <v>2.9121950256824625E-5</v>
      </c>
      <c r="AA17" s="8">
        <f t="shared" si="6"/>
        <v>2.7439526032430483E-9</v>
      </c>
      <c r="AB17" s="8">
        <f t="shared" si="7"/>
        <v>-1.0478435660893607E-9</v>
      </c>
      <c r="AC17" s="8">
        <f t="shared" si="8"/>
        <v>1.220703125E-4</v>
      </c>
    </row>
    <row r="18" spans="2:29" x14ac:dyDescent="0.2">
      <c r="B18" t="s">
        <v>13</v>
      </c>
      <c r="C18" s="2">
        <v>10</v>
      </c>
      <c r="D18" t="s">
        <v>17</v>
      </c>
      <c r="J18" t="s">
        <v>45</v>
      </c>
      <c r="K18">
        <f xml:space="preserve"> K16 / (PI() * $C$27 * K17^2 * $C$17^4)</f>
        <v>4.7840696587057328E-2</v>
      </c>
      <c r="T18" s="8">
        <v>14</v>
      </c>
      <c r="U18" s="8">
        <f t="shared" si="3"/>
        <v>8.428955078125E-2</v>
      </c>
      <c r="V18" s="8">
        <f t="shared" si="0"/>
        <v>2.9121950256824625E-5</v>
      </c>
      <c r="W18" s="8">
        <f t="shared" si="4"/>
        <v>8.43505859375E-2</v>
      </c>
      <c r="X18" s="8">
        <f t="shared" si="1"/>
        <v>-3.5981229170728435E-5</v>
      </c>
      <c r="Y18" s="8">
        <f t="shared" si="5"/>
        <v>8.4320068359375E-2</v>
      </c>
      <c r="Z18" s="8">
        <f t="shared" si="2"/>
        <v>-3.4293522233747042E-6</v>
      </c>
      <c r="AA18" s="8">
        <f t="shared" si="6"/>
        <v>-9.9869424862249067E-11</v>
      </c>
      <c r="AB18" s="8">
        <f t="shared" si="7"/>
        <v>1.2339230825639232E-10</v>
      </c>
      <c r="AC18" s="8">
        <f t="shared" si="8"/>
        <v>6.103515625E-5</v>
      </c>
    </row>
    <row r="19" spans="2:29" x14ac:dyDescent="0.2">
      <c r="B19" t="s">
        <v>42</v>
      </c>
      <c r="C19" s="2">
        <v>0.3</v>
      </c>
      <c r="J19" t="s">
        <v>47</v>
      </c>
      <c r="K19" s="2">
        <v>1.2E-2</v>
      </c>
      <c r="T19" s="8">
        <v>15</v>
      </c>
      <c r="U19" s="8">
        <f t="shared" si="3"/>
        <v>8.428955078125E-2</v>
      </c>
      <c r="V19" s="8">
        <f t="shared" si="0"/>
        <v>2.9121950256824625E-5</v>
      </c>
      <c r="W19" s="8">
        <f t="shared" si="4"/>
        <v>8.4320068359375E-2</v>
      </c>
      <c r="X19" s="8">
        <f t="shared" si="1"/>
        <v>-3.4293522233747042E-6</v>
      </c>
      <c r="Y19" s="8">
        <f t="shared" si="5"/>
        <v>8.43048095703125E-2</v>
      </c>
      <c r="Z19" s="8">
        <f t="shared" si="2"/>
        <v>1.284637083474871E-5</v>
      </c>
      <c r="AA19" s="8">
        <f t="shared" si="6"/>
        <v>3.741113724302746E-10</v>
      </c>
      <c r="AB19" s="8">
        <f t="shared" si="7"/>
        <v>-4.4054730384441446E-11</v>
      </c>
      <c r="AC19" s="8">
        <f t="shared" si="8"/>
        <v>3.0517578125E-5</v>
      </c>
    </row>
    <row r="20" spans="2:29" x14ac:dyDescent="0.2">
      <c r="J20" t="s">
        <v>46</v>
      </c>
      <c r="K20">
        <f xml:space="preserve"> ($C$6 * $K$19 / 8) * (1 + 4.65 * $C$19^2) * (PI() * $C$27 * K17^3 * $C$17^5)</f>
        <v>1.5755528060264887</v>
      </c>
      <c r="L20" t="s">
        <v>27</v>
      </c>
      <c r="T20" s="8">
        <v>16</v>
      </c>
      <c r="U20" s="8">
        <f t="shared" si="3"/>
        <v>8.43048095703125E-2</v>
      </c>
      <c r="V20" s="8">
        <f t="shared" si="0"/>
        <v>1.284637083474871E-5</v>
      </c>
      <c r="W20" s="8">
        <f t="shared" si="4"/>
        <v>8.4320068359375E-2</v>
      </c>
      <c r="X20" s="8">
        <f t="shared" si="1"/>
        <v>-3.4293522233747042E-6</v>
      </c>
      <c r="Y20" s="8">
        <f t="shared" si="5"/>
        <v>8.431243896484375E-2</v>
      </c>
      <c r="Z20" s="8">
        <f t="shared" si="2"/>
        <v>4.708527258992512E-6</v>
      </c>
      <c r="AA20" s="8">
        <f t="shared" si="6"/>
        <v>6.0487487254540696E-11</v>
      </c>
      <c r="AB20" s="8">
        <f t="shared" si="7"/>
        <v>-1.6147198424446372E-11</v>
      </c>
      <c r="AC20" s="8">
        <f t="shared" si="8"/>
        <v>1.52587890625E-5</v>
      </c>
    </row>
    <row r="21" spans="2:29" x14ac:dyDescent="0.2">
      <c r="B21" s="16" t="s">
        <v>18</v>
      </c>
      <c r="C21" s="16"/>
      <c r="D21" s="16"/>
      <c r="J21" t="s">
        <v>48</v>
      </c>
      <c r="K21" s="9">
        <f>Y34</f>
        <v>8.431685296818614E-2</v>
      </c>
      <c r="T21" s="8">
        <v>17</v>
      </c>
      <c r="U21" s="8">
        <f t="shared" si="3"/>
        <v>8.431243896484375E-2</v>
      </c>
      <c r="V21" s="8">
        <f t="shared" si="0"/>
        <v>4.708527258992512E-6</v>
      </c>
      <c r="W21" s="8">
        <f t="shared" si="4"/>
        <v>8.4320068359375E-2</v>
      </c>
      <c r="X21" s="8">
        <f t="shared" si="1"/>
        <v>-3.4293522233747042E-6</v>
      </c>
      <c r="Y21" s="8">
        <f t="shared" si="5"/>
        <v>8.4316253662109375E-2</v>
      </c>
      <c r="Z21" s="8">
        <f t="shared" si="2"/>
        <v>6.3959200599650323E-7</v>
      </c>
      <c r="AA21" s="8">
        <f t="shared" si="6"/>
        <v>3.0115363948682376E-12</v>
      </c>
      <c r="AB21" s="8">
        <f t="shared" si="7"/>
        <v>-2.1933862678167955E-12</v>
      </c>
      <c r="AC21" s="8">
        <f t="shared" si="8"/>
        <v>7.62939453125E-6</v>
      </c>
    </row>
    <row r="22" spans="2:29" x14ac:dyDescent="0.2">
      <c r="B22" t="s">
        <v>21</v>
      </c>
      <c r="C22" s="2">
        <v>2</v>
      </c>
      <c r="D22" t="s">
        <v>15</v>
      </c>
      <c r="J22" t="s">
        <v>50</v>
      </c>
      <c r="K22">
        <f xml:space="preserve"> K17 * $C$17 * K21 - $C$18 * SIN(K11)</f>
        <v>2.5578674425189312</v>
      </c>
      <c r="L22" t="s">
        <v>17</v>
      </c>
      <c r="T22" s="8">
        <v>18</v>
      </c>
      <c r="U22" s="8">
        <f t="shared" si="3"/>
        <v>8.4316253662109375E-2</v>
      </c>
      <c r="V22" s="8">
        <f t="shared" si="0"/>
        <v>6.3959200599650323E-7</v>
      </c>
      <c r="W22" s="8">
        <f t="shared" si="4"/>
        <v>8.4320068359375E-2</v>
      </c>
      <c r="X22" s="8">
        <f t="shared" si="1"/>
        <v>-3.4293522233747042E-6</v>
      </c>
      <c r="Y22" s="8">
        <f t="shared" si="5"/>
        <v>8.4318161010742188E-2</v>
      </c>
      <c r="Z22" s="8">
        <f t="shared" si="2"/>
        <v>-1.3948789866630174E-6</v>
      </c>
      <c r="AA22" s="8">
        <f t="shared" si="6"/>
        <v>-8.9215344920216891E-13</v>
      </c>
      <c r="AB22" s="8">
        <f t="shared" si="7"/>
        <v>4.7835313542514732E-12</v>
      </c>
      <c r="AC22" s="8">
        <f t="shared" si="8"/>
        <v>3.814697265625E-6</v>
      </c>
    </row>
    <row r="23" spans="2:29" x14ac:dyDescent="0.2">
      <c r="B23" t="s">
        <v>19</v>
      </c>
      <c r="C23" s="2">
        <v>100</v>
      </c>
      <c r="D23" t="s">
        <v>16</v>
      </c>
      <c r="J23" t="s">
        <v>51</v>
      </c>
      <c r="K23">
        <f xml:space="preserve"> (1/$C$7) - K20 * SQRT( (2*$C$27*PI()*$C$17^2) / K16^3 )</f>
        <v>1.2959495967868175</v>
      </c>
      <c r="T23" s="8">
        <v>19</v>
      </c>
      <c r="U23" s="8">
        <f t="shared" si="3"/>
        <v>8.4316253662109375E-2</v>
      </c>
      <c r="V23" s="8">
        <f t="shared" si="0"/>
        <v>6.3959200599650323E-7</v>
      </c>
      <c r="W23" s="8">
        <f t="shared" si="4"/>
        <v>8.4318161010742188E-2</v>
      </c>
      <c r="X23" s="8">
        <f t="shared" si="1"/>
        <v>-1.3948789866630174E-6</v>
      </c>
      <c r="Y23" s="8">
        <f t="shared" si="5"/>
        <v>8.4317207336425781E-2</v>
      </c>
      <c r="Z23" s="8">
        <f t="shared" si="2"/>
        <v>-3.7764320982847099E-7</v>
      </c>
      <c r="AA23" s="8">
        <f t="shared" si="6"/>
        <v>-2.4153757812515016E-13</v>
      </c>
      <c r="AB23" s="8">
        <f t="shared" si="7"/>
        <v>5.2676657784570682E-13</v>
      </c>
      <c r="AC23" s="8">
        <f t="shared" si="8"/>
        <v>1.9073486328125E-6</v>
      </c>
    </row>
    <row r="24" spans="2:29" x14ac:dyDescent="0.2">
      <c r="B24" t="s">
        <v>20</v>
      </c>
      <c r="C24" s="2">
        <v>240</v>
      </c>
      <c r="D24" t="s">
        <v>22</v>
      </c>
      <c r="J24" t="s">
        <v>55</v>
      </c>
      <c r="K24" s="2">
        <v>1.1499999999999999</v>
      </c>
      <c r="T24" s="8">
        <v>20</v>
      </c>
      <c r="U24" s="8">
        <f t="shared" si="3"/>
        <v>8.4316253662109375E-2</v>
      </c>
      <c r="V24" s="8">
        <f t="shared" si="0"/>
        <v>6.3959200599650323E-7</v>
      </c>
      <c r="W24" s="8">
        <f t="shared" si="4"/>
        <v>8.4317207336425781E-2</v>
      </c>
      <c r="X24" s="8">
        <f t="shared" si="1"/>
        <v>-3.7764320982847099E-7</v>
      </c>
      <c r="Y24" s="8">
        <f t="shared" si="5"/>
        <v>8.4316730499267578E-2</v>
      </c>
      <c r="Z24" s="8">
        <f t="shared" si="2"/>
        <v>1.3097446821541681E-7</v>
      </c>
      <c r="AA24" s="8">
        <f t="shared" si="6"/>
        <v>8.377022286022369E-14</v>
      </c>
      <c r="AB24" s="8">
        <f t="shared" si="7"/>
        <v>-4.9461618582447053E-14</v>
      </c>
      <c r="AC24" s="8">
        <f t="shared" si="8"/>
        <v>9.5367431640625E-7</v>
      </c>
    </row>
    <row r="25" spans="2:29" x14ac:dyDescent="0.2">
      <c r="J25" t="s">
        <v>52</v>
      </c>
      <c r="K25">
        <f xml:space="preserve"> (1/$C$31) * LN( EXP($C$31*K23) + EXP($C$31*$K$24) )</f>
        <v>1.2963651396024889</v>
      </c>
      <c r="T25" s="8">
        <v>21</v>
      </c>
      <c r="U25" s="8">
        <f t="shared" si="3"/>
        <v>8.4316730499267578E-2</v>
      </c>
      <c r="V25" s="8">
        <f t="shared" si="0"/>
        <v>1.3097446821541681E-7</v>
      </c>
      <c r="W25" s="8">
        <f t="shared" si="4"/>
        <v>8.4317207336425781E-2</v>
      </c>
      <c r="X25" s="8">
        <f t="shared" si="1"/>
        <v>-3.7764320982847099E-7</v>
      </c>
      <c r="Y25" s="8">
        <f t="shared" si="5"/>
        <v>8.431696891784668E-2</v>
      </c>
      <c r="Z25" s="8">
        <f t="shared" si="2"/>
        <v>-1.2333435328581999E-7</v>
      </c>
      <c r="AA25" s="8">
        <f t="shared" si="6"/>
        <v>-1.6153651334302618E-14</v>
      </c>
      <c r="AB25" s="8">
        <f t="shared" si="7"/>
        <v>4.6576381056975691E-14</v>
      </c>
      <c r="AC25" s="8">
        <f t="shared" si="8"/>
        <v>4.76837158203125E-7</v>
      </c>
    </row>
    <row r="26" spans="2:29" x14ac:dyDescent="0.2">
      <c r="B26" s="6" t="s">
        <v>24</v>
      </c>
      <c r="C26" s="6"/>
      <c r="D26" s="6"/>
      <c r="T26" s="8">
        <v>22</v>
      </c>
      <c r="U26" s="8">
        <f t="shared" si="3"/>
        <v>8.4316730499267578E-2</v>
      </c>
      <c r="V26" s="8">
        <f t="shared" si="0"/>
        <v>1.3097446821541681E-7</v>
      </c>
      <c r="W26" s="8">
        <f t="shared" si="4"/>
        <v>8.431696891784668E-2</v>
      </c>
      <c r="X26" s="8">
        <f t="shared" si="1"/>
        <v>-1.2333435328581999E-7</v>
      </c>
      <c r="Y26" s="8">
        <f t="shared" si="5"/>
        <v>8.4316849708557129E-2</v>
      </c>
      <c r="Z26" s="8">
        <f t="shared" si="2"/>
        <v>3.8200618363015693E-9</v>
      </c>
      <c r="AA26" s="8">
        <f t="shared" si="6"/>
        <v>5.0033056755960661E-16</v>
      </c>
      <c r="AB26" s="8">
        <f t="shared" si="7"/>
        <v>-4.7114485609209599E-16</v>
      </c>
      <c r="AC26" s="8">
        <f t="shared" si="8"/>
        <v>2.384185791015625E-7</v>
      </c>
    </row>
    <row r="27" spans="2:29" x14ac:dyDescent="0.2">
      <c r="B27" t="s">
        <v>26</v>
      </c>
      <c r="C27" s="2">
        <v>1.2250000000000001</v>
      </c>
      <c r="D27" t="s">
        <v>83</v>
      </c>
      <c r="T27" s="8">
        <v>23</v>
      </c>
      <c r="U27" s="8">
        <f t="shared" si="3"/>
        <v>8.4316849708557129E-2</v>
      </c>
      <c r="V27" s="8">
        <f t="shared" si="0"/>
        <v>3.8200618363015693E-9</v>
      </c>
      <c r="W27" s="8">
        <f t="shared" si="4"/>
        <v>8.431696891784668E-2</v>
      </c>
      <c r="X27" s="8">
        <f t="shared" si="1"/>
        <v>-1.2333435328581999E-7</v>
      </c>
      <c r="Y27" s="8">
        <f t="shared" si="5"/>
        <v>8.4316909313201904E-2</v>
      </c>
      <c r="Z27" s="8">
        <f t="shared" si="2"/>
        <v>-5.9757144635352866E-8</v>
      </c>
      <c r="AA27" s="8">
        <f t="shared" si="6"/>
        <v>-2.2827598766786454E-16</v>
      </c>
      <c r="AB27" s="8">
        <f t="shared" si="7"/>
        <v>7.3701087878084533E-15</v>
      </c>
      <c r="AC27" s="8">
        <f t="shared" si="8"/>
        <v>1.1920928955078125E-7</v>
      </c>
    </row>
    <row r="28" spans="2:29" x14ac:dyDescent="0.2">
      <c r="B28" t="s">
        <v>25</v>
      </c>
      <c r="C28" s="2">
        <v>9.81</v>
      </c>
      <c r="D28" t="s">
        <v>82</v>
      </c>
      <c r="T28" s="8">
        <v>24</v>
      </c>
      <c r="U28" s="8">
        <f t="shared" si="3"/>
        <v>8.4316849708557129E-2</v>
      </c>
      <c r="V28" s="8">
        <f t="shared" si="0"/>
        <v>3.8200618363015693E-9</v>
      </c>
      <c r="W28" s="8">
        <f t="shared" si="4"/>
        <v>8.4316909313201904E-2</v>
      </c>
      <c r="X28" s="8">
        <f t="shared" si="1"/>
        <v>-5.9757144635352866E-8</v>
      </c>
      <c r="Y28" s="8">
        <f t="shared" si="5"/>
        <v>8.4316879510879517E-2</v>
      </c>
      <c r="Z28" s="8">
        <f t="shared" si="2"/>
        <v>-2.7968541108092104E-8</v>
      </c>
      <c r="AA28" s="8">
        <f t="shared" si="6"/>
        <v>-1.0684155650405425E-16</v>
      </c>
      <c r="AB28" s="8">
        <f t="shared" si="7"/>
        <v>1.6713201562360721E-15</v>
      </c>
      <c r="AC28" s="8">
        <f t="shared" si="8"/>
        <v>5.9604644775390625E-8</v>
      </c>
    </row>
    <row r="29" spans="2:29" x14ac:dyDescent="0.2">
      <c r="T29" s="8">
        <v>25</v>
      </c>
      <c r="U29" s="8">
        <f t="shared" si="3"/>
        <v>8.4316849708557129E-2</v>
      </c>
      <c r="V29" s="8">
        <f t="shared" si="0"/>
        <v>3.8200618363015693E-9</v>
      </c>
      <c r="W29" s="8">
        <f t="shared" si="4"/>
        <v>8.4316879510879517E-2</v>
      </c>
      <c r="X29" s="8">
        <f t="shared" si="1"/>
        <v>-2.7968541108092104E-8</v>
      </c>
      <c r="Y29" s="8">
        <f t="shared" si="5"/>
        <v>8.4316864609718323E-2</v>
      </c>
      <c r="Z29" s="8">
        <f t="shared" si="2"/>
        <v>-1.2074239566506328E-8</v>
      </c>
      <c r="AA29" s="8">
        <f t="shared" si="6"/>
        <v>-4.6124341770373229E-17</v>
      </c>
      <c r="AB29" s="8">
        <f t="shared" si="7"/>
        <v>3.3769886566478443E-16</v>
      </c>
      <c r="AC29" s="8">
        <f t="shared" si="8"/>
        <v>2.9802322387695312E-8</v>
      </c>
    </row>
    <row r="30" spans="2:29" x14ac:dyDescent="0.2">
      <c r="B30" s="6" t="s">
        <v>53</v>
      </c>
      <c r="C30" s="6"/>
      <c r="D30" s="6"/>
      <c r="F30" s="3"/>
      <c r="T30" s="8">
        <v>26</v>
      </c>
      <c r="U30" s="8">
        <f t="shared" si="3"/>
        <v>8.4316849708557129E-2</v>
      </c>
      <c r="V30" s="8">
        <f t="shared" si="0"/>
        <v>3.8200618363015693E-9</v>
      </c>
      <c r="W30" s="8">
        <f t="shared" si="4"/>
        <v>8.4316864609718323E-2</v>
      </c>
      <c r="X30" s="8">
        <f t="shared" si="1"/>
        <v>-1.2074239566506328E-8</v>
      </c>
      <c r="Y30" s="8">
        <f t="shared" si="5"/>
        <v>8.4316857159137726E-2</v>
      </c>
      <c r="Z30" s="8">
        <f t="shared" si="2"/>
        <v>-4.127088837346804E-9</v>
      </c>
      <c r="AA30" s="8">
        <f t="shared" si="6"/>
        <v>-1.5765734562574741E-17</v>
      </c>
      <c r="AB30" s="8">
        <f t="shared" si="7"/>
        <v>4.9831459334379379E-17</v>
      </c>
      <c r="AC30" s="8">
        <f t="shared" si="8"/>
        <v>1.4901161193847656E-8</v>
      </c>
    </row>
    <row r="31" spans="2:29" x14ac:dyDescent="0.2">
      <c r="B31" t="s">
        <v>54</v>
      </c>
      <c r="C31" s="2">
        <v>30</v>
      </c>
      <c r="F31" s="3"/>
      <c r="T31" s="8">
        <v>27</v>
      </c>
      <c r="U31" s="8">
        <f t="shared" si="3"/>
        <v>8.4316849708557129E-2</v>
      </c>
      <c r="V31" s="8">
        <f t="shared" si="0"/>
        <v>3.8200618363015693E-9</v>
      </c>
      <c r="W31" s="8">
        <f t="shared" si="4"/>
        <v>8.4316857159137726E-2</v>
      </c>
      <c r="X31" s="8">
        <f t="shared" si="1"/>
        <v>-4.127088837346804E-9</v>
      </c>
      <c r="Y31" s="8">
        <f t="shared" si="5"/>
        <v>8.4316853433847427E-2</v>
      </c>
      <c r="Z31" s="8">
        <f t="shared" si="2"/>
        <v>-1.5351349358372346E-10</v>
      </c>
      <c r="AA31" s="8">
        <f t="shared" si="6"/>
        <v>-5.8643103819650781E-19</v>
      </c>
      <c r="AB31" s="8">
        <f t="shared" si="7"/>
        <v>6.3356382575149531E-19</v>
      </c>
      <c r="AC31" s="8">
        <f t="shared" si="8"/>
        <v>7.4505805969238281E-9</v>
      </c>
    </row>
    <row r="32" spans="2:29" x14ac:dyDescent="0.2">
      <c r="F32" s="3"/>
      <c r="T32" s="8">
        <v>28</v>
      </c>
      <c r="U32" s="8">
        <f t="shared" si="3"/>
        <v>8.4316849708557129E-2</v>
      </c>
      <c r="V32" s="8">
        <f t="shared" si="0"/>
        <v>3.8200618363015693E-9</v>
      </c>
      <c r="W32" s="8">
        <f t="shared" si="4"/>
        <v>8.4316853433847427E-2</v>
      </c>
      <c r="X32" s="8">
        <f t="shared" si="1"/>
        <v>-1.5351349358372346E-10</v>
      </c>
      <c r="Y32" s="8">
        <f t="shared" si="5"/>
        <v>8.4316851571202278E-2</v>
      </c>
      <c r="Z32" s="8">
        <f t="shared" si="2"/>
        <v>1.8332741852367107E-9</v>
      </c>
      <c r="AA32" s="8">
        <f t="shared" si="6"/>
        <v>7.0032207504996125E-18</v>
      </c>
      <c r="AB32" s="8">
        <f t="shared" si="7"/>
        <v>-2.8143232487254164E-19</v>
      </c>
      <c r="AC32" s="8">
        <f t="shared" si="8"/>
        <v>3.7252902984619141E-9</v>
      </c>
    </row>
    <row r="33" spans="6:29" x14ac:dyDescent="0.2">
      <c r="F33" s="3"/>
      <c r="T33" s="8">
        <v>29</v>
      </c>
      <c r="U33" s="8">
        <f t="shared" si="3"/>
        <v>8.4316851571202278E-2</v>
      </c>
      <c r="V33" s="8">
        <f t="shared" si="0"/>
        <v>1.8332741852367107E-9</v>
      </c>
      <c r="W33" s="8">
        <f t="shared" si="4"/>
        <v>8.4316853433847427E-2</v>
      </c>
      <c r="X33" s="8">
        <f t="shared" si="1"/>
        <v>-1.5351349358372346E-10</v>
      </c>
      <c r="Y33" s="8">
        <f t="shared" si="5"/>
        <v>8.4316852502524853E-2</v>
      </c>
      <c r="Z33" s="8">
        <f t="shared" si="2"/>
        <v>8.3988034582649362E-10</v>
      </c>
      <c r="AA33" s="8">
        <f t="shared" si="6"/>
        <v>1.5397309566913919E-18</v>
      </c>
      <c r="AB33" s="8">
        <f t="shared" si="7"/>
        <v>-1.2893296608013087E-19</v>
      </c>
      <c r="AC33" s="8">
        <f t="shared" si="8"/>
        <v>1.862645149230957E-9</v>
      </c>
    </row>
    <row r="34" spans="6:29" x14ac:dyDescent="0.2">
      <c r="F34" s="3"/>
      <c r="T34" s="8">
        <v>30</v>
      </c>
      <c r="U34" s="8">
        <f t="shared" si="3"/>
        <v>8.4316852502524853E-2</v>
      </c>
      <c r="V34" s="8">
        <f t="shared" si="0"/>
        <v>8.3988034582649362E-10</v>
      </c>
      <c r="W34" s="8">
        <f t="shared" si="4"/>
        <v>8.4316853433847427E-2</v>
      </c>
      <c r="X34" s="8">
        <f t="shared" si="1"/>
        <v>-1.5351349358372346E-10</v>
      </c>
      <c r="Y34" s="8">
        <f t="shared" si="5"/>
        <v>8.431685296818614E-2</v>
      </c>
      <c r="Z34" s="8">
        <f t="shared" si="2"/>
        <v>3.4318342612138508E-10</v>
      </c>
      <c r="AA34" s="8">
        <f t="shared" si="6"/>
        <v>2.8823301461274983E-19</v>
      </c>
      <c r="AB34" s="8">
        <f t="shared" si="7"/>
        <v>-5.2683286683925483E-20</v>
      </c>
      <c r="AC34" s="8">
        <f t="shared" si="8"/>
        <v>9.3132257461547852E-10</v>
      </c>
    </row>
    <row r="35" spans="6:29" x14ac:dyDescent="0.2">
      <c r="F35" s="3"/>
    </row>
    <row r="36" spans="6:29" x14ac:dyDescent="0.2">
      <c r="F36" s="3"/>
    </row>
    <row r="37" spans="6:29" x14ac:dyDescent="0.2">
      <c r="F37" s="3"/>
    </row>
  </sheetData>
  <mergeCells count="11">
    <mergeCell ref="B21:D21"/>
    <mergeCell ref="F3:H3"/>
    <mergeCell ref="F7:H7"/>
    <mergeCell ref="F11:H11"/>
    <mergeCell ref="J3:L3"/>
    <mergeCell ref="J8:L8"/>
    <mergeCell ref="N3:R3"/>
    <mergeCell ref="J15:L15"/>
    <mergeCell ref="B3:D3"/>
    <mergeCell ref="B10:D10"/>
    <mergeCell ref="B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5177-D787-3E42-B872-8364CA8B1AF7}">
  <dimension ref="B2:X39"/>
  <sheetViews>
    <sheetView workbookViewId="0">
      <selection activeCell="C32" sqref="C32"/>
    </sheetView>
  </sheetViews>
  <sheetFormatPr baseColWidth="10" defaultRowHeight="16" x14ac:dyDescent="0.2"/>
  <cols>
    <col min="1" max="1" width="3.6640625" customWidth="1"/>
    <col min="2" max="2" width="20" customWidth="1"/>
    <col min="3" max="3" width="9" customWidth="1"/>
    <col min="4" max="4" width="7" customWidth="1"/>
    <col min="5" max="5" width="3.83203125" customWidth="1"/>
    <col min="6" max="6" width="14.33203125" customWidth="1"/>
    <col min="8" max="8" width="3.83203125" customWidth="1"/>
    <col min="9" max="9" width="3.5" customWidth="1"/>
    <col min="10" max="10" width="11.6640625" customWidth="1"/>
    <col min="11" max="11" width="10.83203125" customWidth="1"/>
    <col min="12" max="12" width="6.5" customWidth="1"/>
    <col min="13" max="13" width="3.6640625" customWidth="1"/>
    <col min="14" max="14" width="3.5" customWidth="1"/>
    <col min="15" max="15" width="5.33203125" customWidth="1"/>
    <col min="16" max="16" width="6.5" customWidth="1"/>
    <col min="17" max="17" width="6.6640625" customWidth="1"/>
    <col min="18" max="18" width="6.33203125" customWidth="1"/>
    <col min="19" max="19" width="6.83203125" customWidth="1"/>
    <col min="20" max="20" width="15.1640625" customWidth="1"/>
    <col min="21" max="21" width="7.5" customWidth="1"/>
    <col min="22" max="22" width="8.83203125" customWidth="1"/>
    <col min="23" max="23" width="9.33203125" customWidth="1"/>
  </cols>
  <sheetData>
    <row r="2" spans="2:24" x14ac:dyDescent="0.2">
      <c r="O2" s="1" t="s">
        <v>73</v>
      </c>
    </row>
    <row r="3" spans="2:24" x14ac:dyDescent="0.2">
      <c r="B3" s="16" t="s">
        <v>0</v>
      </c>
      <c r="C3" s="17"/>
      <c r="D3" s="17"/>
      <c r="F3" s="16" t="s">
        <v>28</v>
      </c>
      <c r="G3" s="17"/>
      <c r="H3" s="17"/>
      <c r="J3" s="15" t="s">
        <v>32</v>
      </c>
      <c r="K3" s="15"/>
      <c r="L3" s="15"/>
      <c r="M3" s="4"/>
      <c r="O3" s="7" t="s">
        <v>63</v>
      </c>
      <c r="P3" s="7" t="s">
        <v>64</v>
      </c>
      <c r="Q3" s="7" t="s">
        <v>66</v>
      </c>
      <c r="R3" s="7" t="s">
        <v>65</v>
      </c>
      <c r="S3" s="7" t="s">
        <v>67</v>
      </c>
      <c r="T3" s="7" t="s">
        <v>68</v>
      </c>
      <c r="U3" s="7" t="s">
        <v>69</v>
      </c>
      <c r="V3" s="7" t="s">
        <v>71</v>
      </c>
      <c r="W3" s="7" t="s">
        <v>72</v>
      </c>
      <c r="X3" s="7" t="s">
        <v>70</v>
      </c>
    </row>
    <row r="4" spans="2:24" x14ac:dyDescent="0.2">
      <c r="B4" t="s">
        <v>1</v>
      </c>
      <c r="C4" s="2" t="s">
        <v>74</v>
      </c>
      <c r="F4" t="s">
        <v>23</v>
      </c>
      <c r="G4">
        <f xml:space="preserve"> 1/$C$9 * SQRT( ($C$22*$C$36)^3 / (2*$C$35*PI()*$C$23^2*$C$5) )</f>
        <v>412.74258928050585</v>
      </c>
      <c r="H4" t="s">
        <v>27</v>
      </c>
      <c r="J4" t="s">
        <v>86</v>
      </c>
      <c r="K4">
        <f xml:space="preserve"> $C$22 * $C$36</f>
        <v>49.050000000000004</v>
      </c>
      <c r="L4" t="s">
        <v>30</v>
      </c>
      <c r="O4" s="8">
        <v>0</v>
      </c>
      <c r="P4" s="8">
        <v>0</v>
      </c>
      <c r="Q4" s="8">
        <f xml:space="preserve"> $K$15 * TAN($K$12) + $K$16 / (2 * SQRT($K$15^2 + P4^2)) - P4</f>
        <v>0.39422520858653176</v>
      </c>
      <c r="R4" s="8">
        <v>1</v>
      </c>
      <c r="S4" s="8">
        <f xml:space="preserve"> $K$15 * TAN($K$12) + $K$16 / (2 * SQRT($K$15^2 + R4^2)) - R4</f>
        <v>-0.68076251493958262</v>
      </c>
      <c r="T4" s="8">
        <f>(P4+R4)/2</f>
        <v>0.5</v>
      </c>
      <c r="U4" s="8">
        <f xml:space="preserve"> $K$15 * TAN($K$12) + $K$16 / (2 * SQRT($K$15^2 + T4^2)) - T4</f>
        <v>-0.17862857704395418</v>
      </c>
      <c r="V4" s="8">
        <f>Q4*U4</f>
        <v>-7.04198880446682E-2</v>
      </c>
      <c r="W4" s="8">
        <f>S4*U4</f>
        <v>0.12160363934852124</v>
      </c>
      <c r="X4" s="8">
        <f>R4-P4</f>
        <v>1</v>
      </c>
    </row>
    <row r="5" spans="2:24" x14ac:dyDescent="0.2">
      <c r="B5" t="s">
        <v>3</v>
      </c>
      <c r="C5" s="2">
        <v>4</v>
      </c>
      <c r="F5" t="s">
        <v>29</v>
      </c>
      <c r="G5">
        <f>$C$22*$C$36/$C$5</f>
        <v>12.262500000000001</v>
      </c>
      <c r="H5" t="s">
        <v>30</v>
      </c>
      <c r="J5" t="s">
        <v>84</v>
      </c>
      <c r="K5">
        <f>0.5 * $C$35 * $C$25^2</f>
        <v>245.00000000000003</v>
      </c>
      <c r="L5" t="s">
        <v>85</v>
      </c>
      <c r="O5" s="8">
        <v>1</v>
      </c>
      <c r="P5" s="8">
        <f xml:space="preserve"> IF(V4&gt;0, T4, P4)</f>
        <v>0</v>
      </c>
      <c r="Q5" s="8">
        <f t="shared" ref="Q5:Q34" si="0" xml:space="preserve"> $K$15 * TAN($K$12) + $K$16 / (2 * SQRT($K$15^2 + P5^2)) - P5</f>
        <v>0.39422520858653176</v>
      </c>
      <c r="R5" s="8">
        <f xml:space="preserve"> IF(W4&gt;0, T4, R4)</f>
        <v>0.5</v>
      </c>
      <c r="S5" s="8">
        <f t="shared" ref="S5:S34" si="1" xml:space="preserve"> $K$15 * TAN($K$12) + $K$16 / (2 * SQRT($K$15^2 + R5^2)) - R5</f>
        <v>-0.17862857704395418</v>
      </c>
      <c r="T5" s="8">
        <f>(P5+R5)/2</f>
        <v>0.25</v>
      </c>
      <c r="U5" s="8">
        <f t="shared" ref="U5:U34" si="2" xml:space="preserve"> $K$15 * TAN($K$12) + $K$16 / (2 * SQRT($K$15^2 + T5^2)) - T5</f>
        <v>7.5605153016702287E-2</v>
      </c>
      <c r="V5" s="8">
        <f t="shared" ref="V5:V34" si="3">Q5*U5</f>
        <v>2.9805457218226111E-2</v>
      </c>
      <c r="W5" s="8">
        <f t="shared" ref="W5:W34" si="4">S5*U5</f>
        <v>-1.350524090056395E-2</v>
      </c>
      <c r="X5" s="8">
        <f t="shared" ref="X5:X34" si="5">R5-P5</f>
        <v>0.5</v>
      </c>
    </row>
    <row r="6" spans="2:24" x14ac:dyDescent="0.2">
      <c r="B6" t="s">
        <v>75</v>
      </c>
      <c r="C6" s="2">
        <v>2</v>
      </c>
      <c r="J6" t="s">
        <v>87</v>
      </c>
      <c r="K6">
        <f>K4/(K5*$C$26)</f>
        <v>1.0010204081632652</v>
      </c>
      <c r="O6" s="8">
        <v>2</v>
      </c>
      <c r="P6" s="8">
        <f t="shared" ref="P6:P34" si="6" xml:space="preserve"> IF(V5&gt;0, T5, P5)</f>
        <v>0.25</v>
      </c>
      <c r="Q6" s="8">
        <f t="shared" si="0"/>
        <v>7.5605153016702287E-2</v>
      </c>
      <c r="R6" s="8">
        <f t="shared" ref="R6:R34" si="7" xml:space="preserve"> IF(W5&gt;0, T5, R5)</f>
        <v>0.5</v>
      </c>
      <c r="S6" s="8">
        <f t="shared" si="1"/>
        <v>-0.17862857704395418</v>
      </c>
      <c r="T6" s="8">
        <f t="shared" ref="T6:T34" si="8">(P6+R6)/2</f>
        <v>0.375</v>
      </c>
      <c r="U6" s="8">
        <f t="shared" si="2"/>
        <v>-5.2211097336220258E-2</v>
      </c>
      <c r="V6" s="8">
        <f t="shared" si="3"/>
        <v>-3.9474280032748702E-3</v>
      </c>
      <c r="W6" s="8">
        <f t="shared" si="4"/>
        <v>9.326394023072412E-3</v>
      </c>
      <c r="X6" s="8">
        <f t="shared" si="5"/>
        <v>0.25</v>
      </c>
    </row>
    <row r="7" spans="2:24" x14ac:dyDescent="0.2">
      <c r="B7" t="s">
        <v>4</v>
      </c>
      <c r="C7" s="2">
        <v>0.13</v>
      </c>
      <c r="F7" s="16" t="s">
        <v>31</v>
      </c>
      <c r="G7" s="17"/>
      <c r="H7" s="17"/>
      <c r="J7" t="s">
        <v>88</v>
      </c>
      <c r="K7">
        <f xml:space="preserve"> $C$12 + K6^2 / (PI()*$C$14*$C$13)</f>
        <v>0.10614996450648144</v>
      </c>
      <c r="O7" s="8">
        <v>3</v>
      </c>
      <c r="P7" s="8">
        <f t="shared" si="6"/>
        <v>0.25</v>
      </c>
      <c r="Q7" s="8">
        <f t="shared" si="0"/>
        <v>7.5605153016702287E-2</v>
      </c>
      <c r="R7" s="8">
        <f t="shared" si="7"/>
        <v>0.375</v>
      </c>
      <c r="S7" s="8">
        <f xml:space="preserve"> $K$15 * TAN($K$12) + $K$16 / (2 * SQRT($K$15^2 + R7^2)) - R7</f>
        <v>-5.2211097336220258E-2</v>
      </c>
      <c r="T7" s="8">
        <f t="shared" si="8"/>
        <v>0.3125</v>
      </c>
      <c r="U7" s="8">
        <f t="shared" si="2"/>
        <v>1.1418796605844939E-2</v>
      </c>
      <c r="V7" s="8">
        <f t="shared" si="3"/>
        <v>8.6331986465150727E-4</v>
      </c>
      <c r="W7" s="8">
        <f t="shared" si="4"/>
        <v>-5.9618790105027159E-4</v>
      </c>
      <c r="X7" s="8">
        <f t="shared" si="5"/>
        <v>0.125</v>
      </c>
    </row>
    <row r="8" spans="2:24" x14ac:dyDescent="0.2">
      <c r="B8" t="s">
        <v>76</v>
      </c>
      <c r="C8" s="2">
        <v>0.13</v>
      </c>
      <c r="F8" s="3" t="s">
        <v>56</v>
      </c>
      <c r="G8">
        <f xml:space="preserve"> K18 + K13 * (K23*K20 + $C$25 * SIN(K12) )</f>
        <v>60.525816833260045</v>
      </c>
      <c r="H8" t="s">
        <v>27</v>
      </c>
      <c r="J8" t="s">
        <v>89</v>
      </c>
      <c r="K8">
        <f xml:space="preserve"> K5 * $C$26 * K7</f>
        <v>5.2013482608175909</v>
      </c>
      <c r="M8" s="1"/>
      <c r="O8" s="8">
        <v>4</v>
      </c>
      <c r="P8" s="8">
        <f t="shared" si="6"/>
        <v>0.3125</v>
      </c>
      <c r="Q8" s="8">
        <f t="shared" si="0"/>
        <v>1.1418796605844939E-2</v>
      </c>
      <c r="R8" s="8">
        <f t="shared" si="7"/>
        <v>0.375</v>
      </c>
      <c r="S8" s="8">
        <f t="shared" si="1"/>
        <v>-5.2211097336220258E-2</v>
      </c>
      <c r="T8" s="8">
        <f t="shared" si="8"/>
        <v>0.34375</v>
      </c>
      <c r="U8" s="8">
        <f t="shared" si="2"/>
        <v>-2.0447007907934467E-2</v>
      </c>
      <c r="V8" s="8">
        <f t="shared" si="3"/>
        <v>-2.3348022449880672E-4</v>
      </c>
      <c r="W8" s="8">
        <f t="shared" si="4"/>
        <v>1.0675607201156318E-3</v>
      </c>
      <c r="X8" s="8">
        <f t="shared" si="5"/>
        <v>6.25E-2</v>
      </c>
    </row>
    <row r="9" spans="2:24" x14ac:dyDescent="0.2">
      <c r="B9" t="s">
        <v>5</v>
      </c>
      <c r="C9" s="2">
        <v>0.75</v>
      </c>
      <c r="F9" s="3" t="s">
        <v>57</v>
      </c>
      <c r="G9">
        <f xml:space="preserve"> $C$6 * G8</f>
        <v>121.05163366652009</v>
      </c>
      <c r="H9" t="s">
        <v>27</v>
      </c>
      <c r="O9" s="8">
        <v>5</v>
      </c>
      <c r="P9" s="8">
        <f t="shared" si="6"/>
        <v>0.3125</v>
      </c>
      <c r="Q9" s="8">
        <f t="shared" si="0"/>
        <v>1.1418796605844939E-2</v>
      </c>
      <c r="R9" s="8">
        <f t="shared" si="7"/>
        <v>0.34375</v>
      </c>
      <c r="S9" s="8">
        <f xml:space="preserve"> $K$15 * TAN($K$12) + $K$16 / (2 * SQRT($K$15^2 + R9^2)) - R9</f>
        <v>-2.0447007907934467E-2</v>
      </c>
      <c r="T9" s="8">
        <f t="shared" si="8"/>
        <v>0.328125</v>
      </c>
      <c r="U9" s="8">
        <f t="shared" si="2"/>
        <v>-4.5286113287499874E-3</v>
      </c>
      <c r="V9" s="8">
        <f t="shared" si="3"/>
        <v>-5.1711291669921295E-5</v>
      </c>
      <c r="W9" s="8">
        <f t="shared" si="4"/>
        <v>9.2596551650912605E-5</v>
      </c>
      <c r="X9" s="8">
        <f t="shared" si="5"/>
        <v>3.125E-2</v>
      </c>
    </row>
    <row r="10" spans="2:24" x14ac:dyDescent="0.2">
      <c r="O10" s="8">
        <v>6</v>
      </c>
      <c r="P10" s="8">
        <f t="shared" si="6"/>
        <v>0.3125</v>
      </c>
      <c r="Q10" s="8">
        <f t="shared" si="0"/>
        <v>1.1418796605844939E-2</v>
      </c>
      <c r="R10" s="8">
        <f t="shared" si="7"/>
        <v>0.328125</v>
      </c>
      <c r="S10" s="8">
        <f t="shared" si="1"/>
        <v>-4.5286113287499874E-3</v>
      </c>
      <c r="T10" s="8">
        <f t="shared" si="8"/>
        <v>0.3203125</v>
      </c>
      <c r="U10" s="8">
        <f t="shared" si="2"/>
        <v>3.4412047635538623E-3</v>
      </c>
      <c r="V10" s="8">
        <f t="shared" si="3"/>
        <v>3.9294417274086276E-5</v>
      </c>
      <c r="W10" s="8">
        <f t="shared" si="4"/>
        <v>-1.5583878876778442E-5</v>
      </c>
      <c r="X10" s="8">
        <f t="shared" si="5"/>
        <v>1.5625E-2</v>
      </c>
    </row>
    <row r="11" spans="2:24" x14ac:dyDescent="0.2">
      <c r="B11" s="16" t="s">
        <v>77</v>
      </c>
      <c r="C11" s="17"/>
      <c r="D11" s="17"/>
      <c r="F11" s="16" t="s">
        <v>58</v>
      </c>
      <c r="G11" s="17"/>
      <c r="H11" s="17"/>
      <c r="J11" s="16" t="s">
        <v>40</v>
      </c>
      <c r="K11" s="19"/>
      <c r="L11" s="19"/>
      <c r="O11" s="8">
        <v>7</v>
      </c>
      <c r="P11" s="8">
        <f t="shared" si="6"/>
        <v>0.3203125</v>
      </c>
      <c r="Q11" s="8">
        <f t="shared" si="0"/>
        <v>3.4412047635538623E-3</v>
      </c>
      <c r="R11" s="8">
        <f t="shared" si="7"/>
        <v>0.328125</v>
      </c>
      <c r="S11" s="8">
        <f t="shared" si="1"/>
        <v>-4.5286113287499874E-3</v>
      </c>
      <c r="T11" s="8">
        <f t="shared" si="8"/>
        <v>0.32421875</v>
      </c>
      <c r="U11" s="8">
        <f t="shared" si="2"/>
        <v>-5.4464063644366068E-4</v>
      </c>
      <c r="V11" s="8">
        <f t="shared" si="3"/>
        <v>-1.8742199525549323E-6</v>
      </c>
      <c r="W11" s="8">
        <f t="shared" si="4"/>
        <v>2.4664657562963649E-6</v>
      </c>
      <c r="X11" s="8">
        <f t="shared" si="5"/>
        <v>7.8125E-3</v>
      </c>
    </row>
    <row r="12" spans="2:24" x14ac:dyDescent="0.2">
      <c r="B12" t="s">
        <v>47</v>
      </c>
      <c r="C12" s="2">
        <v>3.9699999999999999E-2</v>
      </c>
      <c r="F12" t="s">
        <v>59</v>
      </c>
      <c r="G12">
        <f xml:space="preserve"> (G4 * $C$32 + G9 * ($C$31/$C$25)) / 3600</f>
        <v>32.559990688138726</v>
      </c>
      <c r="H12" t="s">
        <v>60</v>
      </c>
      <c r="J12" t="s">
        <v>39</v>
      </c>
      <c r="K12">
        <f xml:space="preserve"> 85/180 * PI()</f>
        <v>1.48352986419518</v>
      </c>
      <c r="L12" t="s">
        <v>41</v>
      </c>
      <c r="O12" s="8">
        <v>8</v>
      </c>
      <c r="P12" s="8">
        <f t="shared" si="6"/>
        <v>0.3203125</v>
      </c>
      <c r="Q12" s="8">
        <f t="shared" si="0"/>
        <v>3.4412047635538623E-3</v>
      </c>
      <c r="R12" s="8">
        <f t="shared" si="7"/>
        <v>0.32421875</v>
      </c>
      <c r="S12" s="8">
        <f t="shared" si="1"/>
        <v>-5.4464063644366068E-4</v>
      </c>
      <c r="T12" s="8">
        <f t="shared" si="8"/>
        <v>0.322265625</v>
      </c>
      <c r="U12" s="8">
        <f t="shared" si="2"/>
        <v>1.4480435269164094E-3</v>
      </c>
      <c r="V12" s="8">
        <f t="shared" si="3"/>
        <v>4.9830142826580831E-6</v>
      </c>
      <c r="W12" s="8">
        <f t="shared" si="4"/>
        <v>-7.8866334809787624E-7</v>
      </c>
      <c r="X12" s="8">
        <f t="shared" si="5"/>
        <v>3.90625E-3</v>
      </c>
    </row>
    <row r="13" spans="2:24" x14ac:dyDescent="0.2">
      <c r="B13" t="s">
        <v>78</v>
      </c>
      <c r="C13" s="2">
        <v>6</v>
      </c>
      <c r="J13" t="s">
        <v>29</v>
      </c>
      <c r="K13">
        <f xml:space="preserve"> K8 / $C$6</f>
        <v>2.6006741304087955</v>
      </c>
      <c r="L13" t="s">
        <v>30</v>
      </c>
      <c r="O13" s="8">
        <v>9</v>
      </c>
      <c r="P13" s="8">
        <f t="shared" si="6"/>
        <v>0.322265625</v>
      </c>
      <c r="Q13" s="8">
        <f t="shared" si="0"/>
        <v>1.4480435269164094E-3</v>
      </c>
      <c r="R13" s="8">
        <f t="shared" si="7"/>
        <v>0.32421875</v>
      </c>
      <c r="S13" s="8">
        <f t="shared" si="1"/>
        <v>-5.4464063644366068E-4</v>
      </c>
      <c r="T13" s="8">
        <f t="shared" si="8"/>
        <v>0.3232421875</v>
      </c>
      <c r="U13" s="8">
        <f t="shared" si="2"/>
        <v>4.5164234363043176E-4</v>
      </c>
      <c r="V13" s="8">
        <f t="shared" si="3"/>
        <v>6.5399777217540334E-7</v>
      </c>
      <c r="W13" s="8">
        <f t="shared" si="4"/>
        <v>-2.4598277347978486E-7</v>
      </c>
      <c r="X13" s="8">
        <f t="shared" si="5"/>
        <v>1.953125E-3</v>
      </c>
    </row>
    <row r="14" spans="2:24" x14ac:dyDescent="0.2">
      <c r="B14" t="s">
        <v>79</v>
      </c>
      <c r="C14" s="2">
        <v>0.8</v>
      </c>
      <c r="J14" t="s">
        <v>43</v>
      </c>
      <c r="K14">
        <f xml:space="preserve"> PI() * $C$25 / ($C$24 * $C$27)</f>
        <v>314.15926535897927</v>
      </c>
      <c r="L14" t="s">
        <v>44</v>
      </c>
      <c r="O14" s="8">
        <v>10</v>
      </c>
      <c r="P14" s="8">
        <f t="shared" si="6"/>
        <v>0.3232421875</v>
      </c>
      <c r="Q14" s="8">
        <f t="shared" si="0"/>
        <v>4.5164234363043176E-4</v>
      </c>
      <c r="R14" s="8">
        <f t="shared" si="7"/>
        <v>0.32421875</v>
      </c>
      <c r="S14" s="8">
        <f t="shared" si="1"/>
        <v>-5.4464063644366068E-4</v>
      </c>
      <c r="T14" s="8">
        <f t="shared" si="8"/>
        <v>0.32373046875</v>
      </c>
      <c r="U14" s="8">
        <f t="shared" si="2"/>
        <v>-4.6513855928798087E-5</v>
      </c>
      <c r="V14" s="8">
        <f t="shared" si="3"/>
        <v>-2.1007626902970621E-8</v>
      </c>
      <c r="W14" s="8">
        <f t="shared" si="4"/>
        <v>2.533333609650933E-8</v>
      </c>
      <c r="X14" s="8">
        <f t="shared" si="5"/>
        <v>9.765625E-4</v>
      </c>
    </row>
    <row r="15" spans="2:24" x14ac:dyDescent="0.2">
      <c r="J15" t="s">
        <v>91</v>
      </c>
      <c r="K15">
        <f xml:space="preserve"> $C$25 * COS(K12) / ( K14 * $C$24)</f>
        <v>2.7742534554270875E-2</v>
      </c>
      <c r="O15" s="8">
        <v>11</v>
      </c>
      <c r="P15" s="8">
        <f t="shared" si="6"/>
        <v>0.3232421875</v>
      </c>
      <c r="Q15" s="8">
        <f t="shared" si="0"/>
        <v>4.5164234363043176E-4</v>
      </c>
      <c r="R15" s="8">
        <f t="shared" si="7"/>
        <v>0.32373046875</v>
      </c>
      <c r="S15" s="8">
        <f t="shared" si="1"/>
        <v>-4.6513855928798087E-5</v>
      </c>
      <c r="T15" s="8">
        <f t="shared" si="8"/>
        <v>0.323486328125</v>
      </c>
      <c r="U15" s="8">
        <f t="shared" si="2"/>
        <v>2.0256055826584074E-4</v>
      </c>
      <c r="V15" s="8">
        <f t="shared" si="3"/>
        <v>9.1484925262272933E-8</v>
      </c>
      <c r="W15" s="8">
        <f t="shared" si="4"/>
        <v>-9.4218726240342264E-9</v>
      </c>
      <c r="X15" s="8">
        <f t="shared" si="5"/>
        <v>4.8828125E-4</v>
      </c>
    </row>
    <row r="16" spans="2:24" x14ac:dyDescent="0.2">
      <c r="B16" s="16" t="s">
        <v>6</v>
      </c>
      <c r="C16" s="17"/>
      <c r="D16" s="17"/>
      <c r="J16" t="s">
        <v>45</v>
      </c>
      <c r="K16">
        <f xml:space="preserve"> K13 / (PI() * $C$35 * K14^2 * $C$24^4)</f>
        <v>4.279374044204612E-3</v>
      </c>
      <c r="O16" s="8">
        <v>12</v>
      </c>
      <c r="P16" s="8">
        <f t="shared" si="6"/>
        <v>0.323486328125</v>
      </c>
      <c r="Q16" s="8">
        <f t="shared" si="0"/>
        <v>2.0256055826584074E-4</v>
      </c>
      <c r="R16" s="8">
        <f t="shared" si="7"/>
        <v>0.32373046875</v>
      </c>
      <c r="S16" s="8">
        <f t="shared" si="1"/>
        <v>-4.6513855928798087E-5</v>
      </c>
      <c r="T16" s="8">
        <f t="shared" si="8"/>
        <v>0.3236083984375</v>
      </c>
      <c r="U16" s="8">
        <f t="shared" si="2"/>
        <v>7.8022430799740139E-5</v>
      </c>
      <c r="V16" s="8">
        <f t="shared" si="3"/>
        <v>1.5804267140053291E-8</v>
      </c>
      <c r="W16" s="8">
        <f t="shared" si="4"/>
        <v>-3.6291241054337313E-9</v>
      </c>
      <c r="X16" s="8">
        <f t="shared" si="5"/>
        <v>2.44140625E-4</v>
      </c>
    </row>
    <row r="17" spans="2:24" x14ac:dyDescent="0.2">
      <c r="B17" t="s">
        <v>7</v>
      </c>
      <c r="C17" s="2">
        <v>158</v>
      </c>
      <c r="D17" t="s">
        <v>14</v>
      </c>
      <c r="F17" s="1"/>
      <c r="J17" t="s">
        <v>47</v>
      </c>
      <c r="K17" s="2">
        <v>1.2E-2</v>
      </c>
      <c r="O17" s="8">
        <v>13</v>
      </c>
      <c r="P17" s="8">
        <f t="shared" si="6"/>
        <v>0.3236083984375</v>
      </c>
      <c r="Q17" s="8">
        <f t="shared" si="0"/>
        <v>7.8022430799740139E-5</v>
      </c>
      <c r="R17" s="8">
        <f t="shared" si="7"/>
        <v>0.32373046875</v>
      </c>
      <c r="S17" s="8">
        <f t="shared" si="1"/>
        <v>-4.6513855928798087E-5</v>
      </c>
      <c r="T17" s="8">
        <f t="shared" si="8"/>
        <v>0.32366943359375</v>
      </c>
      <c r="U17" s="8">
        <f t="shared" si="2"/>
        <v>1.5754057471506488E-5</v>
      </c>
      <c r="V17" s="8">
        <f t="shared" si="3"/>
        <v>1.2291698588857441E-9</v>
      </c>
      <c r="W17" s="8">
        <f t="shared" si="4"/>
        <v>-7.3278195952365788E-10</v>
      </c>
      <c r="X17" s="8">
        <f t="shared" si="5"/>
        <v>1.220703125E-4</v>
      </c>
    </row>
    <row r="18" spans="2:24" x14ac:dyDescent="0.2">
      <c r="B18" t="s">
        <v>8</v>
      </c>
      <c r="C18" s="2">
        <v>0.85</v>
      </c>
      <c r="J18" t="s">
        <v>46</v>
      </c>
      <c r="K18">
        <f xml:space="preserve"> ($C$8 * $K$17 / 8) * (1 + 4.65 * $K$15^2) * (PI() * $C$35 * K14^3 * $C$24^5)</f>
        <v>7.4725989661090875</v>
      </c>
      <c r="L18" t="s">
        <v>27</v>
      </c>
      <c r="O18" s="8">
        <v>14</v>
      </c>
      <c r="P18" s="8">
        <f t="shared" si="6"/>
        <v>0.32366943359375</v>
      </c>
      <c r="Q18" s="8">
        <f t="shared" si="0"/>
        <v>1.5754057471506488E-5</v>
      </c>
      <c r="R18" s="8">
        <f t="shared" si="7"/>
        <v>0.32373046875</v>
      </c>
      <c r="S18" s="8">
        <f xml:space="preserve"> $K$15 * TAN($K$12) + $K$16 / (2 * SQRT($K$15^2 + R18^2)) - R18</f>
        <v>-4.6513855928798087E-5</v>
      </c>
      <c r="T18" s="8">
        <f t="shared" si="8"/>
        <v>0.323699951171875</v>
      </c>
      <c r="U18" s="8">
        <f t="shared" si="2"/>
        <v>-1.5379956703642783E-5</v>
      </c>
      <c r="V18" s="8">
        <f t="shared" si="3"/>
        <v>-2.4229672181846988E-10</v>
      </c>
      <c r="W18" s="8">
        <f t="shared" si="4"/>
        <v>7.1538109030439271E-10</v>
      </c>
      <c r="X18" s="8">
        <f t="shared" si="5"/>
        <v>6.103515625E-5</v>
      </c>
    </row>
    <row r="19" spans="2:24" x14ac:dyDescent="0.2">
      <c r="B19" t="s">
        <v>9</v>
      </c>
      <c r="C19" s="2">
        <v>0.7</v>
      </c>
      <c r="J19" t="s">
        <v>48</v>
      </c>
      <c r="K19" s="9">
        <f>T34</f>
        <v>0.32368487538769841</v>
      </c>
      <c r="O19" s="8">
        <v>15</v>
      </c>
      <c r="P19" s="8">
        <f t="shared" si="6"/>
        <v>0.32366943359375</v>
      </c>
      <c r="Q19" s="8">
        <f t="shared" si="0"/>
        <v>1.5754057471506488E-5</v>
      </c>
      <c r="R19" s="8">
        <f t="shared" si="7"/>
        <v>0.323699951171875</v>
      </c>
      <c r="S19" s="8">
        <f t="shared" si="1"/>
        <v>-1.5379956703642783E-5</v>
      </c>
      <c r="T19" s="8">
        <f>(P19+R19)/2</f>
        <v>0.3236846923828125</v>
      </c>
      <c r="U19" s="8">
        <f t="shared" si="2"/>
        <v>1.8703601323277752E-7</v>
      </c>
      <c r="V19" s="8">
        <f t="shared" si="3"/>
        <v>2.9465761017106252E-12</v>
      </c>
      <c r="W19" s="8">
        <f t="shared" si="4"/>
        <v>-2.876605785542077E-12</v>
      </c>
      <c r="X19" s="8">
        <f t="shared" si="5"/>
        <v>3.0517578125E-5</v>
      </c>
    </row>
    <row r="20" spans="2:24" x14ac:dyDescent="0.2">
      <c r="J20" t="s">
        <v>50</v>
      </c>
      <c r="K20">
        <f xml:space="preserve"> K14 * $C$24 * K19 - ( $C$25 * SIN(K12) )</f>
        <v>0.41382657008750812</v>
      </c>
      <c r="L20" t="s">
        <v>17</v>
      </c>
      <c r="O20" s="8">
        <v>16</v>
      </c>
      <c r="P20" s="8">
        <f t="shared" si="6"/>
        <v>0.3236846923828125</v>
      </c>
      <c r="Q20" s="8">
        <f t="shared" si="0"/>
        <v>1.8703601323277752E-7</v>
      </c>
      <c r="R20" s="8">
        <f t="shared" si="7"/>
        <v>0.323699951171875</v>
      </c>
      <c r="S20" s="8">
        <f t="shared" si="1"/>
        <v>-1.5379956703642783E-5</v>
      </c>
      <c r="T20" s="8">
        <f t="shared" si="8"/>
        <v>0.32369232177734375</v>
      </c>
      <c r="U20" s="8">
        <f t="shared" si="2"/>
        <v>-7.5964639376646659E-6</v>
      </c>
      <c r="V20" s="8">
        <f t="shared" si="3"/>
        <v>-1.4208123295673656E-12</v>
      </c>
      <c r="W20" s="8">
        <f t="shared" si="4"/>
        <v>1.1683328646206634E-10</v>
      </c>
      <c r="X20" s="8">
        <f t="shared" si="5"/>
        <v>1.52587890625E-5</v>
      </c>
    </row>
    <row r="21" spans="2:24" x14ac:dyDescent="0.2">
      <c r="B21" s="5" t="s">
        <v>10</v>
      </c>
      <c r="C21" s="5"/>
      <c r="D21" s="5"/>
      <c r="J21" t="s">
        <v>51</v>
      </c>
      <c r="K21">
        <f xml:space="preserve"> 1/$C$9 - K18 * SQRT(2*$C$35*PI()*$C$24^2 / K13^3)</f>
        <v>0.34471025766746199</v>
      </c>
      <c r="O21" s="8">
        <v>17</v>
      </c>
      <c r="P21" s="8">
        <f t="shared" si="6"/>
        <v>0.3236846923828125</v>
      </c>
      <c r="Q21" s="8">
        <f t="shared" si="0"/>
        <v>1.8703601323277752E-7</v>
      </c>
      <c r="R21" s="8">
        <f t="shared" si="7"/>
        <v>0.32369232177734375</v>
      </c>
      <c r="S21" s="8">
        <f t="shared" si="1"/>
        <v>-7.5964639376646659E-6</v>
      </c>
      <c r="T21" s="8">
        <f t="shared" si="8"/>
        <v>0.32368850708007812</v>
      </c>
      <c r="U21" s="8">
        <f t="shared" si="2"/>
        <v>-3.7047148603308599E-6</v>
      </c>
      <c r="V21" s="8">
        <f t="shared" si="3"/>
        <v>-6.9291509764051026E-13</v>
      </c>
      <c r="W21" s="8">
        <f t="shared" si="4"/>
        <v>2.8142732835833768E-11</v>
      </c>
      <c r="X21" s="8">
        <f t="shared" si="5"/>
        <v>7.62939453125E-6</v>
      </c>
    </row>
    <row r="22" spans="2:24" x14ac:dyDescent="0.2">
      <c r="B22" t="s">
        <v>12</v>
      </c>
      <c r="C22" s="2">
        <v>5</v>
      </c>
      <c r="D22" t="s">
        <v>15</v>
      </c>
      <c r="J22" t="s">
        <v>55</v>
      </c>
      <c r="K22" s="2">
        <v>1.1499999999999999</v>
      </c>
      <c r="O22" s="8">
        <v>18</v>
      </c>
      <c r="P22" s="8">
        <f t="shared" si="6"/>
        <v>0.3236846923828125</v>
      </c>
      <c r="Q22" s="8">
        <f t="shared" si="0"/>
        <v>1.8703601323277752E-7</v>
      </c>
      <c r="R22" s="8">
        <f t="shared" si="7"/>
        <v>0.32368850708007812</v>
      </c>
      <c r="S22" s="8">
        <f t="shared" si="1"/>
        <v>-3.7047148603308599E-6</v>
      </c>
      <c r="T22" s="8">
        <f t="shared" si="8"/>
        <v>0.32368659973144531</v>
      </c>
      <c r="U22" s="8">
        <f t="shared" si="2"/>
        <v>-1.7588396480916479E-6</v>
      </c>
      <c r="V22" s="8">
        <f t="shared" si="3"/>
        <v>-3.2896635569480321E-13</v>
      </c>
      <c r="W22" s="8">
        <f t="shared" si="4"/>
        <v>6.5159993812242285E-12</v>
      </c>
      <c r="X22" s="8">
        <f t="shared" si="5"/>
        <v>3.814697265625E-6</v>
      </c>
    </row>
    <row r="23" spans="2:24" x14ac:dyDescent="0.2">
      <c r="B23" t="s">
        <v>11</v>
      </c>
      <c r="C23" s="2">
        <v>0.2</v>
      </c>
      <c r="D23" t="s">
        <v>16</v>
      </c>
      <c r="J23" t="s">
        <v>52</v>
      </c>
      <c r="K23">
        <f xml:space="preserve"> (1/$C$39) * LN( EXP($C$39 * K21) + EXP($C$39 * K22) )</f>
        <v>1.1500000000010737</v>
      </c>
      <c r="O23" s="8">
        <v>19</v>
      </c>
      <c r="P23" s="8">
        <f t="shared" si="6"/>
        <v>0.3236846923828125</v>
      </c>
      <c r="Q23" s="8">
        <f t="shared" si="0"/>
        <v>1.8703601323277752E-7</v>
      </c>
      <c r="R23" s="8">
        <f t="shared" si="7"/>
        <v>0.32368659973144531</v>
      </c>
      <c r="S23" s="8">
        <f t="shared" si="1"/>
        <v>-1.7588396480916479E-6</v>
      </c>
      <c r="T23" s="8">
        <f t="shared" si="8"/>
        <v>0.32368564605712891</v>
      </c>
      <c r="U23" s="8">
        <f t="shared" si="2"/>
        <v>-7.8590187357896468E-7</v>
      </c>
      <c r="V23" s="8">
        <f t="shared" si="3"/>
        <v>-1.4699195322637989E-13</v>
      </c>
      <c r="W23" s="8">
        <f t="shared" si="4"/>
        <v>1.3822753747601929E-12</v>
      </c>
      <c r="X23" s="8">
        <f t="shared" si="5"/>
        <v>1.9073486328125E-6</v>
      </c>
    </row>
    <row r="24" spans="2:24" x14ac:dyDescent="0.2">
      <c r="B24" t="s">
        <v>80</v>
      </c>
      <c r="C24" s="2">
        <v>0.2</v>
      </c>
      <c r="D24" t="s">
        <v>16</v>
      </c>
      <c r="O24" s="8">
        <v>20</v>
      </c>
      <c r="P24" s="8">
        <f t="shared" si="6"/>
        <v>0.3236846923828125</v>
      </c>
      <c r="Q24" s="8">
        <f t="shared" si="0"/>
        <v>1.8703601323277752E-7</v>
      </c>
      <c r="R24" s="8">
        <f t="shared" si="7"/>
        <v>0.32368564605712891</v>
      </c>
      <c r="S24" s="8">
        <f t="shared" si="1"/>
        <v>-7.8590187357896468E-7</v>
      </c>
      <c r="T24" s="8">
        <f t="shared" si="8"/>
        <v>0.3236851692199707</v>
      </c>
      <c r="U24" s="8">
        <f t="shared" si="2"/>
        <v>-2.9943294421741484E-7</v>
      </c>
      <c r="V24" s="8">
        <f t="shared" si="3"/>
        <v>-5.6004744116977936E-14</v>
      </c>
      <c r="W24" s="8">
        <f t="shared" si="4"/>
        <v>2.3532491187173195E-13</v>
      </c>
      <c r="X24" s="8">
        <f t="shared" si="5"/>
        <v>9.5367431640625E-7</v>
      </c>
    </row>
    <row r="25" spans="2:24" x14ac:dyDescent="0.2">
      <c r="B25" t="s">
        <v>13</v>
      </c>
      <c r="C25" s="2">
        <v>20</v>
      </c>
      <c r="D25" t="s">
        <v>17</v>
      </c>
      <c r="O25" s="8">
        <v>21</v>
      </c>
      <c r="P25" s="8">
        <f t="shared" si="6"/>
        <v>0.3236846923828125</v>
      </c>
      <c r="Q25" s="8">
        <f t="shared" si="0"/>
        <v>1.8703601323277752E-7</v>
      </c>
      <c r="R25" s="8">
        <f t="shared" si="7"/>
        <v>0.3236851692199707</v>
      </c>
      <c r="S25" s="8">
        <f t="shared" si="1"/>
        <v>-2.9943294421741484E-7</v>
      </c>
      <c r="T25" s="8">
        <f t="shared" si="8"/>
        <v>0.3236849308013916</v>
      </c>
      <c r="U25" s="8">
        <f t="shared" si="2"/>
        <v>-5.619846904503234E-8</v>
      </c>
      <c r="V25" s="8">
        <f t="shared" si="3"/>
        <v>-1.0511137599968507E-14</v>
      </c>
      <c r="W25" s="8">
        <f t="shared" si="4"/>
        <v>1.6827673046665283E-14</v>
      </c>
      <c r="X25" s="8">
        <f t="shared" si="5"/>
        <v>4.76837158203125E-7</v>
      </c>
    </row>
    <row r="26" spans="2:24" x14ac:dyDescent="0.2">
      <c r="B26" t="s">
        <v>81</v>
      </c>
      <c r="C26" s="2">
        <v>0.2</v>
      </c>
      <c r="D26" t="s">
        <v>34</v>
      </c>
      <c r="J26" s="1"/>
      <c r="K26" s="1"/>
      <c r="O26" s="8">
        <v>22</v>
      </c>
      <c r="P26" s="8">
        <f t="shared" si="6"/>
        <v>0.3236846923828125</v>
      </c>
      <c r="Q26" s="8">
        <f t="shared" si="0"/>
        <v>1.8703601323277752E-7</v>
      </c>
      <c r="R26" s="8">
        <f t="shared" si="7"/>
        <v>0.3236849308013916</v>
      </c>
      <c r="S26" s="8">
        <f t="shared" si="1"/>
        <v>-5.619846904503234E-8</v>
      </c>
      <c r="T26" s="8">
        <f t="shared" si="8"/>
        <v>0.32368481159210205</v>
      </c>
      <c r="U26" s="8">
        <f t="shared" si="2"/>
        <v>6.5418771233449746E-8</v>
      </c>
      <c r="V26" s="8">
        <f t="shared" si="3"/>
        <v>1.2235666162091552E-14</v>
      </c>
      <c r="W26" s="8">
        <f t="shared" si="4"/>
        <v>-3.676434790127078E-15</v>
      </c>
      <c r="X26" s="8">
        <f t="shared" si="5"/>
        <v>2.384185791015625E-7</v>
      </c>
    </row>
    <row r="27" spans="2:24" x14ac:dyDescent="0.2">
      <c r="B27" t="s">
        <v>90</v>
      </c>
      <c r="C27" s="2">
        <v>1</v>
      </c>
      <c r="J27" s="1"/>
      <c r="K27" s="1"/>
      <c r="O27" s="8">
        <v>23</v>
      </c>
      <c r="P27" s="8">
        <f t="shared" si="6"/>
        <v>0.32368481159210205</v>
      </c>
      <c r="Q27" s="8">
        <f t="shared" si="0"/>
        <v>6.5418771233449746E-8</v>
      </c>
      <c r="R27" s="8">
        <f t="shared" si="7"/>
        <v>0.3236849308013916</v>
      </c>
      <c r="S27" s="8">
        <f xml:space="preserve"> $K$15 * TAN($K$12) + $K$16 / (2 * SQRT($K$15^2 + R27^2)) - R27</f>
        <v>-5.619846904503234E-8</v>
      </c>
      <c r="T27" s="8">
        <f t="shared" si="8"/>
        <v>0.32368487119674683</v>
      </c>
      <c r="U27" s="8">
        <f t="shared" si="2"/>
        <v>4.6101508721640982E-9</v>
      </c>
      <c r="V27" s="8">
        <f t="shared" si="3"/>
        <v>3.0159040525779197E-16</v>
      </c>
      <c r="W27" s="8">
        <f t="shared" si="4"/>
        <v>-2.590834210822429E-16</v>
      </c>
      <c r="X27" s="8">
        <f t="shared" si="5"/>
        <v>1.1920928955078125E-7</v>
      </c>
    </row>
    <row r="28" spans="2:24" x14ac:dyDescent="0.2">
      <c r="L28" s="1"/>
      <c r="O28" s="8">
        <v>24</v>
      </c>
      <c r="P28" s="8">
        <f t="shared" si="6"/>
        <v>0.32368487119674683</v>
      </c>
      <c r="Q28" s="8">
        <f t="shared" si="0"/>
        <v>4.6101508721640982E-9</v>
      </c>
      <c r="R28" s="8">
        <f t="shared" si="7"/>
        <v>0.3236849308013916</v>
      </c>
      <c r="S28" s="8">
        <f t="shared" si="1"/>
        <v>-5.619846904503234E-8</v>
      </c>
      <c r="T28" s="8">
        <f t="shared" si="8"/>
        <v>0.32368490099906921</v>
      </c>
      <c r="U28" s="8">
        <f t="shared" si="2"/>
        <v>-2.5794159141945272E-8</v>
      </c>
      <c r="V28" s="8">
        <f t="shared" si="3"/>
        <v>-1.1891496526497854E-16</v>
      </c>
      <c r="W28" s="8">
        <f t="shared" si="4"/>
        <v>1.4495922540812493E-15</v>
      </c>
      <c r="X28" s="8">
        <f t="shared" si="5"/>
        <v>5.9604644775390625E-8</v>
      </c>
    </row>
    <row r="29" spans="2:24" x14ac:dyDescent="0.2">
      <c r="B29" s="5" t="s">
        <v>18</v>
      </c>
      <c r="C29" s="5"/>
      <c r="D29" s="5"/>
      <c r="O29" s="8">
        <v>25</v>
      </c>
      <c r="P29" s="8">
        <f t="shared" si="6"/>
        <v>0.32368487119674683</v>
      </c>
      <c r="Q29" s="8">
        <f t="shared" si="0"/>
        <v>4.6101508721640982E-9</v>
      </c>
      <c r="R29" s="8">
        <f t="shared" si="7"/>
        <v>0.32368490099906921</v>
      </c>
      <c r="S29" s="8">
        <f t="shared" si="1"/>
        <v>-2.5794159141945272E-8</v>
      </c>
      <c r="T29" s="8">
        <f t="shared" si="8"/>
        <v>0.32368488609790802</v>
      </c>
      <c r="U29" s="8">
        <f t="shared" si="2"/>
        <v>-1.0592004162646163E-8</v>
      </c>
      <c r="V29" s="8">
        <f t="shared" si="3"/>
        <v>-4.8830737228388965E-17</v>
      </c>
      <c r="W29" s="8">
        <f t="shared" si="4"/>
        <v>2.7321184100344189E-16</v>
      </c>
      <c r="X29" s="8">
        <f t="shared" si="5"/>
        <v>2.9802322387695312E-8</v>
      </c>
    </row>
    <row r="30" spans="2:24" x14ac:dyDescent="0.2">
      <c r="B30" t="s">
        <v>21</v>
      </c>
      <c r="C30" s="2">
        <v>2</v>
      </c>
      <c r="D30" t="s">
        <v>15</v>
      </c>
      <c r="O30" s="8">
        <v>26</v>
      </c>
      <c r="P30" s="8">
        <f t="shared" si="6"/>
        <v>0.32368487119674683</v>
      </c>
      <c r="Q30" s="8">
        <f t="shared" si="0"/>
        <v>4.6101508721640982E-9</v>
      </c>
      <c r="R30" s="8">
        <f t="shared" si="7"/>
        <v>0.32368488609790802</v>
      </c>
      <c r="S30" s="8">
        <f t="shared" si="1"/>
        <v>-1.0592004162646163E-8</v>
      </c>
      <c r="T30" s="8">
        <f t="shared" si="8"/>
        <v>0.32368487864732742</v>
      </c>
      <c r="U30" s="8">
        <f t="shared" si="2"/>
        <v>-2.9909266174854565E-9</v>
      </c>
      <c r="V30" s="8">
        <f t="shared" si="3"/>
        <v>-1.3788622954179394E-17</v>
      </c>
      <c r="W30" s="8">
        <f t="shared" si="4"/>
        <v>3.1679907182575162E-17</v>
      </c>
      <c r="X30" s="8">
        <f t="shared" si="5"/>
        <v>1.4901161193847656E-8</v>
      </c>
    </row>
    <row r="31" spans="2:24" x14ac:dyDescent="0.2">
      <c r="B31" t="s">
        <v>19</v>
      </c>
      <c r="C31" s="2">
        <v>3000</v>
      </c>
      <c r="D31" t="s">
        <v>16</v>
      </c>
      <c r="F31" s="3"/>
      <c r="O31" s="8">
        <v>27</v>
      </c>
      <c r="P31" s="8">
        <f t="shared" si="6"/>
        <v>0.32368487119674683</v>
      </c>
      <c r="Q31" s="8">
        <f t="shared" si="0"/>
        <v>4.6101508721640982E-9</v>
      </c>
      <c r="R31" s="8">
        <f t="shared" si="7"/>
        <v>0.32368487864732742</v>
      </c>
      <c r="S31" s="8">
        <f t="shared" si="1"/>
        <v>-2.9909266174854565E-9</v>
      </c>
      <c r="T31" s="8">
        <f t="shared" si="8"/>
        <v>0.32368487492203712</v>
      </c>
      <c r="U31" s="8">
        <f t="shared" si="2"/>
        <v>8.0961209958374525E-10</v>
      </c>
      <c r="V31" s="8">
        <f t="shared" si="3"/>
        <v>3.7324339270106099E-18</v>
      </c>
      <c r="W31" s="8">
        <f t="shared" si="4"/>
        <v>-2.4214903784833098E-18</v>
      </c>
      <c r="X31" s="8">
        <f t="shared" si="5"/>
        <v>7.4505805969238281E-9</v>
      </c>
    </row>
    <row r="32" spans="2:24" x14ac:dyDescent="0.2">
      <c r="B32" t="s">
        <v>20</v>
      </c>
      <c r="C32" s="2">
        <v>240</v>
      </c>
      <c r="D32" t="s">
        <v>22</v>
      </c>
      <c r="F32" s="3"/>
      <c r="O32" s="8">
        <v>28</v>
      </c>
      <c r="P32" s="8">
        <f t="shared" si="6"/>
        <v>0.32368487492203712</v>
      </c>
      <c r="Q32" s="8">
        <f t="shared" si="0"/>
        <v>8.0961209958374525E-10</v>
      </c>
      <c r="R32" s="8">
        <f t="shared" si="7"/>
        <v>0.32368487864732742</v>
      </c>
      <c r="S32" s="8">
        <f t="shared" si="1"/>
        <v>-2.9909266174854565E-9</v>
      </c>
      <c r="T32" s="8">
        <f t="shared" si="8"/>
        <v>0.32368487678468227</v>
      </c>
      <c r="U32" s="8">
        <f t="shared" si="2"/>
        <v>-1.09065723119528E-9</v>
      </c>
      <c r="V32" s="8">
        <f t="shared" si="3"/>
        <v>-8.8300929087420491E-19</v>
      </c>
      <c r="W32" s="8">
        <f t="shared" si="4"/>
        <v>3.2620757433349524E-18</v>
      </c>
      <c r="X32" s="8">
        <f t="shared" si="5"/>
        <v>3.7252902984619141E-9</v>
      </c>
    </row>
    <row r="33" spans="2:24" x14ac:dyDescent="0.2">
      <c r="F33" s="3"/>
      <c r="O33" s="8">
        <v>29</v>
      </c>
      <c r="P33" s="8">
        <f t="shared" si="6"/>
        <v>0.32368487492203712</v>
      </c>
      <c r="Q33" s="8">
        <f t="shared" si="0"/>
        <v>8.0961209958374525E-10</v>
      </c>
      <c r="R33" s="8">
        <f t="shared" si="7"/>
        <v>0.32368487678468227</v>
      </c>
      <c r="S33" s="8">
        <f t="shared" si="1"/>
        <v>-1.09065723119528E-9</v>
      </c>
      <c r="T33" s="8">
        <f t="shared" si="8"/>
        <v>0.3236848758533597</v>
      </c>
      <c r="U33" s="8">
        <f t="shared" si="2"/>
        <v>-1.4052253805019177E-10</v>
      </c>
      <c r="V33" s="8">
        <f t="shared" si="3"/>
        <v>-1.1376874706965249E-19</v>
      </c>
      <c r="W33" s="8">
        <f t="shared" si="4"/>
        <v>1.5326192227035554E-19</v>
      </c>
      <c r="X33" s="8">
        <f t="shared" si="5"/>
        <v>1.862645149230957E-9</v>
      </c>
    </row>
    <row r="34" spans="2:24" x14ac:dyDescent="0.2">
      <c r="B34" s="6" t="s">
        <v>24</v>
      </c>
      <c r="C34" s="6"/>
      <c r="D34" s="6"/>
      <c r="F34" s="3"/>
      <c r="O34" s="8">
        <v>30</v>
      </c>
      <c r="P34" s="8">
        <f t="shared" si="6"/>
        <v>0.32368487492203712</v>
      </c>
      <c r="Q34" s="8">
        <f t="shared" si="0"/>
        <v>8.0961209958374525E-10</v>
      </c>
      <c r="R34" s="8">
        <f t="shared" si="7"/>
        <v>0.3236848758533597</v>
      </c>
      <c r="S34" s="8">
        <f t="shared" si="1"/>
        <v>-1.4052253805019177E-10</v>
      </c>
      <c r="T34" s="8">
        <f t="shared" si="8"/>
        <v>0.32368487538769841</v>
      </c>
      <c r="U34" s="8">
        <f t="shared" si="2"/>
        <v>3.3454478076677674E-10</v>
      </c>
      <c r="V34" s="8">
        <f t="shared" si="3"/>
        <v>2.7085150236137387E-19</v>
      </c>
      <c r="W34" s="8">
        <f t="shared" si="4"/>
        <v>-4.7011081684792448E-20</v>
      </c>
      <c r="X34" s="8">
        <f t="shared" si="5"/>
        <v>9.3132257461547852E-10</v>
      </c>
    </row>
    <row r="35" spans="2:24" x14ac:dyDescent="0.2">
      <c r="B35" t="s">
        <v>26</v>
      </c>
      <c r="C35" s="2">
        <v>1.2250000000000001</v>
      </c>
      <c r="D35" t="s">
        <v>83</v>
      </c>
      <c r="F35" s="3"/>
    </row>
    <row r="36" spans="2:24" x14ac:dyDescent="0.2">
      <c r="B36" t="s">
        <v>25</v>
      </c>
      <c r="C36" s="2">
        <v>9.81</v>
      </c>
      <c r="D36" t="s">
        <v>82</v>
      </c>
      <c r="F36" s="3"/>
    </row>
    <row r="37" spans="2:24" x14ac:dyDescent="0.2">
      <c r="F37" s="3"/>
    </row>
    <row r="38" spans="2:24" x14ac:dyDescent="0.2">
      <c r="B38" s="6" t="s">
        <v>53</v>
      </c>
      <c r="C38" s="6"/>
      <c r="D38" s="6"/>
      <c r="F38" s="3"/>
    </row>
    <row r="39" spans="2:24" x14ac:dyDescent="0.2">
      <c r="B39" t="s">
        <v>54</v>
      </c>
      <c r="C39" s="2">
        <v>30</v>
      </c>
    </row>
  </sheetData>
  <mergeCells count="8">
    <mergeCell ref="B11:D11"/>
    <mergeCell ref="J11:L11"/>
    <mergeCell ref="B16:D16"/>
    <mergeCell ref="F11:H11"/>
    <mergeCell ref="B3:D3"/>
    <mergeCell ref="F3:H3"/>
    <mergeCell ref="J3:L3"/>
    <mergeCell ref="F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 - Multirotor</vt:lpstr>
      <vt:lpstr>M - Lift+Cruise</vt:lpstr>
      <vt:lpstr>E - Multirotor</vt:lpstr>
      <vt:lpstr>E - 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2024-06-05T10:11:57Z</dcterms:created>
  <dcterms:modified xsi:type="dcterms:W3CDTF">2024-06-11T06:54:26Z</dcterms:modified>
</cp:coreProperties>
</file>